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8\"/>
    </mc:Choice>
  </mc:AlternateContent>
  <xr:revisionPtr revIDLastSave="0" documentId="13_ncr:1_{4092AE6E-C9B7-46DF-B253-B00E7831F8CC}" xr6:coauthVersionLast="47" xr6:coauthVersionMax="47" xr10:uidLastSave="{00000000-0000-0000-0000-000000000000}"/>
  <bookViews>
    <workbookView xWindow="3030" yWindow="1470" windowWidth="22380" windowHeight="13230" xr2:uid="{00000000-000D-0000-FFFF-FFFF00000000}"/>
  </bookViews>
  <sheets>
    <sheet name="1928th" sheetId="2" r:id="rId1"/>
  </sheets>
  <definedNames>
    <definedName name="_xlnm._FilterDatabase" localSheetId="0" hidden="1">'1928th'!$A$1:$I$1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0" i="2" l="1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<sst xmlns="http://schemas.openxmlformats.org/spreadsheetml/2006/main" count="7800" uniqueCount="5383">
  <si>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</si>
  <si>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</si>
  <si>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</si>
  <si>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</si>
  <si>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</si>
  <si>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</si>
  <si>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</si>
  <si>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</si>
  <si>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</si>
  <si>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</si>
  <si>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白酒</t>
  </si>
  <si>
    <t>酒鬼酒股份有限公司</t>
  </si>
  <si>
    <t>曾建国</t>
  </si>
  <si>
    <t>河南三珍坊食品有限公司</t>
  </si>
  <si>
    <t>邱邱</t>
  </si>
  <si>
    <t>刘恒</t>
  </si>
  <si>
    <t>刘俊俊</t>
  </si>
  <si>
    <t>周淑先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</si>
  <si>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</si>
  <si>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</si>
  <si>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王平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</si>
  <si>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市恒格食品商行（个体工商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</si>
  <si>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四川地方印象文化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</si>
  <si>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</si>
  <si>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上海淘兔兔文化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</si>
  <si>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）生</t>
    </r>
    <r>
      <rPr>
        <sz val="11"/>
        <color theme="1"/>
        <rFont val="ＭＳ Ｐゴシック"/>
        <family val="3"/>
        <charset val="134"/>
        <scheme val="minor"/>
      </rPr>
      <t>态农业产业发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</si>
  <si>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市天天宝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</si>
  <si>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</si>
  <si>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</si>
  <si>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</si>
  <si>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</si>
  <si>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</si>
  <si>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</si>
  <si>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</si>
  <si>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许进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</si>
  <si>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</si>
  <si>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t>胡利勤</t>
  </si>
  <si>
    <r>
      <t>荐山企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</si>
  <si>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</si>
  <si>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>沈利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</si>
  <si>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庆汇农鲜农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</si>
  <si>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t>李江</t>
  </si>
  <si>
    <t>李才波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</si>
  <si>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金河酒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</si>
  <si>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县长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</si>
  <si>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刘丹利</t>
  </si>
  <si>
    <r>
      <t>赵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</si>
  <si>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西藏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布藏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</si>
  <si>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天津前</t>
    </r>
    <r>
      <rPr>
        <sz val="11"/>
        <color theme="1"/>
        <rFont val="ＭＳ Ｐゴシック"/>
        <family val="3"/>
        <charset val="134"/>
        <scheme val="minor"/>
      </rPr>
      <t>进实业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</si>
  <si>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</si>
  <si>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谌</t>
    </r>
    <r>
      <rPr>
        <sz val="11"/>
        <color theme="1"/>
        <rFont val="ＭＳ Ｐゴシック"/>
        <family val="3"/>
        <charset val="128"/>
        <scheme val="minor"/>
      </rPr>
      <t>高俊</t>
    </r>
  </si>
  <si>
    <t>曾勇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</si>
  <si>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越亨酒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</si>
  <si>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</si>
  <si>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</si>
  <si>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齿</t>
    </r>
    <r>
      <rPr>
        <sz val="11"/>
        <color theme="1"/>
        <rFont val="ＭＳ Ｐゴシック"/>
        <family val="3"/>
        <charset val="128"/>
        <scheme val="minor"/>
      </rPr>
      <t>健（广州）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</si>
  <si>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集安市</t>
    </r>
    <r>
      <rPr>
        <sz val="11"/>
        <color theme="1"/>
        <rFont val="ＭＳ Ｐゴシック"/>
        <family val="3"/>
        <charset val="134"/>
        <scheme val="minor"/>
      </rPr>
      <t>鸭绿</t>
    </r>
    <r>
      <rPr>
        <sz val="11"/>
        <color theme="1"/>
        <rFont val="ＭＳ Ｐゴシック"/>
        <family val="3"/>
        <charset val="128"/>
        <scheme val="minor"/>
      </rPr>
      <t>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</si>
  <si>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中秘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媒文化(武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</si>
  <si>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梁平大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</si>
  <si>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t>江婷婷</t>
  </si>
  <si>
    <t>李雄******************</t>
  </si>
  <si>
    <r>
      <t>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（北京）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</si>
  <si>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</si>
  <si>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</si>
  <si>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</si>
  <si>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胡小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</si>
  <si>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</si>
  <si>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t>都利武</t>
  </si>
  <si>
    <r>
      <t>谭乐</t>
    </r>
    <r>
      <rPr>
        <sz val="11"/>
        <color theme="1"/>
        <rFont val="ＭＳ Ｐゴシック"/>
        <family val="3"/>
        <charset val="128"/>
        <scheme val="minor"/>
      </rPr>
      <t>怡</t>
    </r>
  </si>
  <si>
    <t>阮志林</t>
  </si>
  <si>
    <r>
      <t>卓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</si>
  <si>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寰憬融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</si>
  <si>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冯晓</t>
  </si>
  <si>
    <r>
      <t>魏</t>
    </r>
    <r>
      <rPr>
        <sz val="11"/>
        <color theme="1"/>
        <rFont val="ＭＳ Ｐゴシック"/>
        <family val="3"/>
        <charset val="134"/>
        <scheme val="minor"/>
      </rPr>
      <t>爱华</t>
    </r>
  </si>
  <si>
    <t>吉林省朴老太食品有限公司</t>
  </si>
  <si>
    <r>
      <t>田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</si>
  <si>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孬</t>
    </r>
  </si>
  <si>
    <t>浙江嘉善黄酒股份有限公司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</si>
  <si>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州紫砂泥酒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</si>
  <si>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</si>
  <si>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贤凯</t>
    </r>
  </si>
  <si>
    <t>李双江</t>
  </si>
  <si>
    <r>
      <t>段治</t>
    </r>
    <r>
      <rPr>
        <sz val="11"/>
        <color theme="1"/>
        <rFont val="ＭＳ Ｐゴシック"/>
        <family val="3"/>
        <charset val="134"/>
        <scheme val="minor"/>
      </rPr>
      <t>刚</t>
    </r>
  </si>
  <si>
    <t>刘站芳</t>
  </si>
  <si>
    <r>
      <t>余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</si>
  <si>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体健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</si>
  <si>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姣</t>
    </r>
  </si>
  <si>
    <t>王勇</t>
  </si>
  <si>
    <r>
      <t>唐山市厨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源大酒店有限公司</t>
    </r>
  </si>
  <si>
    <t>墨梅（漳州）食品科技有限公司</t>
  </si>
  <si>
    <r>
      <t>刘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</si>
  <si>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山西羚羊文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</si>
  <si>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市江津区当津酒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</si>
  <si>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湖南店商豹网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</si>
  <si>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朱秀梅</t>
  </si>
  <si>
    <t>王画</t>
  </si>
  <si>
    <r>
      <t>邓</t>
    </r>
    <r>
      <rPr>
        <sz val="11"/>
        <color theme="1"/>
        <rFont val="ＭＳ Ｐゴシック"/>
        <family val="3"/>
        <charset val="128"/>
        <scheme val="minor"/>
      </rPr>
      <t>宗平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</si>
  <si>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故事酒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</si>
  <si>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成都黄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龙见</t>
    </r>
    <r>
      <rPr>
        <sz val="11"/>
        <color theme="1"/>
        <rFont val="ＭＳ Ｐゴシック"/>
        <family val="3"/>
        <charset val="128"/>
        <scheme val="minor"/>
      </rPr>
      <t>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</si>
  <si>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春升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</si>
  <si>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杨枫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</si>
  <si>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上海境舒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</si>
  <si>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上佬佬（海南）文旅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</si>
  <si>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</si>
  <si>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荣丰泰</t>
  </si>
  <si>
    <r>
      <t>洪志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</si>
  <si>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</si>
  <si>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㗊酒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</si>
  <si>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钓贡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</si>
  <si>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</si>
  <si>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㗊</t>
  </si>
  <si>
    <r>
      <t>衡鑫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</si>
  <si>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蔡海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</si>
  <si>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</si>
  <si>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御封井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</si>
  <si>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国井控股集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</si>
  <si>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</si>
  <si>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清小酌</t>
  </si>
  <si>
    <r>
      <t>张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</si>
  <si>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朗姆酒</t>
    </r>
  </si>
  <si>
    <t>元和喜宴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</si>
  <si>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元和酒厂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</si>
  <si>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高粱酒; 白葡萄酒; 清酒（日本米酒）; 米酒; 烈酒; 甜果酒</t>
    </r>
  </si>
  <si>
    <t>皇福特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</si>
  <si>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久盛投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</si>
  <si>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黄酒; 果酒（含酒精）; 白酒</t>
    </r>
  </si>
  <si>
    <t>金羚庄园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</si>
  <si>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樽美酒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</si>
  <si>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清酒（日本米酒）</t>
    </r>
  </si>
  <si>
    <t>光瓶叙</t>
  </si>
  <si>
    <r>
      <t>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姚</t>
    </r>
  </si>
  <si>
    <r>
      <t xml:space="preserve">食用酒精;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葡萄酒</t>
    </r>
  </si>
  <si>
    <r>
      <t>侯官青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</si>
  <si>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福建省宏盛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</si>
  <si>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</si>
  <si>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新启源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</si>
  <si>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州新启源商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</si>
  <si>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葡萄酒;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</si>
  <si>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情景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</si>
  <si>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</si>
  <si>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</si>
  <si>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</si>
  <si>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湖北三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</si>
  <si>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</si>
  <si>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宋韵有礼</t>
  </si>
  <si>
    <r>
      <t>杭州易旅网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</si>
  <si>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</t>
    </r>
  </si>
  <si>
    <r>
      <t>王昌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</si>
  <si>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山西晋粮酒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</si>
  <si>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白酒; 葡萄酒; 威士忌; 露酒;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</si>
  <si>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醴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</si>
  <si>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烈才</t>
    </r>
  </si>
  <si>
    <r>
      <t>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</si>
  <si>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伏特加酒; 黄酒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</si>
  <si>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动岛</t>
    </r>
  </si>
  <si>
    <r>
      <t>王雪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</si>
  <si>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</si>
  <si>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云上星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</si>
  <si>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昆明雅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物料有限公司</t>
    </r>
  </si>
  <si>
    <r>
      <t>白酒;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</si>
  <si>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雩山</t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</si>
  <si>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</si>
  <si>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</si>
  <si>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情景藏酒</t>
  </si>
  <si>
    <r>
      <t xml:space="preserve">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</si>
  <si>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图鲲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</si>
  <si>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门蓝</t>
    </r>
    <r>
      <rPr>
        <sz val="11"/>
        <color theme="1"/>
        <rFont val="ＭＳ Ｐゴシック"/>
        <family val="3"/>
        <charset val="128"/>
        <scheme val="minor"/>
      </rPr>
      <t>极档案技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</si>
  <si>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</t>
    </r>
  </si>
  <si>
    <t>青果巷</t>
  </si>
  <si>
    <r>
      <t>常州市晋陵投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</si>
  <si>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</si>
  <si>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真 32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</si>
  <si>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</si>
  <si>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QIANDAOHU 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湖威士忌</t>
    </r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</si>
  <si>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</si>
  <si>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</t>
  </si>
  <si>
    <r>
      <t>侠客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</si>
  <si>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</si>
  <si>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烈性干酒; 白酒; 果酒（含酒精）; 果酒;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</si>
  <si>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精水粮</t>
  </si>
  <si>
    <r>
      <t>四川精水粮商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</si>
  <si>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</t>
    </r>
  </si>
  <si>
    <t>丙乾洞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</si>
  <si>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</si>
  <si>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</si>
  <si>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那通兵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</si>
  <si>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</si>
  <si>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淳粱</t>
  </si>
  <si>
    <r>
      <t>廊坊市淳粱商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</si>
  <si>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青稞酒; 白干酒（中国白酒）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</si>
  <si>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工曲</t>
    </r>
  </si>
  <si>
    <r>
      <t>四川粮投粮油集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</si>
  <si>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米酒;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</si>
  <si>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权权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</si>
  <si>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袁州区易多氏百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</si>
  <si>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</si>
  <si>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道鼎</t>
  </si>
  <si>
    <t>周桂芳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</si>
  <si>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</si>
  <si>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醺印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</si>
  <si>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州黄氏酒厂有限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</si>
  <si>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</si>
  <si>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针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</si>
  <si>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</si>
  <si>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厨房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</si>
  <si>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华联</t>
    </r>
    <r>
      <rPr>
        <sz val="11"/>
        <color theme="1"/>
        <rFont val="ＭＳ Ｐゴシック"/>
        <family val="3"/>
        <charset val="128"/>
        <scheme val="minor"/>
      </rPr>
      <t>（SKP）百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</si>
  <si>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利口酒; 葡萄酒</t>
    </r>
  </si>
  <si>
    <t>柔将</t>
  </si>
  <si>
    <t>王留英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</si>
  <si>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</si>
  <si>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</si>
  <si>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</si>
  <si>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</si>
  <si>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</si>
  <si>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君故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</si>
  <si>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</si>
  <si>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果酒（含酒精）; 白干酒（中国白酒）</t>
    </r>
  </si>
  <si>
    <t>典致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</si>
  <si>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葡萄酒</t>
    </r>
  </si>
  <si>
    <t>君旺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</si>
  <si>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青稞酒; 果酒（含酒精）; 黄酒; 白干酒（中国白酒）;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</si>
  <si>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家美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</si>
  <si>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英人教管理有限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</si>
  <si>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梨酒;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</si>
  <si>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仁真杜吉</t>
  </si>
  <si>
    <r>
      <t>西藏朗</t>
    </r>
    <r>
      <rPr>
        <sz val="11"/>
        <color theme="1"/>
        <rFont val="ＭＳ Ｐゴシック"/>
        <family val="3"/>
        <charset val="134"/>
        <scheme val="minor"/>
      </rPr>
      <t>赛经贸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</si>
  <si>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梨酒; 葡萄酒; 果酒（含酒精）; 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</t>
    </r>
  </si>
  <si>
    <r>
      <t>花田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</si>
  <si>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森之林健康科技有限公司</t>
    </r>
  </si>
  <si>
    <r>
      <t xml:space="preserve">果酒（含酒精）; 葡萄酒; 威士忌; 黄酒; 白酒; 伏特加酒;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</si>
  <si>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狮龙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</si>
  <si>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狮龙</t>
    </r>
    <r>
      <rPr>
        <sz val="11"/>
        <color theme="1"/>
        <rFont val="ＭＳ Ｐゴシック"/>
        <family val="3"/>
        <charset val="128"/>
        <scheme val="minor"/>
      </rPr>
      <t>家居建材股份有限公司</t>
    </r>
  </si>
  <si>
    <r>
      <t xml:space="preserve">米酒; 白酒; 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</si>
  <si>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TRACEL</t>
  </si>
  <si>
    <r>
      <t>萃斯健康（新西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</si>
  <si>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威士忌;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</si>
  <si>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松尾 MATSUWO</t>
  </si>
  <si>
    <r>
      <t>株式会社高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助作酒造店</t>
    </r>
  </si>
  <si>
    <r>
      <t>清酒（日本米酒）; 合成清酒;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以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主的日本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酒和汽水、果汁作成的酒);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日式甜米酒;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甜酒</t>
    </r>
  </si>
  <si>
    <t>云井福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</si>
  <si>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画奎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</si>
  <si>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白酒; 葡萄酒; 青稞酒;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</si>
  <si>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杏沅</t>
  </si>
  <si>
    <r>
      <t>山西清香型白酒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</si>
  <si>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</t>
    </r>
  </si>
  <si>
    <r>
      <t>秦岭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</si>
  <si>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西秦岭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</si>
  <si>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梨酒;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</si>
  <si>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合力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气</t>
    </r>
  </si>
  <si>
    <r>
      <t>山西地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坤能源科技有限公司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</si>
  <si>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利口酒; 米酒;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</si>
  <si>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丘山山谷</t>
  </si>
  <si>
    <r>
      <t>烟台市蓬莱区葡萄与葡萄酒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</si>
  <si>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汽酒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</si>
  <si>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工匠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</si>
  <si>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</si>
  <si>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工洞</t>
    </r>
  </si>
  <si>
    <r>
      <t>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威士忌</t>
    </r>
  </si>
  <si>
    <t>元仁生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</si>
  <si>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元仁生酒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</si>
  <si>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汽酒; 果酒（含酒精）; 白酒; 米酒</t>
    </r>
  </si>
  <si>
    <t>景瓷台</t>
  </si>
  <si>
    <r>
      <t>安徽井名天下酒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</si>
  <si>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食用酒精;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</si>
  <si>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庆烧锅</t>
    </r>
  </si>
  <si>
    <r>
      <t>朝阳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</si>
  <si>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</si>
  <si>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天地粮人</t>
  </si>
  <si>
    <r>
      <t>李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</si>
  <si>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</si>
  <si>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牧融</t>
  </si>
  <si>
    <r>
      <t>牧融集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</si>
  <si>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清酒（日本米酒）;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米酒</t>
    </r>
  </si>
  <si>
    <r>
      <t>犟</t>
    </r>
    <r>
      <rPr>
        <sz val="11"/>
        <color theme="1"/>
        <rFont val="ＭＳ Ｐゴシック"/>
        <family val="3"/>
        <charset val="128"/>
        <scheme val="minor"/>
      </rPr>
      <t>歪歪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</si>
  <si>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友照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</si>
  <si>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青稞酒;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</si>
  <si>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周率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</si>
  <si>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</si>
  <si>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r>
      <t>利口酒;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</si>
  <si>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恒潭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</si>
  <si>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</si>
  <si>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状元侯</t>
  </si>
  <si>
    <t>陈军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</si>
  <si>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</si>
  <si>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汉东</t>
    </r>
    <r>
      <rPr>
        <sz val="11"/>
        <color theme="1"/>
        <rFont val="ＭＳ Ｐゴシック"/>
        <family val="3"/>
        <charset val="128"/>
        <scheme val="minor"/>
      </rPr>
      <t>魁</t>
    </r>
  </si>
  <si>
    <t>王法壮</t>
  </si>
  <si>
    <r>
      <t>食用酒精; 葡萄酒;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</si>
  <si>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养森</t>
    </r>
  </si>
  <si>
    <r>
      <t>中山市康养医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</si>
  <si>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</t>
    </r>
  </si>
  <si>
    <r>
      <t>中恒酒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</si>
  <si>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西中恒合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</si>
  <si>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</si>
  <si>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窑工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</si>
  <si>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姜氏古窑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</si>
  <si>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</si>
  <si>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关云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</si>
  <si>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稻花香集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</si>
  <si>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</si>
  <si>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絮台</t>
  </si>
  <si>
    <t>戴林美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</si>
  <si>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高粱酒; 葡萄酒; 青稞酒; 白酒</t>
    </r>
  </si>
  <si>
    <t>闽师红</t>
  </si>
  <si>
    <r>
      <t>漳州市宝地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</si>
  <si>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</si>
  <si>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活虎</t>
    </r>
  </si>
  <si>
    <r>
      <t>陈亚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</si>
  <si>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</si>
  <si>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龙华娅</t>
    </r>
    <r>
      <rPr>
        <sz val="11"/>
        <color theme="1"/>
        <rFont val="ＭＳ Ｐゴシック"/>
        <family val="3"/>
        <charset val="128"/>
        <scheme val="minor"/>
      </rPr>
      <t>晴坊信息咨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</si>
  <si>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</si>
  <si>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浓浓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</si>
  <si>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中福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</si>
  <si>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葡萄酒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</si>
  <si>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百花</t>
    </r>
    <r>
      <rPr>
        <sz val="11"/>
        <color theme="1"/>
        <rFont val="ＭＳ Ｐゴシック"/>
        <family val="3"/>
        <charset val="134"/>
        <scheme val="minor"/>
      </rPr>
      <t>颂</t>
    </r>
  </si>
  <si>
    <t>黄阳洋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</si>
  <si>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威士忌; 汽酒; 清酒; 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</si>
  <si>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塘江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</si>
  <si>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贡亲</t>
    </r>
    <r>
      <rPr>
        <sz val="11"/>
        <color theme="1"/>
        <rFont val="ＭＳ Ｐゴシック"/>
        <family val="3"/>
        <charset val="128"/>
        <scheme val="minor"/>
      </rPr>
      <t>旺生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</si>
  <si>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</si>
  <si>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雄脉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</si>
  <si>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州惠祥博达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</si>
  <si>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清酒（日本米酒）; 葡萄酒; 黄酒; 汽酒;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朗姆酒</t>
    </r>
  </si>
  <si>
    <t>戚浦塘</t>
  </si>
  <si>
    <r>
      <t>须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</si>
  <si>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</si>
  <si>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</si>
  <si>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云南滇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</si>
  <si>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</t>
    </r>
  </si>
  <si>
    <t>鼎盛殷商</t>
  </si>
  <si>
    <r>
      <t>安阳市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可欣健康管理有限公司</t>
    </r>
  </si>
  <si>
    <r>
      <t>汽酒; 果酒（含酒精）;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</si>
  <si>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梦凡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 xml:space="preserve"> 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MFC</t>
    </r>
  </si>
  <si>
    <r>
      <t>河南梦凡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</si>
  <si>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</si>
  <si>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蝉酒</t>
  </si>
  <si>
    <r>
      <t>顾卫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</si>
  <si>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</si>
  <si>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宏养堂</t>
  </si>
  <si>
    <t>正品河北科技有限公司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</si>
  <si>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</si>
  <si>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碧春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</si>
  <si>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州碧春酒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</si>
  <si>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</si>
  <si>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t>刘家甸</t>
  </si>
  <si>
    <r>
      <t>蔡永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</si>
  <si>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</t>
    </r>
  </si>
  <si>
    <t>HOLENG PANPALDS</t>
  </si>
  <si>
    <r>
      <t>福建戴斯酒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</si>
  <si>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威士忌; 米酒</t>
    </r>
  </si>
  <si>
    <t>金力渡</t>
  </si>
  <si>
    <t>黄培（******************）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</si>
  <si>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黄酒; 白酒</t>
    </r>
  </si>
  <si>
    <t>褚匠</t>
  </si>
  <si>
    <r>
      <t>云南褚酒庄园酒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</si>
  <si>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</si>
  <si>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匠台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</si>
  <si>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</si>
  <si>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</si>
  <si>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之甘醇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</si>
  <si>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</si>
  <si>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汽酒;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</si>
  <si>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t>醉宴天下</t>
  </si>
  <si>
    <t>刘大阳</t>
  </si>
  <si>
    <r>
      <t xml:space="preserve">米酒; 青稞酒; 清酒;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高粱酒; 白酒</t>
    </r>
  </si>
  <si>
    <t>炎礼</t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</si>
  <si>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</si>
  <si>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</si>
  <si>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妙佳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橙之恋</t>
    </r>
  </si>
  <si>
    <r>
      <t>保定妙士乳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</si>
  <si>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茴芹酒（利口酒）;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</si>
  <si>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</si>
  <si>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平******************</t>
    </r>
  </si>
  <si>
    <r>
      <t xml:space="preserve">伏特加酒;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</si>
  <si>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 xml:space="preserve">喜 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囍</t>
    </r>
  </si>
  <si>
    <t>双喜（浙江）食品有限公司</t>
  </si>
  <si>
    <r>
      <t>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清酒; 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</si>
  <si>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生交通（集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</si>
  <si>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米酒;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</si>
  <si>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清酒（日本米酒）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</si>
  <si>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餐后酒（利口酒和烈酒）; 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</si>
  <si>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蜂蜜酒</t>
    </r>
  </si>
  <si>
    <t>富邑 大胆无畏，精心培育</t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</si>
  <si>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</si>
  <si>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加烈葡萄酒; 白酒; 餐后酒（利口酒和烈酒）;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</t>
    </r>
  </si>
  <si>
    <t>魔胴</t>
  </si>
  <si>
    <r>
      <t>巨星文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</si>
  <si>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咖啡利口酒;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苦味酒</t>
    </r>
  </si>
  <si>
    <t>武陵酒 我的酒窖</t>
  </si>
  <si>
    <t>湖南武陵酒有限公司</t>
  </si>
  <si>
    <r>
      <t xml:space="preserve">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</si>
  <si>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武陵 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</si>
  <si>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</si>
  <si>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r>
      <t>高新区晏氏子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</si>
  <si>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葡萄酒; 果酒; 露酒;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梅酒; 食用酒精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</si>
  <si>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</si>
  <si>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北京挖玖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</si>
  <si>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</si>
  <si>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HALLBERGMUS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</si>
  <si>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</t>
    </r>
  </si>
  <si>
    <t>仰韶古陶坊</t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</si>
  <si>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</si>
  <si>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</si>
  <si>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仰韶土陶坊</t>
  </si>
  <si>
    <r>
      <t>葡萄酒;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</si>
  <si>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仰韶古陶</t>
  </si>
  <si>
    <r>
      <t>米酒;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</si>
  <si>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QIANGJIN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</si>
  <si>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</t>
    </r>
  </si>
  <si>
    <r>
      <t>袍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</si>
  <si>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叶小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</si>
  <si>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云雪窖</t>
    </r>
  </si>
  <si>
    <t>刘毅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</si>
  <si>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苦味酒</t>
    </r>
  </si>
  <si>
    <t>悠哉 至境</t>
  </si>
  <si>
    <t>程海峰******************</t>
  </si>
  <si>
    <r>
      <t xml:space="preserve">白酒; 米酒;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</si>
  <si>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来点茶趣</t>
  </si>
  <si>
    <r>
      <t>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食品控股（集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</si>
  <si>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</si>
  <si>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茶之舞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</si>
  <si>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苹果酒;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</si>
  <si>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北京蜜莱</t>
    </r>
    <r>
      <rPr>
        <sz val="11"/>
        <color theme="1"/>
        <rFont val="ＭＳ Ｐゴシック"/>
        <family val="3"/>
        <charset val="134"/>
        <scheme val="minor"/>
      </rPr>
      <t>坞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</si>
  <si>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</si>
  <si>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天下川</t>
  </si>
  <si>
    <t>叶慧慧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</si>
  <si>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</si>
  <si>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泉元气</t>
  </si>
  <si>
    <r>
      <t>北京大国智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</si>
  <si>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汽酒; 高粱酒; 葡萄酒; 米酒; 含酒精的气泡水</t>
    </r>
  </si>
  <si>
    <t>老昭牌</t>
  </si>
  <si>
    <t>万璞</t>
  </si>
  <si>
    <t>白酒; 青稞酒; 葡萄酒</t>
  </si>
  <si>
    <t>LA PECHE</t>
  </si>
  <si>
    <t>深圳市蜜桃星球品牌管理有限公司</t>
  </si>
  <si>
    <r>
      <t>白干酒（中国白酒）;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天然汽酒;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含酒精蛋奶酒; 蝮蛇酒;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清酒; 青稞酒; 食用酒精...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</si>
  <si>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</si>
  <si>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品流通控股有限公司</t>
    </r>
  </si>
  <si>
    <t>果酒（含酒精）; 葡萄酒; 白酒; 食用酒精</t>
  </si>
  <si>
    <r>
      <t>天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</si>
  <si>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上海圣音投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</si>
  <si>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</si>
  <si>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博物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SHUNCHANG COUNTY MUSEUM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</si>
  <si>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</si>
  <si>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</si>
  <si>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淳甄留香</t>
  </si>
  <si>
    <t>北京淳甄留香文化有限公司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</si>
  <si>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</si>
  <si>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台今</t>
  </si>
  <si>
    <t>练爱东</t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</si>
  <si>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</si>
  <si>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</si>
  <si>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云南薇清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</si>
  <si>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</si>
  <si>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佰冨紫澳珠 BAIFORDS ZENAOZO</t>
  </si>
  <si>
    <r>
      <t>吉林省牧歌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</si>
  <si>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葡萄潘趣酒;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</si>
  <si>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献超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</si>
  <si>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万源市献超加工坊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</si>
  <si>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</si>
  <si>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田窑</t>
    </r>
  </si>
  <si>
    <r>
      <t>徐志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</si>
  <si>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开胃酒; 果酒（含酒精）</t>
    </r>
  </si>
  <si>
    <t>金川老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</si>
  <si>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玉山</t>
    </r>
  </si>
  <si>
    <r>
      <t>米酒; 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</si>
  <si>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真小欠</t>
  </si>
  <si>
    <t>刘忠涛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</si>
  <si>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</t>
    </r>
  </si>
  <si>
    <t>清照千秋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</si>
  <si>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</si>
  <si>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酸酒（低等葡萄酒）;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黄酒; 开胃酒; 葡萄酒; 米酒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</si>
  <si>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和</t>
    </r>
  </si>
  <si>
    <t>陈龙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</si>
  <si>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</si>
  <si>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竹林里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</si>
  <si>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爱县</t>
    </r>
    <r>
      <rPr>
        <sz val="11"/>
        <color theme="1"/>
        <rFont val="ＭＳ Ｐゴシック"/>
        <family val="3"/>
        <charset val="128"/>
        <scheme val="minor"/>
      </rPr>
      <t>竹林里生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</si>
  <si>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</si>
  <si>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郭守敬</t>
  </si>
  <si>
    <r>
      <t>张树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</si>
  <si>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</si>
  <si>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都八岔沟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</si>
  <si>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果酒（含酒精）; 米酒; 餐后酒（利口酒和烈酒）; 黄酒</t>
    </r>
  </si>
  <si>
    <r>
      <t>官</t>
    </r>
    <r>
      <rPr>
        <sz val="11"/>
        <color theme="1"/>
        <rFont val="ＭＳ Ｐゴシック"/>
        <family val="3"/>
        <charset val="134"/>
        <scheme val="minor"/>
      </rPr>
      <t>鹅风</t>
    </r>
    <r>
      <rPr>
        <sz val="11"/>
        <color theme="1"/>
        <rFont val="ＭＳ Ｐゴシック"/>
        <family val="3"/>
        <charset val="128"/>
        <scheme val="minor"/>
      </rPr>
      <t>情青山羌酒</t>
    </r>
  </si>
  <si>
    <r>
      <t>宕昌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官</t>
    </r>
    <r>
      <rPr>
        <sz val="11"/>
        <color theme="1"/>
        <rFont val="ＭＳ Ｐゴシック"/>
        <family val="3"/>
        <charset val="134"/>
        <scheme val="minor"/>
      </rPr>
      <t>鹅风</t>
    </r>
    <r>
      <rPr>
        <sz val="11"/>
        <color theme="1"/>
        <rFont val="ＭＳ Ｐゴシック"/>
        <family val="3"/>
        <charset val="128"/>
        <scheme val="minor"/>
      </rPr>
      <t>情商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</si>
  <si>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利口酒;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白酒</t>
    </r>
  </si>
  <si>
    <t>千山香物</t>
  </si>
  <si>
    <r>
      <t>成都楼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</si>
  <si>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食用酒精; 含酒精的气泡水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</si>
  <si>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有道</t>
    </r>
  </si>
  <si>
    <r>
      <t>北京一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</si>
  <si>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</si>
  <si>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山西佗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</si>
  <si>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青稞酒; 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</si>
  <si>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淡雅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陶坊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</si>
  <si>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迪巧生物科技有限公司</t>
    </r>
  </si>
  <si>
    <r>
      <t>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</si>
  <si>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淡雅金陶坊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</si>
  <si>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果酒; 葡萄酒;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</si>
  <si>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九翁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</si>
  <si>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</si>
  <si>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白酒; 开胃酒; 黄酒</t>
    </r>
  </si>
  <si>
    <t>婉匠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</si>
  <si>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</si>
  <si>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刘敏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</si>
  <si>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食用酒精; 清酒（日本米酒）;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</si>
  <si>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金太白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</si>
  <si>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西省太白酒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</si>
  <si>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开胃酒; 利口酒; 米酒</t>
    </r>
  </si>
  <si>
    <r>
      <t>姓氏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</si>
  <si>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韶山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亭文化科技有限公司</t>
    </r>
  </si>
  <si>
    <r>
      <t>葡萄酒; 蜂蜜酒; 黄酒; 威士忌; 伏特加酒;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</si>
  <si>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</si>
  <si>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>威士忌;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汽酒;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</si>
  <si>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大学 JIAXING UNIVERSITY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</si>
  <si>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葡萄酒; 开胃酒; 果酒（含酒精）; 汽酒;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</si>
  <si>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大巷·酒食屋</t>
  </si>
  <si>
    <r>
      <t>大巷（成都）品牌管理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</si>
  <si>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白葡萄酒; 果酒（含酒精）; 白酒; 威士忌</t>
    </r>
  </si>
  <si>
    <t>RICCO</t>
  </si>
  <si>
    <r>
      <t>迪艾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</si>
  <si>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</si>
  <si>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众宴之尊</t>
  </si>
  <si>
    <r>
      <t>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</si>
  <si>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食用酒精;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</si>
  <si>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</si>
  <si>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州玖禾人家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</si>
  <si>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</si>
  <si>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JASPERPAWS</t>
  </si>
  <si>
    <r>
      <t>江阴海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</si>
  <si>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食用酒精; 葡萄酒; 果酒（含酒精）; 清酒（日本米酒）;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</si>
  <si>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梦庄园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</si>
  <si>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</si>
  <si>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</si>
  <si>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梧微</t>
  </si>
  <si>
    <r>
      <t>山西梧微投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</si>
  <si>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高粱酒; 梅酒; 甜酒; 梨酒;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</si>
  <si>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醍醐留香</t>
  </si>
  <si>
    <r>
      <t>河南省百恒企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</si>
  <si>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</si>
  <si>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</si>
  <si>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宝</t>
    </r>
  </si>
  <si>
    <t>江西倍得力生物工程有限公司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</si>
  <si>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</si>
  <si>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仰韶玫瑰城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</si>
  <si>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</t>
    </r>
  </si>
  <si>
    <r>
      <t>六只天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 xml:space="preserve"> 6 SIX SWAN</t>
    </r>
  </si>
  <si>
    <r>
      <t>温州舒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</si>
  <si>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利口酒</t>
    </r>
  </si>
  <si>
    <r>
      <t>桂秀</t>
    </r>
    <r>
      <rPr>
        <sz val="11"/>
        <color theme="1"/>
        <rFont val="ＭＳ Ｐゴシック"/>
        <family val="3"/>
        <charset val="134"/>
        <scheme val="minor"/>
      </rPr>
      <t>轩</t>
    </r>
  </si>
  <si>
    <t>岳文杰******************</t>
  </si>
  <si>
    <r>
      <t>苦味酒; 开胃酒; 高粱酒; 苹果酒;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</si>
  <si>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囍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聚</t>
    </r>
  </si>
  <si>
    <t>于雷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</si>
  <si>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</si>
  <si>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t>壹枚壹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</si>
  <si>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正寿酒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</si>
  <si>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葡萄酒; 白酒; 开胃酒; 利口酒; 青稞酒; 米酒</t>
    </r>
  </si>
  <si>
    <t>DAO JIA JIA</t>
  </si>
  <si>
    <t>成都到家家科技有限公司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</si>
  <si>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</si>
  <si>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金古京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</si>
  <si>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</si>
  <si>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NUTRIDIARY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</si>
  <si>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东颜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</si>
  <si>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白酒; 米酒; 果酒;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</si>
  <si>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台沁源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</si>
  <si>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市寨中藏酒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</si>
  <si>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</si>
  <si>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晋商古韵家人宴</t>
  </si>
  <si>
    <r>
      <t>灵石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晋商古韵酒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</si>
  <si>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开胃酒; 青稞酒; 苹果酒; 白酒; 黄酒; 葡萄酒;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</si>
  <si>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真韵</t>
  </si>
  <si>
    <r>
      <t>白酒; 烈酒; 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果酒; 露酒; 黄酒</t>
    </r>
  </si>
  <si>
    <r>
      <t>特朗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</si>
  <si>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县鲁</t>
    </r>
    <r>
      <rPr>
        <sz val="11"/>
        <color theme="1"/>
        <rFont val="ＭＳ Ｐゴシック"/>
        <family val="3"/>
        <charset val="128"/>
        <scheme val="minor"/>
      </rPr>
      <t>泰阳光影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</si>
  <si>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</si>
  <si>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馥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</si>
  <si>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龙伟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</si>
  <si>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</si>
  <si>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井梦台</t>
  </si>
  <si>
    <t>胡磊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</si>
  <si>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黄酒; 蜂蜜酒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</si>
  <si>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湖商道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</si>
  <si>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</si>
  <si>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米酒; 开胃酒</t>
    </r>
  </si>
  <si>
    <r>
      <t>徍徍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</si>
  <si>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湖北佳家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</si>
  <si>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</si>
  <si>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竿子坪田氏家甜酒</t>
  </si>
  <si>
    <r>
      <t>田</t>
    </r>
    <r>
      <rPr>
        <sz val="11"/>
        <color theme="1"/>
        <rFont val="ＭＳ Ｐゴシック"/>
        <family val="3"/>
        <charset val="134"/>
        <scheme val="minor"/>
      </rPr>
      <t>应莲</t>
    </r>
  </si>
  <si>
    <r>
      <t>预调</t>
    </r>
    <r>
      <rPr>
        <sz val="11"/>
        <color theme="1"/>
        <rFont val="ＭＳ Ｐゴシック"/>
        <family val="3"/>
        <charset val="128"/>
        <scheme val="minor"/>
      </rPr>
      <t>甜酒; 甜酒</t>
    </r>
  </si>
  <si>
    <t>竿子坪田氏甜酒</t>
  </si>
  <si>
    <r>
      <t>坤台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</si>
  <si>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赵跃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</si>
  <si>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蒸煮提取物（利口酒和烈酒）; 食用酒精;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</si>
  <si>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金品芝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</si>
  <si>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仙草食养集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</si>
  <si>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</si>
  <si>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樽品天下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</si>
  <si>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樽瑞源酒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</si>
  <si>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苦味酒;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</si>
  <si>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KDE</t>
  </si>
  <si>
    <r>
      <t>庞满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</si>
  <si>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 xml:space="preserve">白酒;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青稞酒; 葡萄酒</t>
    </r>
  </si>
  <si>
    <t>黄上千樽</t>
  </si>
  <si>
    <t>吴大海******************</t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</si>
  <si>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</si>
  <si>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九品道</t>
  </si>
  <si>
    <t>余志雄</t>
  </si>
  <si>
    <r>
      <t xml:space="preserve">葡萄酒; 清酒; 白干酒（中国白酒）;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露酒; 米酒;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</si>
  <si>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酒 金瓶照月</t>
  </si>
  <si>
    <t>吴桂云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</si>
  <si>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</si>
  <si>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季</t>
    </r>
  </si>
  <si>
    <t>蒋开友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</si>
  <si>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</si>
  <si>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草原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</si>
  <si>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内蒙古太仆寺旗草原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</si>
  <si>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奶油利口酒;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黄酒; 食用酒精;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</si>
  <si>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北毛</t>
    </r>
    <r>
      <rPr>
        <sz val="11"/>
        <color theme="1"/>
        <rFont val="ＭＳ Ｐゴシック"/>
        <family val="3"/>
        <charset val="129"/>
        <scheme val="minor"/>
      </rPr>
      <t>罈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</si>
  <si>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长伟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</si>
  <si>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</si>
  <si>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中海紫光</t>
  </si>
  <si>
    <t>李春春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</si>
  <si>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开胃酒;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</si>
  <si>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帝王秦</t>
  </si>
  <si>
    <r>
      <t>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</si>
  <si>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</si>
  <si>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南植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</si>
  <si>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论剑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</si>
  <si>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白干酒（中国白酒）; 白酒; 烈酒;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</si>
  <si>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七色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</si>
  <si>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开胃酒; 餐后酒（利口酒和烈酒）;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</si>
  <si>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文光</t>
    </r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</si>
  <si>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高洲酒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</si>
  <si>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白酒; 苹果酒; 葡萄酒;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</si>
  <si>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芳溪湖</t>
  </si>
  <si>
    <r>
      <t>南昌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易氏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</si>
  <si>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高粱酒; 果酒;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</si>
  <si>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四川省川派河王酒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</si>
  <si>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伏特加酒; 白酒; 开胃酒; 清酒（日本米酒）</t>
    </r>
  </si>
  <si>
    <t>杞王道</t>
  </si>
  <si>
    <r>
      <t>党二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</si>
  <si>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</si>
  <si>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歆沂</t>
  </si>
  <si>
    <r>
      <t>南京歆沂商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</si>
  <si>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</si>
  <si>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常双甲</t>
  </si>
  <si>
    <r>
      <t>上海月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疗仪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</si>
  <si>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葡萄酒; 白酒; 白干酒（中国白酒）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</si>
  <si>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见欢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</si>
  <si>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</si>
  <si>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葡萄酒; 威士忌; 黄酒; 白酒;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</si>
  <si>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端明</t>
    </r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</si>
  <si>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</si>
  <si>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</t>
    </r>
  </si>
  <si>
    <r>
      <t>埊</t>
    </r>
    <r>
      <rPr>
        <sz val="11"/>
        <color theme="1"/>
        <rFont val="ＭＳ Ｐゴシック"/>
        <family val="3"/>
        <charset val="128"/>
        <scheme val="minor"/>
      </rPr>
      <t>壹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</si>
  <si>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苹果酒; 白酒; 餐后酒（利口酒和烈酒）</t>
    </r>
  </si>
  <si>
    <t>舍魅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</si>
  <si>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市琳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</si>
  <si>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葡萄酒; 烈酒; 高粱酒; 果酒（含酒精）;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</si>
  <si>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河湟威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</si>
  <si>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利口酒;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</si>
  <si>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品籍</t>
  </si>
  <si>
    <r>
      <t>果酒（含酒精）;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黄酒; 开胃酒;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</si>
  <si>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匠王台社供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</si>
  <si>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</si>
  <si>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臻望酒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</si>
  <si>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果酒（含酒精）; 开胃酒; 黄酒; 白酒; 高粱酒</t>
    </r>
  </si>
  <si>
    <t>臻馨塞外</t>
  </si>
  <si>
    <r>
      <t>内蒙古百年酒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</si>
  <si>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苹果酒; 水果汽酒;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</si>
  <si>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卑部落</t>
    </r>
  </si>
  <si>
    <r>
      <t>内蒙古蒙商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</si>
  <si>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黄酒; 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高粱酒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</si>
  <si>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酒人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</si>
  <si>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开胃酒; 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</si>
  <si>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水到府</t>
  </si>
  <si>
    <r>
      <t>北京泉水源泉商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</si>
  <si>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果酒（含酒精）</t>
    </r>
  </si>
  <si>
    <r>
      <t>京玖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山河源</t>
    </r>
  </si>
  <si>
    <r>
      <t>德明尚品科技集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</si>
  <si>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</si>
  <si>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</si>
  <si>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深圳合元堂中医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</si>
  <si>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</t>
    </r>
  </si>
  <si>
    <t>FARADAY FUTURE</t>
  </si>
  <si>
    <t>法拉第未来公司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</si>
  <si>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朗姆酒</t>
    </r>
  </si>
  <si>
    <t>汉锻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</si>
  <si>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明杰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</si>
  <si>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清酒; 果酒（含酒精）; 利口酒; 白酒; 黄酒; 高粱酒</t>
    </r>
  </si>
  <si>
    <t>盛唐玉印</t>
  </si>
  <si>
    <t>刘南照</t>
  </si>
  <si>
    <r>
      <t xml:space="preserve">果酒（含酒精）; 汽酒; 高粱酒; 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白干酒（中国白酒）; 葡萄酒</t>
    </r>
  </si>
  <si>
    <t>宗冠</t>
  </si>
  <si>
    <t>李天配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</si>
  <si>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</si>
  <si>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无老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</si>
  <si>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素陀国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</si>
  <si>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</si>
  <si>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牛</t>
    </r>
  </si>
  <si>
    <t>梁文英</t>
  </si>
  <si>
    <r>
      <t xml:space="preserve">葡萄酒; 威士忌;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</si>
  <si>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世河山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</si>
  <si>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珊珊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</si>
  <si>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</si>
  <si>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FANCY ROYAL</t>
  </si>
  <si>
    <t>晏翔云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</si>
  <si>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</t>
    </r>
  </si>
  <si>
    <t>白葡萄酒; 朗姆酒; 白酒; 开胃酒; 利口酒; 果酒（含酒精）; 高粱酒; 伏特加酒; 烈酒; 威士忌</t>
  </si>
  <si>
    <t>朗姆酒; 烈酒; 利口酒; 果酒（含酒精）; 威士忌; 白酒; 开胃酒; 白葡萄酒; 伏特加酒; 高粱酒</t>
  </si>
  <si>
    <t>JIPYEONG BREWERY</t>
  </si>
  <si>
    <t>株式会社砥平酒造</t>
  </si>
  <si>
    <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</si>
  <si>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 xml:space="preserve">味 </t>
    </r>
    <r>
      <rPr>
        <sz val="11"/>
        <color theme="1"/>
        <rFont val="ＭＳ Ｐゴシック"/>
        <family val="3"/>
        <charset val="134"/>
        <scheme val="minor"/>
      </rPr>
      <t>简单</t>
    </r>
    <r>
      <rPr>
        <sz val="11"/>
        <color theme="1"/>
        <rFont val="ＭＳ Ｐゴシック"/>
        <family val="3"/>
        <charset val="128"/>
        <scheme val="minor"/>
      </rPr>
      <t>幸福味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</si>
  <si>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沙知花知果网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</si>
  <si>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高粱酒; 甜酒; 米酒; 葡萄酒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</si>
  <si>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楼</t>
    </r>
  </si>
  <si>
    <t>王宝文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</si>
  <si>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食用酒精; 利口酒; 果酒（含酒精）</t>
    </r>
  </si>
  <si>
    <t>DACHONGJIU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</si>
  <si>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州舍台酒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</si>
  <si>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葡萄酒; 汽酒;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</si>
  <si>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斗去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蛋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</si>
  <si>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西一路成歌信息科技有限公司</t>
    </r>
  </si>
  <si>
    <r>
      <t xml:space="preserve">威士忌;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</si>
  <si>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万尊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</si>
  <si>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利口酒; 高粱酒; 开胃酒; 清酒</t>
    </r>
  </si>
  <si>
    <t>中拍</t>
  </si>
  <si>
    <t>中拍股份有限公司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</si>
  <si>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甜酒; 果酒; 烈酒; 清酒; 白酒; 高粱酒</t>
    </r>
  </si>
  <si>
    <t>黄河小金庄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</si>
  <si>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南百世泉酒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</si>
  <si>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</si>
  <si>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林春</t>
    </r>
  </si>
  <si>
    <r>
      <t>上海向山海商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</si>
  <si>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水果汽酒; 白酒; 果酒（含酒精）</t>
    </r>
  </si>
  <si>
    <t>施普善</t>
  </si>
  <si>
    <r>
      <t>和利（广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</si>
  <si>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</si>
  <si>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THE ESTATES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</si>
  <si>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朗姆酒;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</si>
  <si>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蝉味</t>
    </r>
  </si>
  <si>
    <r>
      <t>深圳市大拇指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</si>
  <si>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</si>
  <si>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壬寅虎酒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</si>
  <si>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虎将酒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</si>
  <si>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</si>
  <si>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三牛一兔</t>
  </si>
  <si>
    <r>
      <t>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市宇宙信息技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</si>
  <si>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</si>
  <si>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 xml:space="preserve">州春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版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</si>
  <si>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东贝</t>
    </r>
    <r>
      <rPr>
        <sz val="11"/>
        <color theme="1"/>
        <rFont val="ＭＳ Ｐゴシック"/>
        <family val="3"/>
        <charset val="128"/>
        <scheme val="minor"/>
      </rPr>
      <t>州春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</si>
  <si>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白酒; 白干酒（中国白酒）</t>
    </r>
  </si>
  <si>
    <r>
      <t xml:space="preserve">白酒; 开胃酒;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威士忌</t>
    </r>
  </si>
  <si>
    <t>高着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</si>
  <si>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竹市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</si>
  <si>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</si>
  <si>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阳</t>
    </r>
    <r>
      <rPr>
        <sz val="11"/>
        <color theme="1"/>
        <rFont val="ＭＳ Ｐゴシック"/>
        <family val="3"/>
        <charset val="134"/>
        <scheme val="minor"/>
      </rPr>
      <t>錾</t>
    </r>
  </si>
  <si>
    <r>
      <t>湖北阳</t>
    </r>
    <r>
      <rPr>
        <sz val="11"/>
        <color theme="1"/>
        <rFont val="ＭＳ Ｐゴシック"/>
        <family val="3"/>
        <charset val="134"/>
        <scheme val="minor"/>
      </rPr>
      <t>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</si>
  <si>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白干酒（中国白酒）</t>
  </si>
  <si>
    <r>
      <t>值</t>
    </r>
    <r>
      <rPr>
        <sz val="11"/>
        <color theme="1"/>
        <rFont val="ＭＳ Ｐゴシック"/>
        <family val="3"/>
        <charset val="128"/>
        <scheme val="minor"/>
      </rPr>
      <t>牌重阳香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</si>
  <si>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</si>
  <si>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大慧</t>
  </si>
  <si>
    <t>王立</t>
  </si>
  <si>
    <r>
      <t>米酒; 黄酒; 白酒; 葡萄酒; 高粱酒;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</si>
  <si>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龙马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</si>
  <si>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浙江花果山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</si>
  <si>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食用酒精; 高粱酒;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</si>
  <si>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癸卯兔酒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</si>
  <si>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白酒; 露酒; 苹果酒;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</si>
  <si>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周梦婕</t>
  </si>
  <si>
    <r>
      <t>果酒（含酒精）;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</si>
  <si>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巴音高勒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</si>
  <si>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满腾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</si>
  <si>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</si>
  <si>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开胃酒; 酸酒（低等葡萄酒）;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</si>
  <si>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古遵渡</t>
  </si>
  <si>
    <r>
      <t>叶圣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</si>
  <si>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葡萄酒;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</si>
  <si>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江鼎和酒店管理有限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</si>
  <si>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米酒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</si>
  <si>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水酒中仙</t>
    </r>
  </si>
  <si>
    <t>金香雪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</si>
  <si>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食用酒精; 烈酒;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</si>
  <si>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DRBIOCARE</t>
  </si>
  <si>
    <r>
      <t>贝尔凯尔</t>
    </r>
    <r>
      <rPr>
        <sz val="11"/>
        <color theme="1"/>
        <rFont val="ＭＳ Ｐゴシック"/>
        <family val="3"/>
        <charset val="128"/>
        <scheme val="minor"/>
      </rPr>
      <t>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</si>
  <si>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黄酒; 果酒; 葡萄酒; 米酒; 白酒;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</si>
  <si>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福陀湾</t>
  </si>
  <si>
    <t>安康香韵天成生物科技有限公司</t>
  </si>
  <si>
    <r>
      <t xml:space="preserve">米酒;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白酒; 黄酒; 苹果酒; 蜂蜜酒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</si>
  <si>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</si>
  <si>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上海玖天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</si>
  <si>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梅酒;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</t>
    </r>
  </si>
  <si>
    <t>狂帝名</t>
  </si>
  <si>
    <t>王元波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</si>
  <si>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</si>
  <si>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荣彬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</si>
  <si>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</si>
  <si>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咖皮</t>
  </si>
  <si>
    <r>
      <t>上海永璞文化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</si>
  <si>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咖啡利口酒;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</si>
  <si>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黄因子</t>
    </r>
  </si>
  <si>
    <r>
      <t>湖南黄精家族科技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</si>
  <si>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苦味酒;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</si>
  <si>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</si>
  <si>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州大洪酒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</si>
  <si>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</si>
  <si>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取德</t>
  </si>
  <si>
    <r>
      <t>陈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</si>
  <si>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 xml:space="preserve">白酒;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清酒（日本米酒）; 果酒（含酒精）</t>
    </r>
  </si>
  <si>
    <r>
      <t>伴身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</si>
  <si>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金明******************</t>
    </r>
  </si>
  <si>
    <r>
      <t>米酒; 伏特加酒;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</si>
  <si>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开胃酒; 苦味酒;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</si>
  <si>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莫醉客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</si>
  <si>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伏特加酒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</si>
  <si>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致己</t>
    </r>
  </si>
  <si>
    <r>
      <t>漯河利通液</t>
    </r>
    <r>
      <rPr>
        <sz val="11"/>
        <color theme="1"/>
        <rFont val="ＭＳ Ｐゴシック"/>
        <family val="3"/>
        <charset val="134"/>
        <scheme val="minor"/>
      </rPr>
      <t>压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</si>
  <si>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葡萄酒</t>
    </r>
  </si>
  <si>
    <r>
      <t>绮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</si>
  <si>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市涵予文化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</si>
  <si>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佐餐酒; 米酒; 葡萄酒</t>
    </r>
  </si>
  <si>
    <r>
      <t>亮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</si>
  <si>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上海亮</t>
    </r>
    <r>
      <rPr>
        <sz val="11"/>
        <color theme="1"/>
        <rFont val="ＭＳ Ｐゴシック"/>
        <family val="3"/>
        <charset val="134"/>
        <scheme val="minor"/>
      </rPr>
      <t>剑军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</si>
  <si>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</si>
  <si>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草因子</t>
    </r>
  </si>
  <si>
    <r>
      <t xml:space="preserve">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清酒（日本米酒）</t>
    </r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</si>
  <si>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</si>
  <si>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浭</t>
    </r>
    <r>
      <rPr>
        <sz val="11"/>
        <color theme="1"/>
        <rFont val="ＭＳ Ｐゴシック"/>
        <family val="3"/>
        <charset val="128"/>
        <scheme val="minor"/>
      </rPr>
      <t>粮</t>
    </r>
  </si>
  <si>
    <t>柳善文</t>
  </si>
  <si>
    <r>
      <t>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果酒（含酒精）; 黄酒</t>
    </r>
  </si>
  <si>
    <t>七豚</t>
  </si>
  <si>
    <r>
      <t>上海承燕商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</si>
  <si>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梅酒; 清酒; 伏特加酒; 葡萄酒;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</si>
  <si>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溱湖吟象</t>
  </si>
  <si>
    <r>
      <t>郑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</si>
  <si>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</si>
  <si>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男人愿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</si>
  <si>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</si>
  <si>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篪和天下</t>
  </si>
  <si>
    <r>
      <t>亳州市徽香四溢商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</si>
  <si>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蜂蜜酒; 食用酒精; 白酒</t>
    </r>
  </si>
  <si>
    <t>苗小苗</t>
  </si>
  <si>
    <t>王楠楠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</si>
  <si>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黄酒; 葡萄酒</t>
    </r>
  </si>
  <si>
    <r>
      <t>青藤国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</si>
  <si>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浙江青藤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</si>
  <si>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利口酒; 开胃酒;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</si>
  <si>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白沴</t>
  </si>
  <si>
    <r>
      <t>陈</t>
    </r>
    <r>
      <rPr>
        <sz val="11"/>
        <color theme="1"/>
        <rFont val="ＭＳ Ｐゴシック"/>
        <family val="3"/>
        <charset val="128"/>
        <scheme val="minor"/>
      </rPr>
      <t>玉双</t>
    </r>
  </si>
  <si>
    <r>
      <t>果酒（含酒精）; 利口酒; 蜂蜜酒; 梨酒;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</si>
  <si>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豫畔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</si>
  <si>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谢远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</si>
  <si>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</t>
    </r>
  </si>
  <si>
    <t>黎塞留公爵</t>
  </si>
  <si>
    <t>黎塞留城堡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</si>
  <si>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白葡萄酒;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</t>
    </r>
  </si>
  <si>
    <t>仁村渡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</si>
  <si>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市古滇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</si>
  <si>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餐后酒（利口酒和烈酒）;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草本型利口酒; 开胃酒</t>
    </r>
  </si>
  <si>
    <t>万博新星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</si>
  <si>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州遵仁台酒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</si>
  <si>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米酒; 黄酒;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</si>
  <si>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至糯酒坊</t>
  </si>
  <si>
    <r>
      <t>卢东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</si>
  <si>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酸酒（低等葡萄酒）;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</si>
  <si>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䬩亼</t>
  </si>
  <si>
    <r>
      <t>醺淘网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</si>
  <si>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黄酒; 葡萄汽酒;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</si>
  <si>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直隶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</si>
  <si>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唐山</t>
    </r>
    <r>
      <rPr>
        <sz val="11"/>
        <color theme="1"/>
        <rFont val="ＭＳ Ｐゴシック"/>
        <family val="3"/>
        <charset val="129"/>
        <scheme val="minor"/>
      </rPr>
      <t>浭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</si>
  <si>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</si>
  <si>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</si>
  <si>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</si>
  <si>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北京玖源世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</si>
  <si>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青稞酒; 白酒</t>
    </r>
  </si>
  <si>
    <r>
      <t>治</t>
    </r>
    <r>
      <rPr>
        <sz val="11"/>
        <color theme="1"/>
        <rFont val="ＭＳ Ｐゴシック"/>
        <family val="3"/>
        <charset val="134"/>
        <scheme val="minor"/>
      </rPr>
      <t>为</t>
    </r>
  </si>
  <si>
    <t>陈义</t>
  </si>
  <si>
    <r>
      <t>果酒（含酒精）;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</si>
  <si>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偃月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</si>
  <si>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州百年福途酒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</si>
  <si>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混合威士忌酒;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</si>
  <si>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明月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</si>
  <si>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西槿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</si>
  <si>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</si>
  <si>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打姆巴古</t>
  </si>
  <si>
    <r>
      <t>陈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</si>
  <si>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白酒;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</si>
  <si>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冻</t>
    </r>
    <r>
      <rPr>
        <sz val="11"/>
        <color theme="1"/>
        <rFont val="ＭＳ Ｐゴシック"/>
        <family val="3"/>
        <charset val="128"/>
        <scheme val="minor"/>
      </rPr>
      <t>小曼</t>
    </r>
  </si>
  <si>
    <t>陈鹏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</si>
  <si>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</si>
  <si>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好一身</t>
  </si>
  <si>
    <t>成都壮壮生物科技有限公司</t>
  </si>
  <si>
    <r>
      <t>黄酒; 果酒（含酒精）; 米酒; 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露酒</t>
    </r>
  </si>
  <si>
    <t>OKOKXY</t>
  </si>
  <si>
    <r>
      <t>镇</t>
    </r>
    <r>
      <rPr>
        <sz val="11"/>
        <color theme="1"/>
        <rFont val="ＭＳ Ｐゴシック"/>
        <family val="3"/>
        <charset val="128"/>
        <scheme val="minor"/>
      </rPr>
      <t>江阿凡提数据科技有限公司</t>
    </r>
  </si>
  <si>
    <r>
      <t>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汽酒</t>
    </r>
  </si>
  <si>
    <r>
      <t>冒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</si>
  <si>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河北睿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</si>
  <si>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葡萄酒; 黄酒; 汽酒;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</si>
  <si>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亮点香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</si>
  <si>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市樽河台酒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</si>
  <si>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</si>
  <si>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庄子</t>
    </r>
    <r>
      <rPr>
        <sz val="11"/>
        <color theme="1"/>
        <rFont val="ＭＳ Ｐゴシック"/>
        <family val="3"/>
        <charset val="134"/>
        <scheme val="minor"/>
      </rPr>
      <t>峁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</si>
  <si>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肃庆</t>
    </r>
    <r>
      <rPr>
        <sz val="11"/>
        <color theme="1"/>
        <rFont val="ＭＳ Ｐゴシック"/>
        <family val="3"/>
        <charset val="128"/>
        <scheme val="minor"/>
      </rPr>
      <t>洲盛世升源商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</si>
  <si>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烈性干酒;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</si>
  <si>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金洲城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</si>
  <si>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</si>
  <si>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订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</si>
  <si>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深圳市金松水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</si>
  <si>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含酒精的气泡水;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餐后酒（利口酒和烈酒）</t>
    </r>
  </si>
  <si>
    <t>SIPDOWN</t>
  </si>
  <si>
    <r>
      <t>孙伟</t>
    </r>
    <r>
      <rPr>
        <sz val="11"/>
        <color theme="1"/>
        <rFont val="ＭＳ Ｐゴシック"/>
        <family val="3"/>
        <charset val="128"/>
        <scheme val="minor"/>
      </rPr>
      <t>嘉*****************X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</si>
  <si>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</si>
  <si>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FIMAN</t>
  </si>
  <si>
    <r>
      <t>斐</t>
    </r>
    <r>
      <rPr>
        <sz val="11"/>
        <color theme="1"/>
        <rFont val="ＭＳ Ｐゴシック"/>
        <family val="3"/>
        <charset val="134"/>
        <scheme val="minor"/>
      </rPr>
      <t>缦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</si>
  <si>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</si>
  <si>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囩</t>
    </r>
    <r>
      <rPr>
        <sz val="11"/>
        <color theme="1"/>
        <rFont val="ＭＳ Ｐゴシック"/>
        <family val="3"/>
        <charset val="128"/>
        <scheme val="minor"/>
      </rPr>
      <t>玖醉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</si>
  <si>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州豪</t>
    </r>
    <r>
      <rPr>
        <sz val="11"/>
        <color theme="1"/>
        <rFont val="ＭＳ Ｐゴシック"/>
        <family val="3"/>
        <charset val="134"/>
        <scheme val="minor"/>
      </rPr>
      <t>酝酱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</si>
  <si>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果酒（含酒精）; 苹果酒;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威士忌</t>
    </r>
  </si>
  <si>
    <t>稻花香丰收</t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</si>
  <si>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</si>
  <si>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</si>
  <si>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牗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</si>
  <si>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西桃源村品牌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</si>
  <si>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</si>
  <si>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方梁九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</si>
  <si>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乡还电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</si>
  <si>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</si>
  <si>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徽之恋徽商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</si>
  <si>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安徽巨将酒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</si>
  <si>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葡萄酒; 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</si>
  <si>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州黔上</t>
    </r>
    <r>
      <rPr>
        <sz val="11"/>
        <color theme="1"/>
        <rFont val="ＭＳ Ｐゴシック"/>
        <family val="3"/>
        <charset val="134"/>
        <scheme val="minor"/>
      </rPr>
      <t>电缘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管理中心（有限合伙）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</si>
  <si>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</si>
  <si>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IDM IDM-CLUB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</si>
  <si>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市启点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</si>
  <si>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阿蒙蒂拉多白葡萄酒; 薄荷酒;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麦芽威士忌</t>
    </r>
  </si>
  <si>
    <r>
      <t>共福囍幸福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</si>
  <si>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河北取舍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</si>
  <si>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葡萄酒; 白酒;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</si>
  <si>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t>PURPLE NIGHT STARRY SKY</t>
  </si>
  <si>
    <r>
      <t>滨</t>
    </r>
    <r>
      <rPr>
        <sz val="11"/>
        <color theme="1"/>
        <rFont val="ＭＳ Ｐゴシック"/>
        <family val="3"/>
        <charset val="128"/>
        <scheme val="minor"/>
      </rPr>
      <t>州即刻文化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</si>
  <si>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黄酒; 果酒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</si>
  <si>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</si>
  <si>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</si>
  <si>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泊醉山坊</t>
  </si>
  <si>
    <r>
      <t>成都佳峰餐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</si>
  <si>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葡萄酒; 梨酒</t>
    </r>
  </si>
  <si>
    <t>泊醉山液</t>
  </si>
  <si>
    <r>
      <t>白酒;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黄酒; 果酒（含酒精）; 葡萄酒;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</si>
  <si>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吴氏回春堂</t>
  </si>
  <si>
    <r>
      <t>樟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泰蛇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</si>
  <si>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蝮蛇酒; 开胃酒</t>
    </r>
  </si>
  <si>
    <t>李渡洪州坊</t>
  </si>
  <si>
    <r>
      <t>葡萄酒;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</si>
  <si>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镇记忆</t>
    </r>
  </si>
  <si>
    <t>秦旭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</si>
  <si>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米酒; 白酒; 黄酒; 葡萄酒;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</si>
  <si>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元花村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</si>
  <si>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烈酒;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</si>
  <si>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长岁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</si>
  <si>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李明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</si>
  <si>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蜂蜜酒; 米酒;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</si>
  <si>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深旺</t>
  </si>
  <si>
    <r>
      <t>深圳市中旺酒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</si>
  <si>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刺五加酒; 白酒</t>
    </r>
  </si>
  <si>
    <r>
      <t>盛京小</t>
    </r>
    <r>
      <rPr>
        <sz val="11"/>
        <color theme="1"/>
        <rFont val="ＭＳ Ｐゴシック"/>
        <family val="3"/>
        <charset val="134"/>
        <scheme val="minor"/>
      </rPr>
      <t>贵妇</t>
    </r>
  </si>
  <si>
    <t>沈阳白王子品牌管理有限公司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</si>
  <si>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青稞酒; 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</si>
  <si>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硬秀才</t>
  </si>
  <si>
    <r>
      <t>龚</t>
    </r>
    <r>
      <rPr>
        <sz val="11"/>
        <color theme="1"/>
        <rFont val="ＭＳ Ｐゴシック"/>
        <family val="3"/>
        <charset val="128"/>
        <scheme val="minor"/>
      </rPr>
      <t>裕淞******************</t>
    </r>
  </si>
  <si>
    <r>
      <t>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</si>
  <si>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沐琳天使科技有限公司</t>
    </r>
  </si>
  <si>
    <r>
      <t>果酒（含酒精）;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</si>
  <si>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李渡唐坊</t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</si>
  <si>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</t>
    </r>
  </si>
  <si>
    <t>李渡王</t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</si>
  <si>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</si>
  <si>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硬榜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</si>
  <si>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 xml:space="preserve">米酒; 果酒（含酒精）; 黄酒;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</si>
  <si>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岚</t>
    </r>
    <r>
      <rPr>
        <sz val="11"/>
        <color theme="1"/>
        <rFont val="ＭＳ Ｐゴシック"/>
        <family val="3"/>
        <charset val="128"/>
        <scheme val="minor"/>
      </rPr>
      <t>皋</t>
    </r>
    <r>
      <rPr>
        <sz val="11"/>
        <color theme="1"/>
        <rFont val="ＭＳ Ｐゴシック"/>
        <family val="3"/>
        <charset val="134"/>
        <scheme val="minor"/>
      </rPr>
      <t>县红</t>
    </r>
    <r>
      <rPr>
        <sz val="11"/>
        <color theme="1"/>
        <rFont val="ＭＳ Ｐゴシック"/>
        <family val="3"/>
        <charset val="128"/>
        <scheme val="minor"/>
      </rPr>
      <t>岩寨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</si>
  <si>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果酒; 苦味酒; 蜂蜜酒; 甜酒</t>
    </r>
  </si>
  <si>
    <t>粮垧</t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</si>
  <si>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</si>
  <si>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清酒; 葡萄酒; 高粱酒</t>
    </r>
  </si>
  <si>
    <r>
      <t>瞿百合百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</si>
  <si>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合百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</si>
  <si>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佐餐酒;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米酒;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</si>
  <si>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京台玥熹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</si>
  <si>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葡萄酒</t>
    </r>
  </si>
  <si>
    <t>慕斛青云</t>
  </si>
  <si>
    <r>
      <t>广西幸福万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</si>
  <si>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露酒; 果酒（含酒精）; 朗姆酒; 高粱酒; 白酒; 白干酒（中国白酒）</t>
    </r>
  </si>
  <si>
    <t>慕斛洞天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</si>
  <si>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白干酒（中国白酒）; 白酒; 高粱酒; 烈酒; 米酒</t>
    </r>
  </si>
  <si>
    <t>中弘益 酒庄 WINERY</t>
  </si>
  <si>
    <r>
      <t>中弘益（四川）国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</si>
  <si>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食用酒精;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</si>
  <si>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唛</t>
    </r>
    <r>
      <rPr>
        <sz val="11"/>
        <color theme="1"/>
        <rFont val="ＭＳ Ｐゴシック"/>
        <family val="3"/>
        <charset val="128"/>
        <scheme val="minor"/>
      </rPr>
      <t>葡供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</si>
  <si>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青稞酒</t>
    </r>
  </si>
  <si>
    <t>黔雄甄品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</si>
  <si>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</si>
  <si>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</si>
  <si>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唛</t>
    </r>
    <r>
      <rPr>
        <sz val="11"/>
        <color theme="1"/>
        <rFont val="ＭＳ Ｐゴシック"/>
        <family val="3"/>
        <charset val="128"/>
        <scheme val="minor"/>
      </rPr>
      <t>葡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</si>
  <si>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</si>
  <si>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与李携手</t>
  </si>
  <si>
    <t>四川和福邸康养有限公司</t>
  </si>
  <si>
    <r>
      <t xml:space="preserve">白干酒（中国白酒）; 白酒; 食用酒精; 薄荷酒; 米酒; 果酒;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</si>
  <si>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花大昌</t>
    </r>
  </si>
  <si>
    <t>祁蕾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</si>
  <si>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</si>
  <si>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梦十字城堡 CHATEAU MONREGARD LA CROIX</t>
  </si>
  <si>
    <r>
      <t>圣佑之园市民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</si>
  <si>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</si>
  <si>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盈庚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</si>
  <si>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毅波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</si>
  <si>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米酒; 苦味酒;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</si>
  <si>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和福邸悦己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</si>
  <si>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薄荷酒; 葡萄酒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</si>
  <si>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厨</t>
    </r>
    <r>
      <rPr>
        <sz val="11"/>
        <color theme="1"/>
        <rFont val="ＭＳ Ｐゴシック"/>
        <family val="3"/>
        <charset val="134"/>
        <scheme val="minor"/>
      </rPr>
      <t>乐</t>
    </r>
  </si>
  <si>
    <t>黄春亮</t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</si>
  <si>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果酒(含酒精);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</si>
  <si>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t>五千源</t>
  </si>
  <si>
    <t>柴梦苓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</si>
  <si>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酸酒（低等葡萄酒）</t>
    </r>
  </si>
  <si>
    <t>襄露</t>
  </si>
  <si>
    <t>刘国涛</t>
  </si>
  <si>
    <r>
      <t>食用酒精;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白酒; 苹果酒; 果酒</t>
    </r>
  </si>
  <si>
    <t>黔父三十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</si>
  <si>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</si>
  <si>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兽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</si>
  <si>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</si>
  <si>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ERR</t>
  </si>
  <si>
    <t>李廉忠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</si>
  <si>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</si>
  <si>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MENGSHENGTANG</t>
  </si>
  <si>
    <t>温州孟生堂食品有限公司</t>
  </si>
  <si>
    <r>
      <t>葡萄酒; 露酒;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</si>
  <si>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t>FLAIRY WINERY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</si>
  <si>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</si>
  <si>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RE</t>
  </si>
  <si>
    <r>
      <t>常</t>
    </r>
    <r>
      <rPr>
        <sz val="11"/>
        <color theme="1"/>
        <rFont val="ＭＳ Ｐゴシック"/>
        <family val="3"/>
        <charset val="134"/>
        <scheme val="minor"/>
      </rPr>
      <t>桢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</si>
  <si>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</si>
  <si>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珍好恰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</si>
  <si>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</si>
  <si>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凡想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</si>
  <si>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北京凡想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</si>
  <si>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</si>
  <si>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鹿寿力</t>
  </si>
  <si>
    <t>宋明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</si>
  <si>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</si>
  <si>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四季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干</t>
    </r>
  </si>
  <si>
    <r>
      <t>前郭</t>
    </r>
    <r>
      <rPr>
        <sz val="11"/>
        <color theme="1"/>
        <rFont val="ＭＳ Ｐゴシック"/>
        <family val="3"/>
        <charset val="134"/>
        <scheme val="minor"/>
      </rPr>
      <t>尔罗</t>
    </r>
    <r>
      <rPr>
        <sz val="11"/>
        <color theme="1"/>
        <rFont val="ＭＳ Ｐゴシック"/>
        <family val="3"/>
        <charset val="128"/>
        <scheme val="minor"/>
      </rPr>
      <t>斯蒙古族自治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干泡酒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</si>
  <si>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梨酒; 草莓酒; 白干酒（中国白酒）; 食用酒精;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开胃酒</t>
    </r>
  </si>
  <si>
    <r>
      <t>祖窑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</si>
  <si>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席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</si>
  <si>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</si>
  <si>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拳六高六拳</t>
  </si>
  <si>
    <t>曾明松</t>
  </si>
  <si>
    <r>
      <t>葡萄酒;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烈酒;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</t>
    </r>
  </si>
  <si>
    <t>若礼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</si>
  <si>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坊若海堂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</si>
  <si>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</si>
  <si>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奉帝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</si>
  <si>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烈酒; 米酒; 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</si>
  <si>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</si>
  <si>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</si>
  <si>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</si>
  <si>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</si>
  <si>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</si>
  <si>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开胃酒; 青稞酒;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</si>
  <si>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酙䤁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</si>
  <si>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</si>
  <si>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LUCKY NORA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</si>
  <si>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开胃酒; 白酒</t>
    </r>
  </si>
  <si>
    <r>
      <t>嘻柿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生</t>
    </r>
  </si>
  <si>
    <t>新疆牛啊信息科技有限公司</t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</si>
  <si>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</si>
  <si>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功</t>
  </si>
  <si>
    <r>
      <t>祁</t>
    </r>
    <r>
      <rPr>
        <sz val="11"/>
        <color theme="1"/>
        <rFont val="ＭＳ Ｐゴシック"/>
        <family val="3"/>
        <charset val="134"/>
        <scheme val="minor"/>
      </rPr>
      <t>县汇润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</si>
  <si>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开胃酒; 食用酒精; 果酒（含酒精）;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</si>
  <si>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某善人堂</t>
  </si>
  <si>
    <t>杭州回生健康管理科技有限公司</t>
  </si>
  <si>
    <r>
      <t>果酒（含酒精）;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</si>
  <si>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霸礼</t>
  </si>
  <si>
    <t>刘石榴</t>
  </si>
  <si>
    <r>
      <t xml:space="preserve">葡萄酒;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</si>
  <si>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帝韵星城一号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</si>
  <si>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沙星城一号文化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</si>
  <si>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烈酒;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蒸煮提取物（利口酒和烈酒）;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</si>
  <si>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储庆华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</si>
  <si>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高粱酒</t>
    </r>
  </si>
  <si>
    <t>太迎坊</t>
  </si>
  <si>
    <r>
      <t>广州宏</t>
    </r>
    <r>
      <rPr>
        <sz val="11"/>
        <color theme="1"/>
        <rFont val="ＭＳ Ｐゴシック"/>
        <family val="3"/>
        <charset val="134"/>
        <scheme val="minor"/>
      </rPr>
      <t>润电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</si>
  <si>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草莓酒;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高粱酒</t>
    </r>
  </si>
  <si>
    <t>祖黍炎檀</t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</si>
  <si>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高粱酒; 开胃酒; 苹果酒; 葡萄酒; 食用酒精; 烈酒</t>
    </r>
  </si>
  <si>
    <t>湘香湘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</si>
  <si>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</si>
  <si>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威士忌;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</si>
  <si>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</si>
  <si>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t>湖北省君荣食品有限公司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</si>
  <si>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清酒（日本米酒）; 汽酒</t>
    </r>
  </si>
  <si>
    <t>余戈</t>
  </si>
  <si>
    <r>
      <t>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苦味酒; 利口酒;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</si>
  <si>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XIAOKOULIANG</t>
  </si>
  <si>
    <t>王大航</t>
  </si>
  <si>
    <r>
      <t xml:space="preserve">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</si>
  <si>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黔瓶御曲</t>
  </si>
  <si>
    <r>
      <t>张艳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</si>
  <si>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</si>
  <si>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火山小白鹿</t>
  </si>
  <si>
    <r>
      <t>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</si>
  <si>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清酒; 果酒（含酒精）;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</si>
  <si>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乾雷</t>
  </si>
  <si>
    <r>
      <t>喀喇沁旗乾雷烟花爆竹有限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</si>
  <si>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</si>
  <si>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黄山月</t>
  </si>
  <si>
    <r>
      <t>士航集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</si>
  <si>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汽酒; 米酒; 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</si>
  <si>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邢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</si>
  <si>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汇赢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</si>
  <si>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高粱酒; 葡萄酒</t>
    </r>
  </si>
  <si>
    <t>十月蜜</t>
  </si>
  <si>
    <r>
      <t>建始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阳丰甜柿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</si>
  <si>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果酒（含酒精）</t>
    </r>
  </si>
  <si>
    <t>至尊醉英雄</t>
  </si>
  <si>
    <t>谷阳阳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</si>
  <si>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</si>
  <si>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黑老歪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</si>
  <si>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市古窖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</si>
  <si>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梨酒;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白干酒（中国白酒）; 葡萄酒;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</si>
  <si>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克里克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</si>
  <si>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和科技有限公司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</si>
  <si>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</si>
  <si>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壹仟响</t>
  </si>
  <si>
    <r>
      <t>南国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</si>
  <si>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开胃酒; 米酒; 白酒; 果酒（含酒精）; 黄酒;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</si>
  <si>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旭媛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</si>
  <si>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梅酒; 起泡白葡萄酒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</si>
  <si>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欣</t>
    </r>
  </si>
  <si>
    <t>黄春保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</si>
  <si>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</si>
  <si>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欢</t>
    </r>
  </si>
  <si>
    <t>刘超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</si>
  <si>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</si>
  <si>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圣达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（广州）国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</si>
  <si>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</si>
  <si>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三山溪</t>
  </si>
  <si>
    <r>
      <t>刘淑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</si>
  <si>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葡萄酒; 米酒;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</si>
  <si>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如意三十</t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</si>
  <si>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</si>
  <si>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海 山不</t>
    </r>
    <r>
      <rPr>
        <sz val="11"/>
        <color theme="1"/>
        <rFont val="ＭＳ Ｐゴシック"/>
        <family val="3"/>
        <charset val="134"/>
        <scheme val="minor"/>
      </rPr>
      <t>让尘</t>
    </r>
    <r>
      <rPr>
        <sz val="11"/>
        <color theme="1"/>
        <rFont val="ＭＳ Ｐゴシック"/>
        <family val="3"/>
        <charset val="128"/>
        <scheme val="minor"/>
      </rPr>
      <t>·海不辞盈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</si>
  <si>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传艺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</si>
  <si>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白酒; 威末酒; 食用酒精;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梅酒</t>
    </r>
  </si>
  <si>
    <t>成都安合达物流有限公司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</si>
  <si>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</si>
  <si>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维纳</t>
    </r>
    <r>
      <rPr>
        <sz val="11"/>
        <color theme="1"/>
        <rFont val="ＭＳ Ｐゴシック"/>
        <family val="3"/>
        <charset val="128"/>
        <scheme val="minor"/>
      </rPr>
      <t>斯白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</si>
  <si>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跨境（北京）投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</si>
  <si>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</si>
  <si>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t>紫房子 PURPLE HOUSE</t>
  </si>
  <si>
    <r>
      <t>北京市紫房子婚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</si>
  <si>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</si>
  <si>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祖窖礼</t>
  </si>
  <si>
    <r>
      <t>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</si>
  <si>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</si>
  <si>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拾柒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活</t>
    </r>
  </si>
  <si>
    <r>
      <t>上海拾柒棉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</si>
  <si>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</si>
  <si>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霸王乾坤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</si>
  <si>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</si>
  <si>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上一湖酒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</si>
  <si>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不土土特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</si>
  <si>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</si>
  <si>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江那老九</t>
    </r>
  </si>
  <si>
    <r>
      <t>那成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</si>
  <si>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白干酒（中国白酒）; 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</si>
  <si>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荫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</si>
  <si>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果酒（含酒精）; 葡萄酒</t>
    </r>
  </si>
  <si>
    <r>
      <t>清沙井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</si>
  <si>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</si>
  <si>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果酒（含酒精）; 葡萄酒; 白酒; 青稞酒; 利口酒</t>
    </r>
  </si>
  <si>
    <t>俊品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</si>
  <si>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州禹仁酒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</si>
  <si>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开胃酒; 米酒; 高粱酒; 白酒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</si>
  <si>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石十五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</si>
  <si>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</si>
  <si>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渡中洲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</si>
  <si>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邓锦华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</si>
  <si>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</si>
  <si>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百老源</t>
  </si>
  <si>
    <r>
      <t>徐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</si>
  <si>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黄酒;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</si>
  <si>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坊</t>
    </r>
  </si>
  <si>
    <t>周丹丹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</si>
  <si>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</si>
  <si>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殷</t>
    </r>
    <r>
      <rPr>
        <sz val="11"/>
        <color theme="1"/>
        <rFont val="ＭＳ Ｐゴシック"/>
        <family val="3"/>
        <charset val="134"/>
        <scheme val="minor"/>
      </rPr>
      <t>罗烧</t>
    </r>
    <r>
      <rPr>
        <sz val="11"/>
        <color theme="1"/>
        <rFont val="ＭＳ Ｐゴシック"/>
        <family val="3"/>
        <charset val="128"/>
        <scheme val="minor"/>
      </rPr>
      <t>坊</t>
    </r>
  </si>
  <si>
    <t>石朝林</t>
  </si>
  <si>
    <r>
      <t>米酒; 威士忌;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</si>
  <si>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TUDOCORNER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</si>
  <si>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万皮思食品科技有限公司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</si>
  <si>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</si>
  <si>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 U!BRO</t>
  </si>
  <si>
    <t>北京拓可必拓科技有限公司</t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</si>
  <si>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</si>
  <si>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霍融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</si>
  <si>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</si>
  <si>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</si>
  <si>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窖承名</t>
  </si>
  <si>
    <r>
      <t>王彦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</si>
  <si>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</si>
  <si>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镶</t>
    </r>
    <r>
      <rPr>
        <sz val="11"/>
        <color theme="1"/>
        <rFont val="ＭＳ Ｐゴシック"/>
        <family val="3"/>
        <charset val="128"/>
        <scheme val="minor"/>
      </rPr>
      <t>草王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</si>
  <si>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家口大好河山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</si>
  <si>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</si>
  <si>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黔王庄园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</si>
  <si>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</si>
  <si>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黄酒; 白酒; 露酒; 高粱酒; 果酒（含酒精）; 清酒</t>
    </r>
  </si>
  <si>
    <t>MVPK</t>
  </si>
  <si>
    <t>张颜</t>
  </si>
  <si>
    <r>
      <t>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</si>
  <si>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天成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</si>
  <si>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尽染（重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</si>
  <si>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</si>
  <si>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巭</t>
    </r>
    <r>
      <rPr>
        <sz val="11"/>
        <color theme="1"/>
        <rFont val="ＭＳ Ｐゴシック"/>
        <family val="3"/>
        <charset val="128"/>
        <scheme val="minor"/>
      </rPr>
      <t>天童</t>
    </r>
  </si>
  <si>
    <r>
      <t>中企智助（北京）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</si>
  <si>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果酒; 黄酒; 食用酒精; 高粱酒;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</si>
  <si>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洛旅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</si>
  <si>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龚玺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</si>
  <si>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薄荷酒; 开胃酒;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利口酒</t>
    </r>
  </si>
  <si>
    <r>
      <t>湘水</t>
    </r>
    <r>
      <rPr>
        <sz val="11"/>
        <color theme="1"/>
        <rFont val="ＭＳ Ｐゴシック"/>
        <family val="3"/>
        <charset val="134"/>
        <scheme val="minor"/>
      </rPr>
      <t>桥</t>
    </r>
  </si>
  <si>
    <t>郑亚辉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</si>
  <si>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葡萄酒; 白酒;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</si>
  <si>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玉白水</t>
  </si>
  <si>
    <r>
      <t>北京京庾酒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</si>
  <si>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葡萄酒; 黄酒; 青稞酒; 开胃酒</t>
    </r>
  </si>
  <si>
    <r>
      <t>砂煌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</si>
  <si>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北京仁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</si>
  <si>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清酒; 烈酒; 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</si>
  <si>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传动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</si>
  <si>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酒好茶科技有限公司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</si>
  <si>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果酒（含酒精）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</si>
  <si>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</si>
  <si>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清酒（日本米酒）;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</si>
  <si>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恩故里</t>
    </r>
  </si>
  <si>
    <r>
      <t>果酒（含酒精）;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青梅酒; 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</si>
  <si>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POLYPHENA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</si>
  <si>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红颜</t>
    </r>
    <r>
      <rPr>
        <sz val="11"/>
        <color theme="1"/>
        <rFont val="ＭＳ Ｐゴシック"/>
        <family val="3"/>
        <charset val="128"/>
        <scheme val="minor"/>
      </rPr>
      <t>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</si>
  <si>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起泡白葡萄酒; 葡萄潘趣酒;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佐餐酒</t>
    </r>
  </si>
  <si>
    <t>喜雅勒</t>
  </si>
  <si>
    <r>
      <t>石棉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蟹螺堡子集体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</si>
  <si>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梅酒; 米酒; 果酒（含酒精）</t>
    </r>
  </si>
  <si>
    <t>喜㐂囍</t>
  </si>
  <si>
    <t>吉林省元隆号食品有限公司</t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</si>
  <si>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米酒;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</si>
  <si>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秾</t>
    </r>
    <r>
      <rPr>
        <sz val="11"/>
        <color theme="1"/>
        <rFont val="ＭＳ Ｐゴシック"/>
        <family val="3"/>
        <charset val="128"/>
        <scheme val="minor"/>
      </rPr>
      <t>派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</si>
  <si>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</si>
  <si>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葡萄酒; 蜂蜜酒; 清酒（日本米酒）;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</si>
  <si>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t>粮家禧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</si>
  <si>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</si>
  <si>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武黄万穗</t>
  </si>
  <si>
    <r>
      <t>蔡炎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</si>
  <si>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利口酒;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</t>
    </r>
  </si>
  <si>
    <r>
      <t>上海益中亘泰餐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</si>
  <si>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威士忌; 米酒</t>
    </r>
  </si>
  <si>
    <t>BLACK DYNASTY</t>
  </si>
  <si>
    <r>
      <t>南京家和万事科技服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</si>
  <si>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青梅酒; 含酒精的气泡水;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</si>
  <si>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</si>
  <si>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彪声</t>
    </r>
  </si>
  <si>
    <r>
      <t xml:space="preserve">清酒（日本米酒）;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葡萄酒; 开胃酒</t>
    </r>
  </si>
  <si>
    <t>杏匠心</t>
  </si>
  <si>
    <t>董建茵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</si>
  <si>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烈酒;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清酒; 葡萄酒; 米酒</t>
    </r>
  </si>
  <si>
    <t>鎏水三千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</si>
  <si>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葡萄酒; 开胃酒;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</si>
  <si>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李小泉</t>
  </si>
  <si>
    <r>
      <t>李德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</si>
  <si>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高粱酒; 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</si>
  <si>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醉英雄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</si>
  <si>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</si>
  <si>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广州市猫耳洞酒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</si>
  <si>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</si>
  <si>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杏烟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</si>
  <si>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白酒; 烈酒; 果酒（含酒精）</t>
    </r>
  </si>
  <si>
    <t>OENOCARE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</si>
  <si>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起泡白葡萄酒; 佐餐酒;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不起泡葡萄酒; 葡萄潘趣酒;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</si>
  <si>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富先佰延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</si>
  <si>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</si>
  <si>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</si>
  <si>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魁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</si>
  <si>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威士忌;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黄酒</t>
    </r>
  </si>
  <si>
    <r>
      <t>黄腰</t>
    </r>
    <r>
      <rPr>
        <sz val="11"/>
        <color theme="1"/>
        <rFont val="ＭＳ Ｐゴシック"/>
        <family val="3"/>
        <charset val="134"/>
        <scheme val="minor"/>
      </rPr>
      <t>带</t>
    </r>
  </si>
  <si>
    <r>
      <t>德州又一村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</si>
  <si>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</si>
  <si>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</si>
  <si>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谱华</t>
    </r>
    <r>
      <rPr>
        <sz val="11"/>
        <color theme="1"/>
        <rFont val="ＭＳ Ｐゴシック"/>
        <family val="3"/>
        <charset val="128"/>
        <scheme val="minor"/>
      </rPr>
      <t>云媒网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</si>
  <si>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</si>
  <si>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TREASURE COVE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</si>
  <si>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海国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</si>
  <si>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含酒精的气泡水;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杜松子酒; 朗姆酒;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</si>
  <si>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深山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糯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</si>
  <si>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文明</t>
    </r>
  </si>
  <si>
    <r>
      <t xml:space="preserve">蜂蜜酒; 开胃酒; 青稞酒;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食用酒精; 白干酒（中国白酒）</t>
    </r>
  </si>
  <si>
    <r>
      <t>会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</si>
  <si>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</si>
  <si>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</si>
  <si>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WEI JIANG ZHE</t>
  </si>
  <si>
    <r>
      <t>冰哥酒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</si>
  <si>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威士忌;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</si>
  <si>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</si>
  <si>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蜂蜜酒; 食用酒精;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葡萄酒; 白酒; 苹果酒</t>
    </r>
  </si>
  <si>
    <r>
      <t>SWEET FRUIT DUCK 麦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糖 果园</t>
    </r>
  </si>
  <si>
    <r>
      <t>台宁生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展（南京）有限公司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</si>
  <si>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麦芽威士忌;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</si>
  <si>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心自如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</si>
  <si>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清酒（日本米酒）;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</si>
  <si>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</si>
  <si>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</si>
  <si>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米酒; 高粱酒</t>
    </r>
  </si>
  <si>
    <r>
      <t>莫存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</si>
  <si>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市成事之道酒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</si>
  <si>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</si>
  <si>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震修堂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</si>
  <si>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高粱酒;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</si>
  <si>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一路知心</t>
  </si>
  <si>
    <r>
      <t>亳州市醉半生酒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</si>
  <si>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米酒; 朗姆酒; 伏特加酒;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</si>
  <si>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田季</t>
  </si>
  <si>
    <r>
      <t>福州井水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</si>
  <si>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</si>
  <si>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徳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 TANG DESHI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</si>
  <si>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德弘毅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</si>
  <si>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黄酒; 烈酒; 米酒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</si>
  <si>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尝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</si>
  <si>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清口酒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</si>
  <si>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清酒（日本米酒）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</si>
  <si>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</si>
  <si>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</si>
  <si>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白酒;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</si>
  <si>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 店商豹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</si>
  <si>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伏特加酒; 威士忌;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</si>
  <si>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君世仁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</si>
  <si>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市君欲醉酒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</si>
  <si>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威士忌;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</si>
  <si>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</si>
  <si>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</si>
  <si>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</si>
  <si>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培云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</si>
  <si>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沙培云商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</si>
  <si>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</si>
  <si>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廷品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</si>
  <si>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北京大翼日昇商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</si>
  <si>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果酒（含酒精）; 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</si>
  <si>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东风</t>
    </r>
    <r>
      <rPr>
        <sz val="11"/>
        <color theme="1"/>
        <rFont val="ＭＳ Ｐゴシック"/>
        <family val="3"/>
        <charset val="128"/>
        <scheme val="minor"/>
      </rPr>
      <t>胭脂</t>
    </r>
  </si>
  <si>
    <t>石忠磊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</si>
  <si>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柑香酒; 露酒; 米酒</t>
    </r>
  </si>
  <si>
    <t>碧得</t>
  </si>
  <si>
    <r>
      <t>陈</t>
    </r>
    <r>
      <rPr>
        <sz val="11"/>
        <color theme="1"/>
        <rFont val="ＭＳ Ｐゴシック"/>
        <family val="3"/>
        <charset val="128"/>
        <scheme val="minor"/>
      </rPr>
      <t>友金</t>
    </r>
  </si>
  <si>
    <r>
      <t>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</si>
  <si>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凌虚真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</si>
  <si>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凌虚部落(厦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</si>
  <si>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</si>
  <si>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坊奢藏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</si>
  <si>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</si>
  <si>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利口酒; 白干酒（中国白酒）; 高粱酒;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</si>
  <si>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聚落</t>
  </si>
  <si>
    <r>
      <t>内蒙古蒙元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</si>
  <si>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</si>
  <si>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林城天盈</t>
  </si>
  <si>
    <t>王亮</t>
  </si>
  <si>
    <r>
      <t xml:space="preserve">果酒; 汽酒;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</si>
  <si>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衡昌奢藏</t>
  </si>
  <si>
    <r>
      <t>白酒;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</t>
    </r>
  </si>
  <si>
    <t>TWO MOONS DISTILLERY</t>
  </si>
  <si>
    <r>
      <t>香港蒸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</si>
  <si>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</si>
  <si>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t>探宴</t>
  </si>
  <si>
    <t>王晶亮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</si>
  <si>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果酒（含酒精）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</si>
  <si>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御盛</t>
    </r>
  </si>
  <si>
    <t>王梦琪</t>
  </si>
  <si>
    <r>
      <t xml:space="preserve">黄酒; 餐后酒（利口酒和烈酒）; 蜂蜜酒;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</si>
  <si>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DIORA HEALY 迪奥海莉</t>
  </si>
  <si>
    <r>
      <t>南昌泰全供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</si>
  <si>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汽酒; 伏特加酒;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</si>
  <si>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江二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</si>
  <si>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尚英</t>
    </r>
  </si>
  <si>
    <r>
      <t>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</si>
  <si>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皇仙芝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</si>
  <si>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尼法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</si>
  <si>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苹果酒;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</si>
  <si>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r>
      <t>杜松子酒;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</si>
  <si>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口口养</t>
  </si>
  <si>
    <r>
      <t>延川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梁家河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</si>
  <si>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</si>
  <si>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百草狼</t>
  </si>
  <si>
    <r>
      <t>内蒙古草源恋酒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</si>
  <si>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</t>
    </r>
  </si>
  <si>
    <t>众嘉鑫</t>
  </si>
  <si>
    <r>
      <t>王校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</si>
  <si>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 xml:space="preserve">葡萄酒; 青稞酒; 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</si>
  <si>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耐考</t>
    </r>
  </si>
  <si>
    <t>隆清班</t>
  </si>
  <si>
    <r>
      <t>食用酒精; 果酒; 高粱酒;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</si>
  <si>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斟旅</t>
  </si>
  <si>
    <r>
      <t>陈</t>
    </r>
    <r>
      <rPr>
        <sz val="11"/>
        <color theme="1"/>
        <rFont val="ＭＳ Ｐゴシック"/>
        <family val="3"/>
        <charset val="128"/>
        <scheme val="minor"/>
      </rPr>
      <t>巧音</t>
    </r>
  </si>
  <si>
    <r>
      <t xml:space="preserve">威士忌; 米酒; 白酒;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</si>
  <si>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松佳台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</si>
  <si>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州松佳醇酒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</si>
  <si>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</si>
  <si>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廷品福</t>
    </r>
  </si>
  <si>
    <r>
      <t>白酒;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</si>
  <si>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宣永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</si>
  <si>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黄酒;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</si>
  <si>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初邦</t>
  </si>
  <si>
    <r>
      <t>山西清徐</t>
    </r>
    <r>
      <rPr>
        <sz val="11"/>
        <color theme="1"/>
        <rFont val="ＭＳ Ｐゴシック"/>
        <family val="3"/>
        <charset val="134"/>
        <scheme val="minor"/>
      </rPr>
      <t>进财</t>
    </r>
    <r>
      <rPr>
        <sz val="11"/>
        <color theme="1"/>
        <rFont val="ＭＳ Ｐゴシック"/>
        <family val="3"/>
        <charset val="128"/>
        <scheme val="minor"/>
      </rPr>
      <t>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</si>
  <si>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</si>
  <si>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火星派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</si>
  <si>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露酒; 黄酒; 白酒; 威士忌</t>
    </r>
  </si>
  <si>
    <r>
      <t>津江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</si>
  <si>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</t>
    </r>
  </si>
  <si>
    <t>仁毛玖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</si>
  <si>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</si>
  <si>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邦基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</si>
  <si>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高粱酒; 果酒; 露酒</t>
    </r>
  </si>
  <si>
    <t>八桂莱悠</t>
  </si>
  <si>
    <r>
      <t>武宣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八桂</t>
    </r>
    <r>
      <rPr>
        <sz val="11"/>
        <color theme="1"/>
        <rFont val="ＭＳ Ｐゴシック"/>
        <family val="3"/>
        <charset val="134"/>
        <scheme val="minor"/>
      </rPr>
      <t>记忆</t>
    </r>
    <r>
      <rPr>
        <sz val="11"/>
        <color theme="1"/>
        <rFont val="ＭＳ Ｐゴシック"/>
        <family val="3"/>
        <charset val="128"/>
        <scheme val="minor"/>
      </rPr>
      <t>包装科技有限公司</t>
    </r>
  </si>
  <si>
    <r>
      <t>果酒;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利口酒;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甜果酒;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</si>
  <si>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JINGYIXIN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</si>
  <si>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</si>
  <si>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青稞酒</t>
    </r>
  </si>
  <si>
    <t>伴宣堂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</si>
  <si>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市伴仙堂文化礼品有限公司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</si>
  <si>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白酒; 葡萄酒;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</si>
  <si>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t>锦绣蓝图</t>
  </si>
  <si>
    <r>
      <t>深圳兔小跑供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</si>
  <si>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</si>
  <si>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</si>
  <si>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南三匹狼商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</si>
  <si>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青梅酒; 葡萄酒; 高粱酒;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</si>
  <si>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架其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</si>
  <si>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阜新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王府酒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</si>
  <si>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薄荷酒;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</si>
  <si>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油画塔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</si>
  <si>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新疆塔城市鑫塔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</si>
  <si>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米酒; 烈酒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</si>
  <si>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三品醇</t>
    </r>
  </si>
  <si>
    <r>
      <t>吉林省三品醇酒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</si>
  <si>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葡萄酒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</si>
  <si>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牛余堂</t>
    </r>
  </si>
  <si>
    <r>
      <t>新疆大疆丰德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</si>
  <si>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黄酒;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</si>
  <si>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零售有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</si>
  <si>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成都零食有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</si>
  <si>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青稞酒; 黄酒;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</si>
  <si>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楂宝</t>
  </si>
  <si>
    <r>
      <t>山西弘和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</si>
  <si>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利口酒; 果酒; 开胃酒;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</si>
  <si>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朴添</t>
  </si>
  <si>
    <r>
      <t>福州礼享会供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</si>
  <si>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清酒（日本米酒）; 朗姆酒; 甜果酒;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</si>
  <si>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福地瑶池</t>
  </si>
  <si>
    <t>陆伟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</si>
  <si>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</si>
  <si>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春恩云材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</si>
  <si>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浙江春恩管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</si>
  <si>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汽酒; 青稞酒; 米酒;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</si>
  <si>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梧桐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筑巢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基地</t>
    </r>
  </si>
  <si>
    <r>
      <t>深圳市深港投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</si>
  <si>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</si>
  <si>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七波福</t>
  </si>
  <si>
    <t>王文明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</si>
  <si>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葡萄酒; 甜酒; 汽酒</t>
    </r>
  </si>
  <si>
    <t>邦之健</t>
  </si>
  <si>
    <r>
      <t>张</t>
    </r>
    <r>
      <rPr>
        <sz val="11"/>
        <color theme="1"/>
        <rFont val="ＭＳ Ｐゴシック"/>
        <family val="3"/>
        <charset val="128"/>
        <scheme val="minor"/>
      </rPr>
      <t>福建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</si>
  <si>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</si>
  <si>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</si>
  <si>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</si>
  <si>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器</t>
    </r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</si>
  <si>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</si>
  <si>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</si>
  <si>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器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</si>
  <si>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</si>
  <si>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寿堂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</si>
  <si>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巨</t>
    </r>
    <r>
      <rPr>
        <sz val="11"/>
        <color theme="1"/>
        <rFont val="ＭＳ Ｐゴシック"/>
        <family val="3"/>
        <charset val="134"/>
        <scheme val="minor"/>
      </rPr>
      <t>龙</t>
    </r>
  </si>
  <si>
    <t>清酒; 甜酒; 汽酒; 葡萄酒; 白酒; 米酒; 食用酒精; 黄酒; 开胃酒; 果酒</t>
  </si>
  <si>
    <r>
      <t>滋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</si>
  <si>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广州滋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</si>
  <si>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</si>
  <si>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r>
      <t>鼎旗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</si>
  <si>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中保国鑫哈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</si>
  <si>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汽酒</t>
    </r>
  </si>
  <si>
    <t>LEIDIBOER</t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</si>
  <si>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高粱酒</t>
    </r>
  </si>
  <si>
    <r>
      <t>酝晓</t>
    </r>
    <r>
      <rPr>
        <sz val="11"/>
        <color theme="1"/>
        <rFont val="ＭＳ Ｐゴシック"/>
        <family val="3"/>
        <charset val="128"/>
        <scheme val="minor"/>
      </rPr>
      <t>高山年份</t>
    </r>
  </si>
  <si>
    <r>
      <t>宜昌宇合商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</si>
  <si>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</si>
  <si>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蜀</t>
    </r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</si>
  <si>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市金池酒厂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</si>
  <si>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威士忌;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汽酒</t>
    </r>
  </si>
  <si>
    <r>
      <t>正人正心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之礼</t>
    </r>
  </si>
  <si>
    <r>
      <t>四川正人酒酒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</si>
  <si>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清酒; 高粱酒; 黄酒; 白酒; 烈酒; 蜂蜜酒; 梨酒;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</si>
  <si>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呱呱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</si>
  <si>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能材料（北京）有限公司</t>
    </r>
  </si>
  <si>
    <r>
      <t>白酒; 食用酒精;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</si>
  <si>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悉</t>
    </r>
    <r>
      <rPr>
        <sz val="11"/>
        <color theme="1"/>
        <rFont val="ＭＳ Ｐゴシック"/>
        <family val="3"/>
        <charset val="134"/>
        <scheme val="minor"/>
      </rPr>
      <t>归</t>
    </r>
  </si>
  <si>
    <t>开胃酒</t>
  </si>
  <si>
    <r>
      <t>尹光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鼎</t>
    </r>
  </si>
  <si>
    <t>崔小芳</t>
  </si>
  <si>
    <r>
      <t>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</si>
  <si>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秦牛赳赳</t>
  </si>
  <si>
    <r>
      <t>沐笙企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</si>
  <si>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</si>
  <si>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MONTACUTE PARK</t>
  </si>
  <si>
    <r>
      <t>广西澳鑫商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</si>
  <si>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</si>
  <si>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沱牌六星</t>
  </si>
  <si>
    <r>
      <t>葡萄酒; 蒸煮提取物（利口酒和烈酒）; 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</si>
  <si>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慈台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</si>
  <si>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哨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</si>
  <si>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</si>
  <si>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云江海</t>
  </si>
  <si>
    <r>
      <t>温州云江酒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</si>
  <si>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</si>
  <si>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吹</t>
    </r>
    <r>
      <rPr>
        <sz val="11"/>
        <color theme="1"/>
        <rFont val="ＭＳ Ｐゴシック"/>
        <family val="3"/>
        <charset val="134"/>
        <scheme val="minor"/>
      </rPr>
      <t>垭</t>
    </r>
  </si>
  <si>
    <t>洪大程</t>
  </si>
  <si>
    <r>
      <t>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</si>
  <si>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含章</t>
  </si>
  <si>
    <r>
      <t>怀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展（深圳）集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</si>
  <si>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果酒（含酒精）</t>
    </r>
  </si>
  <si>
    <t>CHEMAMULL</t>
  </si>
  <si>
    <t>童健雄</t>
  </si>
  <si>
    <r>
      <t>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果酒（含酒精）; 葡萄酒</t>
    </r>
  </si>
  <si>
    <t>瑾春</t>
  </si>
  <si>
    <t>高福海</t>
  </si>
  <si>
    <r>
      <t>白酒;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</si>
  <si>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氏四合院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</si>
  <si>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</t>
    </r>
  </si>
  <si>
    <t>年台醇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</si>
  <si>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素酒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</si>
  <si>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</si>
  <si>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君御</t>
    </r>
  </si>
  <si>
    <t>税小敏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</si>
  <si>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朗姆酒</t>
    </r>
  </si>
  <si>
    <t>至完</t>
  </si>
  <si>
    <r>
      <t>海南以道佐人文化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</si>
  <si>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黄酒</t>
    </r>
  </si>
  <si>
    <t>中企食当家 SEDANGA</t>
  </si>
  <si>
    <r>
      <t>中企食当家（上海）城市生活服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</si>
  <si>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威士忌;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</si>
  <si>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沙抿一哈餐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</si>
  <si>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含酒精的气泡水; 果酒（含酒精）;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威士忌</t>
    </r>
  </si>
  <si>
    <t>人格的力量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</si>
  <si>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市古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</si>
  <si>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</si>
  <si>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六和丰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</si>
  <si>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</t>
    </r>
  </si>
  <si>
    <r>
      <t>鸢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</si>
  <si>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花田溪酒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</si>
  <si>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米酒; 白酒; 青稞酒; 食用酒精; 烈酒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</si>
  <si>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茴芹酒（利口酒）; 苦味酒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</si>
  <si>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邑 GEN-Z</t>
    </r>
  </si>
  <si>
    <t>刘秋梅</t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</si>
  <si>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</si>
  <si>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年台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</si>
  <si>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白酒;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黄酒</t>
    </r>
  </si>
  <si>
    <r>
      <t>浊</t>
    </r>
    <r>
      <rPr>
        <sz val="11"/>
        <color theme="1"/>
        <rFont val="ＭＳ Ｐゴシック"/>
        <family val="3"/>
        <charset val="128"/>
        <scheme val="minor"/>
      </rPr>
      <t>小暖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</si>
  <si>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双拾商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</si>
  <si>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</si>
  <si>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芯神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</si>
  <si>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南芯医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</si>
  <si>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</si>
  <si>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喜牌商羊王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</si>
  <si>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坊佳福健康管理有限公司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</si>
  <si>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露酒; 高粱酒</t>
    </r>
  </si>
  <si>
    <r>
      <t>睿道致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</si>
  <si>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陈钰</t>
    </r>
    <r>
      <rPr>
        <sz val="11"/>
        <color theme="1"/>
        <rFont val="ＭＳ Ｐゴシック"/>
        <family val="3"/>
        <charset val="128"/>
        <scheme val="minor"/>
      </rPr>
      <t>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</si>
  <si>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</si>
  <si>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上井汭</t>
  </si>
  <si>
    <r>
      <t>汪筱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</si>
  <si>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开胃酒; 黄酒</t>
    </r>
  </si>
  <si>
    <t>冰川螺髻</t>
  </si>
  <si>
    <r>
      <t>凉山州普格六禾生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</si>
  <si>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</si>
  <si>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天港</t>
    </r>
    <r>
      <rPr>
        <sz val="11"/>
        <color theme="1"/>
        <rFont val="ＭＳ Ｐゴシック"/>
        <family val="3"/>
        <charset val="134"/>
        <scheme val="minor"/>
      </rPr>
      <t>龚</t>
    </r>
    <r>
      <rPr>
        <sz val="11"/>
        <color theme="1"/>
        <rFont val="ＭＳ Ｐゴシック"/>
        <family val="3"/>
        <charset val="128"/>
        <scheme val="minor"/>
      </rPr>
      <t>禧</t>
    </r>
    <r>
      <rPr>
        <sz val="11"/>
        <color theme="1"/>
        <rFont val="ＭＳ Ｐゴシック"/>
        <family val="3"/>
        <charset val="134"/>
        <scheme val="minor"/>
      </rPr>
      <t>龚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</si>
  <si>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天港控股集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</si>
  <si>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</si>
  <si>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飞鹰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</si>
  <si>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燕燕</t>
    </r>
  </si>
  <si>
    <r>
      <t>黄酒; 汽酒; 烈酒;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</si>
  <si>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PICALANDI</t>
  </si>
  <si>
    <r>
      <t>红驼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</si>
  <si>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利口酒; 威士忌</t>
    </r>
  </si>
  <si>
    <t>恒香旺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</si>
  <si>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恒香酒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</si>
  <si>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烈酒;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甜果酒; 利口酒; 米酒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</si>
  <si>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琻</t>
    </r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</si>
  <si>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</si>
  <si>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黄酒; 高粱酒; 葡萄酒; 白酒;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</si>
  <si>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如母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告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</si>
  <si>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夏其恒健康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</si>
  <si>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</si>
  <si>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侨</t>
    </r>
    <r>
      <rPr>
        <sz val="11"/>
        <color theme="1"/>
        <rFont val="ＭＳ Ｐゴシック"/>
        <family val="3"/>
        <charset val="128"/>
        <scheme val="minor"/>
      </rPr>
      <t>香酒韵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</si>
  <si>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</si>
  <si>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</si>
  <si>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五道渠</t>
  </si>
  <si>
    <t>山西金禧食品有限公司</t>
  </si>
  <si>
    <r>
      <t>白酒;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</si>
  <si>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TRIIVIINO</t>
  </si>
  <si>
    <r>
      <t>深圳口袋英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</si>
  <si>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</si>
  <si>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运珍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</si>
  <si>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高粱酒</t>
    </r>
  </si>
  <si>
    <t>品将山美</t>
  </si>
  <si>
    <r>
      <t>田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</si>
  <si>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</si>
  <si>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醉熊</t>
  </si>
  <si>
    <r>
      <t>酣客酒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</si>
  <si>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含酒精的气泡水;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</si>
  <si>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吉安北洛科技有限公司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</si>
  <si>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</si>
  <si>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肆知</t>
    </r>
    <r>
      <rPr>
        <sz val="11"/>
        <color theme="1"/>
        <rFont val="ＭＳ Ｐゴシック"/>
        <family val="3"/>
        <charset val="134"/>
        <scheme val="minor"/>
      </rPr>
      <t>义</t>
    </r>
  </si>
  <si>
    <t>樊宗鑫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</si>
  <si>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</si>
  <si>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潭溪沙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</si>
  <si>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</si>
  <si>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高粱酒; 黄酒; 烈酒;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</si>
  <si>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庄</t>
    </r>
  </si>
  <si>
    <t>中天智星人工智能科技（唐山）有限公司</t>
  </si>
  <si>
    <r>
      <t xml:space="preserve">果酒（含酒精）;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清酒; 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</si>
  <si>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高粱酒; 青稞酒; 白酒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</si>
  <si>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奇妙游</t>
    </r>
  </si>
  <si>
    <r>
      <t>上海炙愈医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</si>
  <si>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</si>
  <si>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r>
      <t>京南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牛</t>
    </r>
    <r>
      <rPr>
        <sz val="11"/>
        <color theme="1"/>
        <rFont val="ＭＳ Ｐゴシック"/>
        <family val="3"/>
        <charset val="134"/>
        <scheme val="minor"/>
      </rPr>
      <t>陈</t>
    </r>
  </si>
  <si>
    <t>温方玲</t>
  </si>
  <si>
    <r>
      <t xml:space="preserve">蒸煮提取物（利口酒和烈酒）;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开胃酒</t>
    </r>
  </si>
  <si>
    <t>正达碧海</t>
  </si>
  <si>
    <r>
      <t>北京正达每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</si>
  <si>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</si>
  <si>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CHAMPLON</t>
  </si>
  <si>
    <r>
      <t>佛山市昇隆供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</si>
  <si>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米酒;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混合威士忌酒; 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</si>
  <si>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奇妙甄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</si>
  <si>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</t>
    </r>
  </si>
  <si>
    <t>广潮汕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</si>
  <si>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广潮汕食品有限公司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</si>
  <si>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</si>
  <si>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艾易特</t>
  </si>
  <si>
    <r>
      <t>孙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</si>
  <si>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朗姆酒</t>
    </r>
  </si>
  <si>
    <t>LAS PARCELAS</t>
  </si>
  <si>
    <r>
      <t>三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客有限公司</t>
    </r>
  </si>
  <si>
    <r>
      <t>薄荷酒;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</si>
  <si>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窦</t>
    </r>
    <r>
      <rPr>
        <sz val="11"/>
        <color theme="1"/>
        <rFont val="ＭＳ Ｐゴシック"/>
        <family val="3"/>
        <charset val="128"/>
        <scheme val="minor"/>
      </rPr>
      <t>店和悦</t>
    </r>
  </si>
  <si>
    <r>
      <t>北京市容仁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</si>
  <si>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白干酒（中国白酒）; 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</si>
  <si>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帘客美</t>
  </si>
  <si>
    <r>
      <t>徐州居客美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</si>
  <si>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苦味酒; 威士忌; 青稞酒; 白酒; 汽酒; 食用酒精;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</si>
  <si>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博文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</si>
  <si>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博（北京）</t>
    </r>
    <r>
      <rPr>
        <sz val="11"/>
        <color theme="1"/>
        <rFont val="ＭＳ Ｐゴシック"/>
        <family val="3"/>
        <charset val="134"/>
        <scheme val="minor"/>
      </rPr>
      <t>钱币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</si>
  <si>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果酒（含酒精）; 葡萄酒; 黄酒; 苹果酒;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</si>
  <si>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金宴台</t>
  </si>
  <si>
    <r>
      <t>虞文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</si>
  <si>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餐后酒（利口酒和烈酒）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</si>
  <si>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电动车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</si>
  <si>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</si>
  <si>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安有方 ANYFANG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</si>
  <si>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建群*****************X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</si>
  <si>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开胃酒; 利口酒;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</si>
  <si>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商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</si>
  <si>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商委肉制品有限公司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</si>
  <si>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清酒</t>
    </r>
  </si>
  <si>
    <t>HEINEKEN</t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</si>
  <si>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</si>
  <si>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垕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</si>
  <si>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福菲菲科技（重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</si>
  <si>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白葡萄酒; 白酒;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</si>
  <si>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治公</t>
  </si>
  <si>
    <t>李芳芳</t>
  </si>
  <si>
    <r>
      <t xml:space="preserve">白酒; 青稞酒; 高粱酒; 烈酒;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</si>
  <si>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龙见</t>
    </r>
    <r>
      <rPr>
        <sz val="11"/>
        <color theme="1"/>
        <rFont val="ＭＳ Ｐゴシック"/>
        <family val="3"/>
        <charset val="128"/>
        <scheme val="minor"/>
      </rPr>
      <t>茗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</si>
  <si>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</si>
  <si>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金佰翰</t>
  </si>
  <si>
    <t>唐相来</t>
  </si>
  <si>
    <r>
      <t xml:space="preserve">米酒; 黄酒; 利口酒;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</si>
  <si>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冰花</t>
    </r>
  </si>
  <si>
    <r>
      <t>食用酒精;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白酒; 高粱酒; 米酒; 白干酒（中国白酒）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</si>
  <si>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道梁</t>
    </r>
  </si>
  <si>
    <r>
      <t>张爱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</si>
  <si>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</si>
  <si>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扑克爵士</t>
  </si>
  <si>
    <t>云禧品牌管理（深圳）有限公司</t>
  </si>
  <si>
    <r>
      <t>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白酒;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</si>
  <si>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t>文帝星</t>
  </si>
  <si>
    <r>
      <t>聂</t>
    </r>
    <r>
      <rPr>
        <sz val="11"/>
        <color theme="1"/>
        <rFont val="ＭＳ Ｐゴシック"/>
        <family val="3"/>
        <charset val="128"/>
        <scheme val="minor"/>
      </rPr>
      <t>文利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</si>
  <si>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开胃酒; 葡萄酒; 青稞酒; 白酒; 黄酒; 苦味酒; 米酒</t>
    </r>
  </si>
  <si>
    <t>武当珍本草</t>
  </si>
  <si>
    <t>和和品牌管理（十堰）有限公司</t>
  </si>
  <si>
    <r>
      <t>葡萄酒;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</si>
  <si>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ZHEN LU HUAN 臻鹿皇</t>
  </si>
  <si>
    <r>
      <t xml:space="preserve">苦味酒;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利口酒; 黄酒; 米酒</t>
    </r>
  </si>
  <si>
    <r>
      <t>鸭绿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琼浆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</si>
  <si>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</si>
  <si>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巴野春</t>
  </si>
  <si>
    <r>
      <t>湖北水布</t>
    </r>
    <r>
      <rPr>
        <sz val="11"/>
        <color theme="1"/>
        <rFont val="ＭＳ Ｐゴシック"/>
        <family val="3"/>
        <charset val="134"/>
        <scheme val="minor"/>
      </rPr>
      <t>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</si>
  <si>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白酒</t>
    </r>
  </si>
  <si>
    <t>珍酒紫砂珍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</si>
  <si>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</si>
  <si>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白酒; 利口酒; 黄酒</t>
    </r>
  </si>
  <si>
    <t>酉斗粮</t>
  </si>
  <si>
    <t>郭周康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</si>
  <si>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青稞酒</t>
    </r>
  </si>
  <si>
    <r>
      <t>乒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猫</t>
    </r>
  </si>
  <si>
    <t>樊孝江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</si>
  <si>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米酒; 开胃酒</t>
    </r>
  </si>
  <si>
    <t>酒无上</t>
  </si>
  <si>
    <t>南京脉之道健康科技有限公司</t>
  </si>
  <si>
    <r>
      <t>白干酒（中国白酒）;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高粱酒; 葡萄酒; 威士忌</t>
    </r>
  </si>
  <si>
    <t>御青樽</t>
  </si>
  <si>
    <r>
      <t>延安醉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</si>
  <si>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青稞酒; 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开胃酒; 葡萄酒</t>
    </r>
  </si>
  <si>
    <t>RUOUMAODAI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</si>
  <si>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拾一味商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</si>
  <si>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</t>
    </r>
  </si>
  <si>
    <t>膳回椿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</si>
  <si>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灵椿味道餐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</si>
  <si>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食用酒精; 白酒; 果酒（含酒精）; 开胃酒; 蒸煮提取物（利口酒和烈酒）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</si>
  <si>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庄伴手礼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</si>
  <si>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</si>
  <si>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甜果酒;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</si>
  <si>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正造酒</t>
    </r>
    <r>
      <rPr>
        <sz val="11"/>
        <color theme="1"/>
        <rFont val="ＭＳ Ｐゴシック"/>
        <family val="3"/>
        <charset val="134"/>
        <scheme val="minor"/>
      </rPr>
      <t>业</t>
    </r>
  </si>
  <si>
    <t>李可童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</si>
  <si>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</si>
  <si>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天夏粮久</t>
  </si>
  <si>
    <r>
      <t>合肥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三丰健身健康文化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</si>
  <si>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黄酒; 清酒;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含酒精的气泡水; 开胃酒</t>
    </r>
  </si>
  <si>
    <t>温州醉客品牌文化管理有限公司</t>
  </si>
  <si>
    <r>
      <t>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</si>
  <si>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COHIBABEHIKE</t>
  </si>
  <si>
    <r>
      <t>深圳市高希霸科技集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</si>
  <si>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</si>
  <si>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紫砂珍</t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</si>
  <si>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</si>
  <si>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久久山清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</si>
  <si>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久科技有限公司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</si>
  <si>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黄酒; 白酒;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青稞酒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</si>
  <si>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沃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</si>
  <si>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沃移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通信有限公司</t>
    </r>
  </si>
  <si>
    <r>
      <t xml:space="preserve">朗姆酒;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</si>
  <si>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敞</t>
    </r>
    <r>
      <rPr>
        <sz val="11"/>
        <color theme="1"/>
        <rFont val="ＭＳ Ｐゴシック"/>
        <family val="3"/>
        <charset val="134"/>
        <scheme val="minor"/>
      </rPr>
      <t>潇</t>
    </r>
  </si>
  <si>
    <r>
      <t>亳州古香坊酒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</si>
  <si>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</si>
  <si>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襟</t>
    </r>
  </si>
  <si>
    <r>
      <t>天台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鞠躬日用品有限公司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</si>
  <si>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利口酒</t>
    </r>
  </si>
  <si>
    <r>
      <t>凡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大神</t>
    </r>
  </si>
  <si>
    <r>
      <t>范忠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</si>
  <si>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烈酒</t>
    </r>
  </si>
  <si>
    <r>
      <t>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果酒（含酒精）</t>
    </r>
  </si>
  <si>
    <t>久宏十五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</si>
  <si>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市久宏酒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</si>
  <si>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朗姆酒; 青稞酒; 葡萄酒; 伏特加酒</t>
    </r>
  </si>
  <si>
    <r>
      <t>老梅</t>
    </r>
    <r>
      <rPr>
        <sz val="11"/>
        <color theme="1"/>
        <rFont val="ＭＳ Ｐゴシック"/>
        <family val="3"/>
        <charset val="134"/>
        <scheme val="minor"/>
      </rPr>
      <t>发</t>
    </r>
  </si>
  <si>
    <t>梅月斌</t>
  </si>
  <si>
    <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果酒</t>
    </r>
  </si>
  <si>
    <t>秦君令</t>
  </si>
  <si>
    <r>
      <t>赵</t>
    </r>
    <r>
      <rPr>
        <sz val="11"/>
        <color theme="1"/>
        <rFont val="ＭＳ Ｐゴシック"/>
        <family val="3"/>
        <charset val="128"/>
        <scheme val="minor"/>
      </rPr>
      <t>双英</t>
    </r>
  </si>
  <si>
    <r>
      <t>清酒（日本米酒）; 白酒; 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</si>
  <si>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竹知本</t>
  </si>
  <si>
    <r>
      <t>王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豆</t>
    </r>
  </si>
  <si>
    <t>白酒; 果酒（含酒精）; 黄酒; 朗姆酒; 清酒; 米酒; 葡萄酒; 甜酒; 梅酒; 伏特加酒</t>
  </si>
  <si>
    <r>
      <t>香格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茸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</si>
  <si>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</si>
  <si>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</si>
  <si>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淇心</t>
    </r>
  </si>
  <si>
    <t>尚永超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</si>
  <si>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佐餐酒; 果酒（含酒精）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</si>
  <si>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欢</t>
    </r>
  </si>
  <si>
    <t>周春明</t>
  </si>
  <si>
    <r>
      <t xml:space="preserve">米酒;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食用酒精; 果酒</t>
    </r>
  </si>
  <si>
    <t>果斯嘉</t>
  </si>
  <si>
    <r>
      <t>凤</t>
    </r>
    <r>
      <rPr>
        <sz val="11"/>
        <color theme="1"/>
        <rFont val="ＭＳ Ｐゴシック"/>
        <family val="3"/>
        <charset val="128"/>
        <scheme val="minor"/>
      </rPr>
      <t>城市林地种植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</si>
  <si>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干型苹果酒; 苹果酒;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</si>
  <si>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肥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</si>
  <si>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</si>
  <si>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黄酒</t>
    </r>
  </si>
  <si>
    <t>盅杯宴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</si>
  <si>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市邱台酒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</si>
  <si>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米酒</t>
    </r>
  </si>
  <si>
    <t>DONKOU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</si>
  <si>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董弓科技有限公司</t>
    </r>
  </si>
  <si>
    <r>
      <t>米酒; 威士忌; 白酒; 果酒（含酒精）; 蒸煮提取物（利口酒和烈酒）; 葡萄酒;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</si>
  <si>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秘里</t>
  </si>
  <si>
    <r>
      <t>四川省古格音像文化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</si>
  <si>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</si>
  <si>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仙小辞</t>
  </si>
  <si>
    <t>黄酒; 米酒; 甜酒; 葡萄酒; 伏特加酒; 果酒（含酒精）; 梅酒; 白酒; 朗姆酒; 清酒</t>
  </si>
  <si>
    <r>
      <t>古花</t>
    </r>
    <r>
      <rPr>
        <sz val="11"/>
        <color theme="1"/>
        <rFont val="ＭＳ Ｐゴシック"/>
        <family val="3"/>
        <charset val="134"/>
        <scheme val="minor"/>
      </rPr>
      <t>涧</t>
    </r>
  </si>
  <si>
    <t>白酒; 朗姆酒; 清酒; 甜酒; 米酒; 果酒（含酒精）; 梅酒; 葡萄酒; 黄酒; 伏特加酒</t>
  </si>
  <si>
    <r>
      <t>丙乾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</si>
  <si>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河南乾之坊酒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</si>
  <si>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青稞酒; 葡萄酒; 果酒（含酒精）; 黄酒; 露酒</t>
    </r>
  </si>
  <si>
    <t>XIMINI</t>
  </si>
  <si>
    <t>海宁市西米尼科技有限公司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</si>
  <si>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</si>
  <si>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酩淞台</t>
  </si>
  <si>
    <t>李兵</t>
  </si>
  <si>
    <r>
      <t>米酒; 黄酒;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</si>
  <si>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濛山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</si>
  <si>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香港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泰国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</si>
  <si>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威士忌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</si>
  <si>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</si>
  <si>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米酒; 白酒; 果酒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</si>
  <si>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</si>
  <si>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米酒;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蒸煮提取物（利口酒和烈酒）</t>
    </r>
  </si>
  <si>
    <t>客派酒嫂</t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</si>
  <si>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</si>
  <si>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云来</t>
    </r>
    <r>
      <rPr>
        <sz val="11"/>
        <color theme="1"/>
        <rFont val="ＭＳ Ｐゴシック"/>
        <family val="3"/>
        <charset val="134"/>
        <scheme val="minor"/>
      </rPr>
      <t>访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</si>
  <si>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志娟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</si>
  <si>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米酒;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</si>
  <si>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令</t>
    </r>
  </si>
  <si>
    <t>刘佯佯</t>
  </si>
  <si>
    <r>
      <t xml:space="preserve">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烈酒; 葡萄酒; 清酒（日本米酒）</t>
    </r>
  </si>
  <si>
    <t>醉吟祝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</si>
  <si>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</si>
  <si>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瞒贺</t>
  </si>
  <si>
    <t>深圳市玖方名酒有限公司</t>
  </si>
  <si>
    <r>
      <t>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伏特加酒;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</si>
  <si>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旺明湖</t>
  </si>
  <si>
    <r>
      <t>广州旺明湖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</si>
  <si>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高粱酒; 食用酒精; 黄酒;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开胃酒; 米酒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</si>
  <si>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友福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</si>
  <si>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</si>
  <si>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酣古翁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</si>
  <si>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白酒; 果酒; 黄酒; 蒸煮提取物（利口酒和烈酒）;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</si>
  <si>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</si>
  <si>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姚月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</si>
  <si>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白酒; 葡萄酒; 青稞酒;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苦味酒; 蒸煮提取物（利口酒和烈酒）; 茴芹酒（利口酒）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</si>
  <si>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</si>
  <si>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葡萄酒; 米酒</t>
    </r>
  </si>
  <si>
    <t>MEICHIC</t>
  </si>
  <si>
    <r>
      <t>杭州芊美信息技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</si>
  <si>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米酒; 清酒（日本米酒）;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</si>
  <si>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觅觅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</si>
  <si>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</si>
  <si>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酒杯丰</t>
  </si>
  <si>
    <r>
      <t>开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</si>
  <si>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</si>
  <si>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阳光打盹 SUNNAP</t>
  </si>
  <si>
    <r>
      <t>华尔</t>
    </r>
    <r>
      <rPr>
        <sz val="11"/>
        <color theme="1"/>
        <rFont val="ＭＳ Ｐゴシック"/>
        <family val="3"/>
        <charset val="128"/>
        <scheme val="minor"/>
      </rPr>
      <t>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（烟台）有限公司</t>
    </r>
  </si>
  <si>
    <r>
      <t xml:space="preserve">开胃酒; 白酒; 烈酒; 米酒; 蒸煮提取物（利口酒和烈酒）;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</si>
  <si>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众与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</si>
  <si>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武******************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</si>
  <si>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</si>
  <si>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公嘉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</si>
  <si>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</t>
    </r>
  </si>
  <si>
    <r>
      <t>通化</t>
    </r>
    <r>
      <rPr>
        <sz val="11"/>
        <color theme="1"/>
        <rFont val="ＭＳ Ｐゴシック"/>
        <family val="3"/>
        <charset val="134"/>
        <scheme val="minor"/>
      </rPr>
      <t>县电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</si>
  <si>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</si>
  <si>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木森大舞台</t>
  </si>
  <si>
    <r>
      <t>一念（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</si>
  <si>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</si>
  <si>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福祥朗</t>
  </si>
  <si>
    <r>
      <t>汨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市屈子舟酒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</si>
  <si>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</si>
  <si>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布朗廷</t>
  </si>
  <si>
    <t>田浪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</si>
  <si>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</si>
  <si>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唐子</t>
    </r>
    <r>
      <rPr>
        <sz val="11"/>
        <color theme="1"/>
        <rFont val="ＭＳ Ｐゴシック"/>
        <family val="3"/>
        <charset val="134"/>
        <scheme val="minor"/>
      </rPr>
      <t>苏</t>
    </r>
  </si>
  <si>
    <t>南京五福健康管理有限公司</t>
  </si>
  <si>
    <r>
      <t>开胃酒;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蜂蜜酒;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</si>
  <si>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福运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</si>
  <si>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</si>
  <si>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玉美永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</si>
  <si>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玉美永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（石家庄）商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</si>
  <si>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青稞酒;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汽酒</t>
    </r>
  </si>
  <si>
    <t>黑盖美</t>
  </si>
  <si>
    <r>
      <t>钱啸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</si>
  <si>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白干酒（中国白酒）;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</si>
  <si>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艾特伊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</si>
  <si>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</si>
  <si>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葡萄汽酒; 威士忌; 果酒</t>
    </r>
  </si>
  <si>
    <r>
      <t>惯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</si>
  <si>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北京孟富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和他的朋友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</si>
  <si>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葡萄酒;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威士忌; 白酒; 苹果酒</t>
    </r>
  </si>
  <si>
    <t>麦不陌</t>
  </si>
  <si>
    <r>
      <t>朱屯（河南）食品供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</si>
  <si>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黄酒; 果酒; 果酒（含酒精）</t>
    </r>
  </si>
  <si>
    <t>御酩滇</t>
  </si>
  <si>
    <r>
      <t>黄酒; 米酒;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</si>
  <si>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</si>
  <si>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蒸煮提取物（利口酒和烈酒）; 黄酒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</si>
  <si>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粮将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</si>
  <si>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葡萄酒; 米酒; 白酒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</si>
  <si>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采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</si>
  <si>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德区容桂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</si>
  <si>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威士忌; 米酒; 白酒; 果酒; 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</si>
  <si>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宣述</t>
  </si>
  <si>
    <r>
      <t>白酒; 米酒; 清酒（日本米酒）;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</si>
  <si>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春秋大夫</t>
  </si>
  <si>
    <t>王美英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</si>
  <si>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</si>
  <si>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开胃酒;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苹果酒;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</si>
  <si>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光活</t>
  </si>
  <si>
    <t>四川香斯哩食品有限公司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</si>
  <si>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茴香酒（利口酒）; 白酒; 利口酒; 葡萄酒;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</si>
  <si>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客派黄九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</si>
  <si>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</si>
  <si>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蒙山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</si>
  <si>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黄酒; 食用酒精;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</si>
  <si>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茗川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</si>
  <si>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</si>
  <si>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葡萄酒; 米酒; 白酒; 佐餐酒;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黄酒</t>
    </r>
  </si>
  <si>
    <r>
      <t>汨虎酒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</si>
  <si>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上海汨虎酒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</si>
  <si>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食用酒精; 甜酒; 开胃酒; 白酒;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</si>
  <si>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乾当</t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</si>
  <si>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</si>
  <si>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烈酒;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</si>
  <si>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蓄光春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</si>
  <si>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沙依巴克区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子江路色彩地</t>
    </r>
    <r>
      <rPr>
        <sz val="11"/>
        <color theme="1"/>
        <rFont val="ＭＳ Ｐゴシック"/>
        <family val="3"/>
        <charset val="134"/>
        <scheme val="minor"/>
      </rPr>
      <t>带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品商行</t>
    </r>
  </si>
  <si>
    <r>
      <t>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梨酒; 威士忌; 米酒</t>
    </r>
  </si>
  <si>
    <r>
      <t>沽好成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</si>
  <si>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鼎天酒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</si>
  <si>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薄荷酒; 葡萄酒;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杜松子酒</t>
    </r>
  </si>
  <si>
    <t>TASTOKING</t>
  </si>
  <si>
    <r>
      <t>燕小丫（厦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</si>
  <si>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咖啡利口酒;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</si>
  <si>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白酒; 高粱酒; 果酒; 清酒;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</si>
  <si>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NOSNI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</si>
  <si>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</si>
  <si>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</t>
    </r>
  </si>
  <si>
    <r>
      <t>蓄光秋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</si>
  <si>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果酒（含酒精）; 梨酒; 烈酒;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</si>
  <si>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云男</t>
  </si>
  <si>
    <r>
      <t>杨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</si>
  <si>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利口酒; 朗姆酒; 含酒精的气泡水; 伏特加酒;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</si>
  <si>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年往事</t>
    </r>
  </si>
  <si>
    <t>温向阳</t>
  </si>
  <si>
    <r>
      <t>米酒; 露酒; 葡萄酒; 黄酒; 白酒; 果酒;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</si>
  <si>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上佬佬</t>
    </r>
  </si>
  <si>
    <r>
      <t>果酒;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</si>
  <si>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方二小姐</t>
  </si>
  <si>
    <r>
      <t>上海拾酒夷国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</si>
  <si>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</t>
    </r>
  </si>
  <si>
    <t>九翕九翕</t>
  </si>
  <si>
    <t>北京魔方智慧科技有限公司</t>
  </si>
  <si>
    <t>百姓邦</t>
  </si>
  <si>
    <r>
      <t>郭</t>
    </r>
    <r>
      <rPr>
        <sz val="11"/>
        <color theme="1"/>
        <rFont val="ＭＳ Ｐゴシック"/>
        <family val="3"/>
        <charset val="134"/>
        <scheme val="minor"/>
      </rPr>
      <t>谋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</si>
  <si>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 xml:space="preserve">黄酒;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</si>
  <si>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硬益天</t>
  </si>
  <si>
    <r>
      <t>安徽省鑫之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</si>
  <si>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</si>
  <si>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万昌</t>
    </r>
    <r>
      <rPr>
        <sz val="11"/>
        <color theme="1"/>
        <rFont val="ＭＳ Ｐゴシック"/>
        <family val="3"/>
        <charset val="134"/>
        <scheme val="minor"/>
      </rPr>
      <t>栈</t>
    </r>
  </si>
  <si>
    <r>
      <t>海天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</si>
  <si>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食用酒精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</si>
  <si>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栈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</si>
  <si>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</si>
  <si>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</si>
  <si>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未来科技有限公司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</si>
  <si>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</si>
  <si>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桑往事</t>
    </r>
  </si>
  <si>
    <r>
      <t>南宁供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社区服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</si>
  <si>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</si>
  <si>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中房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</si>
  <si>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</si>
  <si>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</si>
  <si>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爵掌柜</t>
  </si>
  <si>
    <r>
      <t>深圳渝邦投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</si>
  <si>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梨酒;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</si>
  <si>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元露</t>
    </r>
  </si>
  <si>
    <r>
      <t>上海万德泓福酒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</si>
  <si>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</si>
  <si>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古炉</t>
  </si>
  <si>
    <t>郭六秀</t>
  </si>
  <si>
    <r>
      <t xml:space="preserve">米酒; 汽酒; 果酒; 开胃酒;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甜酒; 清酒（日本米酒）</t>
    </r>
  </si>
  <si>
    <r>
      <t>华坛</t>
    </r>
    <r>
      <rPr>
        <sz val="11"/>
        <color theme="1"/>
        <rFont val="ＭＳ Ｐゴシック"/>
        <family val="3"/>
        <charset val="128"/>
        <scheme val="minor"/>
      </rPr>
      <t>山</t>
    </r>
  </si>
  <si>
    <t>朱大芳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</si>
  <si>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</si>
  <si>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倍元气</t>
  </si>
  <si>
    <t>牛水林</t>
  </si>
  <si>
    <r>
      <t xml:space="preserve">米酒; 葡萄酒; 甜酒;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清酒; 食用酒精</t>
    </r>
  </si>
  <si>
    <t>西塘干雅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</si>
  <si>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露酒</t>
    </r>
  </si>
  <si>
    <t>方二小姐的酒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</si>
  <si>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朗姆酒; 汽酒;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</si>
  <si>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</si>
  <si>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</si>
  <si>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黄酒</t>
    </r>
  </si>
  <si>
    <t>石湍五谷丰</t>
  </si>
  <si>
    <r>
      <t>梁深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</si>
  <si>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烈性干酒; 含酒精蛋奶酒; 白酒</t>
    </r>
  </si>
  <si>
    <t>深林也果</t>
  </si>
  <si>
    <r>
      <t>沈阳圣斐</t>
    </r>
    <r>
      <rPr>
        <sz val="11"/>
        <color theme="1"/>
        <rFont val="ＭＳ Ｐゴシック"/>
        <family val="3"/>
        <charset val="134"/>
        <scheme val="minor"/>
      </rPr>
      <t>丝饮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</si>
  <si>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</si>
  <si>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SCHUCHMAN</t>
    </r>
  </si>
  <si>
    <t>海南上水食品有限公司</t>
  </si>
  <si>
    <r>
      <t>烈酒; 朗姆酒; 果酒;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利口酒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</si>
  <si>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涛中庸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</si>
  <si>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米酒; 果酒（含酒精）;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</si>
  <si>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境天下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</si>
  <si>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市博得酒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</si>
  <si>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苹果酒; 利口酒;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</si>
  <si>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t>盛滋海薇 SANZ CALVO</t>
  </si>
  <si>
    <r>
      <t>威士忌; 伏特加酒; 葡萄酒; 烈酒;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朗姆酒</t>
    </r>
  </si>
  <si>
    <r>
      <t>陵沭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</si>
  <si>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酒行天下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</si>
  <si>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</t>
    </r>
  </si>
  <si>
    <t>硬哈哈</t>
  </si>
  <si>
    <t>丁亮亮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</si>
  <si>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葡萄酒; 米酒; 高粱酒;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</si>
  <si>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</si>
  <si>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黔酒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</si>
  <si>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米酒; 葡萄酒; 白干酒（中国白酒）;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</si>
  <si>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OPORTUNO</t>
  </si>
  <si>
    <r>
      <t>糖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工程与技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</si>
  <si>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</si>
  <si>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中悍</t>
  </si>
  <si>
    <r>
      <t>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</si>
  <si>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</si>
  <si>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</si>
  <si>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博云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</si>
  <si>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博云技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</si>
  <si>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</t>
    </r>
  </si>
  <si>
    <t>YOR</t>
  </si>
  <si>
    <t>向礼</t>
  </si>
  <si>
    <r>
      <t xml:space="preserve">果酒; 清酒; 甜酒; 葡萄酒; 白酒; 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</si>
  <si>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观汉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</si>
  <si>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</si>
  <si>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白酒; 白葡萄酒;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</si>
  <si>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洌泉春</t>
  </si>
  <si>
    <t>孟会粉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</si>
  <si>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</si>
  <si>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仙大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</si>
  <si>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黄酒; 烈酒; 清酒;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</si>
  <si>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</si>
  <si>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志丹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金丁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</si>
  <si>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蜂蜜酒;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</si>
  <si>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随听</t>
  </si>
  <si>
    <r>
      <t>林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</si>
  <si>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米酒; 黄酒; 清酒; 甜酒; 葡萄酒</t>
    </r>
  </si>
  <si>
    <t>夜梦恬</t>
  </si>
  <si>
    <r>
      <t>宁波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德航运有限公司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</si>
  <si>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</si>
  <si>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君子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</si>
  <si>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果酒; 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</si>
  <si>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</si>
  <si>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果酒（含酒精）; 开胃酒; 清酒（日本米酒）; 白酒;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</si>
  <si>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柯洛帝</t>
  </si>
  <si>
    <r>
      <t>福建言信善供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</si>
  <si>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</si>
  <si>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瀚神水台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</si>
  <si>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</si>
  <si>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</si>
  <si>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宗唐</t>
    </r>
  </si>
  <si>
    <r>
      <t>内蒙古大</t>
    </r>
    <r>
      <rPr>
        <sz val="11"/>
        <color theme="1"/>
        <rFont val="ＭＳ Ｐゴシック"/>
        <family val="3"/>
        <charset val="134"/>
        <scheme val="minor"/>
      </rPr>
      <t>鲵</t>
    </r>
    <r>
      <rPr>
        <sz val="11"/>
        <color theme="1"/>
        <rFont val="ＭＳ Ｐゴシック"/>
        <family val="3"/>
        <charset val="128"/>
        <scheme val="minor"/>
      </rPr>
      <t>生物科技集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</si>
  <si>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果酒;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</si>
  <si>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</si>
  <si>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之礼酒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</si>
  <si>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</si>
  <si>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栈</t>
    </r>
  </si>
  <si>
    <r>
      <t>吴育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</si>
  <si>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葡萄酒; 清酒（日本米酒）;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开胃酒; 白酒</t>
    </r>
  </si>
  <si>
    <t>CARTER CARE</t>
  </si>
  <si>
    <t>李宁</t>
  </si>
  <si>
    <r>
      <t xml:space="preserve">葡萄酒; 伏特加酒;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</si>
  <si>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衔</t>
    </r>
  </si>
  <si>
    <t>班迪</t>
  </si>
  <si>
    <r>
      <t>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清酒; 米酒; 果酒</t>
    </r>
  </si>
  <si>
    <t>正巾</t>
  </si>
  <si>
    <r>
      <t>刘志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</si>
  <si>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白酒; 黄酒; 白干酒（中国白酒）;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</si>
  <si>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</si>
  <si>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玉林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</si>
  <si>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黄酒; 白酒; 甜果酒;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</si>
  <si>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烈特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</si>
  <si>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</si>
  <si>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</si>
  <si>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林古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</si>
  <si>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灿灿</t>
    </r>
    <r>
      <rPr>
        <sz val="11"/>
        <color theme="1"/>
        <rFont val="ＭＳ Ｐゴシック"/>
        <family val="3"/>
        <charset val="128"/>
        <scheme val="minor"/>
      </rPr>
      <t>河沟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</si>
  <si>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</si>
  <si>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北沁</t>
  </si>
  <si>
    <t>涂桂运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</si>
  <si>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</si>
  <si>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皇樽魁</t>
  </si>
  <si>
    <r>
      <t>吕</t>
    </r>
    <r>
      <rPr>
        <sz val="11"/>
        <color theme="1"/>
        <rFont val="ＭＳ Ｐゴシック"/>
        <family val="3"/>
        <charset val="128"/>
        <scheme val="minor"/>
      </rPr>
      <t>欣育</t>
    </r>
  </si>
  <si>
    <r>
      <t>果酒; 葡萄酒; 米酒; 青稞酒;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</si>
  <si>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胎</t>
    </r>
    <r>
      <rPr>
        <sz val="11"/>
        <color theme="1"/>
        <rFont val="ＭＳ Ｐゴシック"/>
        <family val="3"/>
        <charset val="134"/>
        <scheme val="minor"/>
      </rPr>
      <t>玺宫</t>
    </r>
  </si>
  <si>
    <t>刘雪梅</t>
  </si>
  <si>
    <r>
      <t>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白酒; 蝮蛇酒; 米酒; 果酒; 薄荷酒; 黄酒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</si>
  <si>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年代佳</t>
    </r>
  </si>
  <si>
    <r>
      <t>中糖大荒健康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（北京）股份有限公司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</si>
  <si>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</t>
    </r>
  </si>
  <si>
    <t>今疆山</t>
  </si>
  <si>
    <t>赵华</t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</si>
  <si>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</si>
  <si>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衔</t>
    </r>
  </si>
  <si>
    <r>
      <t xml:space="preserve">甜酒; 黄酒; 清酒;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</t>
    </r>
  </si>
  <si>
    <t>阿依布拉克</t>
  </si>
  <si>
    <t>杜猛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</si>
  <si>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汽酒; 葡萄酒; 白酒; 露酒; 米酒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</si>
  <si>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里</t>
    </r>
  </si>
  <si>
    <t>梁宏春</t>
  </si>
  <si>
    <r>
      <t xml:space="preserve">黄酒; 葡萄酒; 米酒; 白酒; 威士忌;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</si>
  <si>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中科·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美国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 xml:space="preserve"> ZHONGKE YIMEI INTERNATIONAL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</si>
  <si>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中科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美生物研究有限公司</t>
    </r>
  </si>
  <si>
    <r>
      <t>威士忌; 食用酒精;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</si>
  <si>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淮旧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</si>
  <si>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</si>
  <si>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</si>
  <si>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祥运来</t>
  </si>
  <si>
    <r>
      <t>凯</t>
    </r>
    <r>
      <rPr>
        <sz val="11"/>
        <color theme="1"/>
        <rFont val="ＭＳ Ｐゴシック"/>
        <family val="3"/>
        <charset val="128"/>
        <scheme val="minor"/>
      </rPr>
      <t>里市小虎子烟酒土特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</si>
  <si>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薄荷酒; 青稞酒;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汽酒</t>
    </r>
  </si>
  <si>
    <r>
      <t>浮</t>
    </r>
    <r>
      <rPr>
        <sz val="11"/>
        <color theme="1"/>
        <rFont val="ＭＳ Ｐゴシック"/>
        <family val="3"/>
        <charset val="134"/>
        <scheme val="minor"/>
      </rPr>
      <t>雾</t>
    </r>
  </si>
  <si>
    <r>
      <t>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</si>
  <si>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彭城什么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</si>
  <si>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帝鼎企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</si>
  <si>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</si>
  <si>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矿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</si>
  <si>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>弓翠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</si>
  <si>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葡萄酒; 威士忌; 朗姆酒;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</si>
  <si>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山玖香</t>
    </r>
  </si>
  <si>
    <r>
      <t>山西聚源通供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</si>
  <si>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</si>
  <si>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巭</t>
    </r>
  </si>
  <si>
    <r>
      <t>深圳离火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代管理有限公司</t>
    </r>
  </si>
  <si>
    <r>
      <t>白酒; 利口酒; 开胃酒; 米酒; 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高粱酒; 蜂蜜酒</t>
    </r>
  </si>
  <si>
    <t>酌藏</t>
  </si>
  <si>
    <r>
      <t>唐</t>
    </r>
    <r>
      <rPr>
        <sz val="11"/>
        <color theme="1"/>
        <rFont val="ＭＳ Ｐゴシック"/>
        <family val="3"/>
        <charset val="129"/>
        <scheme val="minor"/>
      </rPr>
      <t>喻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</si>
  <si>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</si>
  <si>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灵雀仙</t>
  </si>
  <si>
    <t>浙江盟幻科技有限公司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</si>
  <si>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</si>
  <si>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</si>
  <si>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四川大国之尊酒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</si>
  <si>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米酒; 佐餐酒;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开胃酒; 高粱酒</t>
    </r>
  </si>
  <si>
    <r>
      <t>香花</t>
    </r>
    <r>
      <rPr>
        <sz val="11"/>
        <color theme="1"/>
        <rFont val="ＭＳ Ｐゴシック"/>
        <family val="3"/>
        <charset val="129"/>
        <scheme val="minor"/>
      </rPr>
      <t>窨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</si>
  <si>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</t>
    </r>
  </si>
  <si>
    <r>
      <t>雅木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萃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</si>
  <si>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光全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</si>
  <si>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果酒; 威士忌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</si>
  <si>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宋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</si>
  <si>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宋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</si>
  <si>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</t>
    </r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</si>
  <si>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</si>
  <si>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醉三哥</t>
    </r>
  </si>
  <si>
    <r>
      <t>广西田阳信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</si>
  <si>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黄酒; 果酒; 白干酒（中国白酒）;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</si>
  <si>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仙忘愁</t>
  </si>
  <si>
    <r>
      <t xml:space="preserve">开胃酒; 清酒（日本米酒）; 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</si>
  <si>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黔首</t>
    </r>
  </si>
  <si>
    <t>王凡凡</t>
  </si>
  <si>
    <r>
      <t xml:space="preserve">白葡萄酒;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高粱酒; 白酒</t>
    </r>
  </si>
  <si>
    <t>原皇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</si>
  <si>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</si>
  <si>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</si>
  <si>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醍醐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</si>
  <si>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夏数字科技有限公司广州分公司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</si>
  <si>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黄酒; 高粱酒; 果酒; 葡萄酒; 白酒; 梅酒; 烈酒</t>
    </r>
  </si>
  <si>
    <r>
      <t>府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千年</t>
    </r>
  </si>
  <si>
    <r>
      <t>温州福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</si>
  <si>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清酒; 葡萄酒</t>
    </r>
  </si>
  <si>
    <r>
      <t>匠来运</t>
    </r>
    <r>
      <rPr>
        <sz val="11"/>
        <color theme="1"/>
        <rFont val="ＭＳ Ｐゴシック"/>
        <family val="3"/>
        <charset val="134"/>
        <scheme val="minor"/>
      </rPr>
      <t>转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</si>
  <si>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国涛</t>
    </r>
  </si>
  <si>
    <r>
      <t>白葡萄酒;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利口酒;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</si>
  <si>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礼园春</t>
  </si>
  <si>
    <r>
      <t>冯</t>
    </r>
    <r>
      <rPr>
        <sz val="11"/>
        <color theme="1"/>
        <rFont val="ＭＳ Ｐゴシック"/>
        <family val="3"/>
        <charset val="128"/>
        <scheme val="minor"/>
      </rPr>
      <t>冰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</si>
  <si>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</si>
  <si>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高刻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</si>
  <si>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鲸鸿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</si>
  <si>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米酒;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</si>
  <si>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翼迢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</si>
  <si>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河南翼迢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</si>
  <si>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白酒; 果酒（含酒精）; 葡萄酒</t>
    </r>
  </si>
  <si>
    <t>中首酒都酒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</si>
  <si>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</si>
  <si>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高粱酒; 葡萄酒; 果酒; 黄酒;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</si>
  <si>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29"/>
        <scheme val="minor"/>
      </rPr>
      <t>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</si>
  <si>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</si>
  <si>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烈酒;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</si>
  <si>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</si>
  <si>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清酒; 甜酒; 葡萄酒; 果酒; 黄酒</t>
    </r>
  </si>
  <si>
    <t>唐今朝</t>
  </si>
  <si>
    <r>
      <t xml:space="preserve">清酒; 果酒; 白酒; 高粱酒;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</si>
  <si>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叹</t>
    </r>
    <r>
      <rPr>
        <sz val="11"/>
        <color theme="1"/>
        <rFont val="ＭＳ Ｐゴシック"/>
        <family val="3"/>
        <charset val="128"/>
        <scheme val="minor"/>
      </rPr>
      <t xml:space="preserve"> GONTITAON</t>
    </r>
  </si>
  <si>
    <t>刘从杰</t>
  </si>
  <si>
    <r>
      <t>米酒; 白酒; 汽酒; 葡萄酒; 威士忌; 黄酒;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</si>
  <si>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清秋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</si>
  <si>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</si>
  <si>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佳思酩</t>
  </si>
  <si>
    <r>
      <t>宁波佳思酩商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</si>
  <si>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威士忌;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</si>
  <si>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黑土梦想</t>
  </si>
  <si>
    <r>
      <t>湖南黑土梦想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</si>
  <si>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米酒</t>
    </r>
  </si>
  <si>
    <r>
      <t>玮业</t>
    </r>
    <r>
      <rPr>
        <sz val="11"/>
        <color theme="1"/>
        <rFont val="ＭＳ Ｐゴシック"/>
        <family val="3"/>
        <charset val="128"/>
        <scheme val="minor"/>
      </rPr>
      <t xml:space="preserve">上品 </t>
    </r>
    <r>
      <rPr>
        <sz val="11"/>
        <color theme="1"/>
        <rFont val="ＭＳ Ｐゴシック"/>
        <family val="3"/>
        <charset val="134"/>
        <scheme val="minor"/>
      </rPr>
      <t>玮</t>
    </r>
  </si>
  <si>
    <r>
      <t>北海</t>
    </r>
    <r>
      <rPr>
        <sz val="11"/>
        <color theme="1"/>
        <rFont val="ＭＳ Ｐゴシック"/>
        <family val="3"/>
        <charset val="134"/>
        <scheme val="minor"/>
      </rPr>
      <t>玮业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</si>
  <si>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葡萄酒; 果酒（含酒精）; 白酒</t>
    </r>
  </si>
  <si>
    <t>AOAO&amp;XOXO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</si>
  <si>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白酒</t>
    </r>
  </si>
  <si>
    <t>徽裕醇</t>
  </si>
  <si>
    <t>刘培礼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</si>
  <si>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</si>
  <si>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粮之仙</t>
  </si>
  <si>
    <t>周迎梅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</si>
  <si>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</si>
  <si>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婆婆</t>
    </r>
  </si>
  <si>
    <r>
      <t>孝感市宏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麻糖米酒有限公司</t>
    </r>
  </si>
  <si>
    <r>
      <t>米酒; 黄酒; 甜酒; 蜂蜜酒;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</si>
  <si>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云水云</t>
    </r>
    <r>
      <rPr>
        <sz val="11"/>
        <color theme="1"/>
        <rFont val="ＭＳ Ｐゴシック"/>
        <family val="3"/>
        <charset val="134"/>
        <scheme val="minor"/>
      </rPr>
      <t>间</t>
    </r>
  </si>
  <si>
    <t>李攀</t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</si>
  <si>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</si>
  <si>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KNOTIFY</t>
  </si>
  <si>
    <r>
      <t>丰声（河南）商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</si>
  <si>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清酒（日本米酒）;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白酒; 米酒;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伏特加酒; 葡萄酒</t>
    </r>
  </si>
  <si>
    <t>半露亭</t>
  </si>
  <si>
    <r>
      <t>舟山市定海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</si>
  <si>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烈酒;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</t>
    </r>
  </si>
  <si>
    <r>
      <t>橄</t>
    </r>
    <r>
      <rPr>
        <sz val="11"/>
        <color theme="1"/>
        <rFont val="ＭＳ Ｐゴシック"/>
        <family val="3"/>
        <charset val="134"/>
        <scheme val="minor"/>
      </rPr>
      <t>榄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</si>
  <si>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衍清</t>
    </r>
  </si>
  <si>
    <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</si>
  <si>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苗殿堂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</si>
  <si>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州尊殿台酒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</si>
  <si>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果酒（含酒精）; 食用酒精;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</si>
  <si>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SIGALAS</t>
  </si>
  <si>
    <t>多梅尼西格拉斯有限公司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</si>
  <si>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果酒; 甜酒; 开胃酒; 白酒; 葡萄酒; 汽酒; 烈酒</t>
    </r>
  </si>
  <si>
    <t>万粒庄园</t>
  </si>
  <si>
    <r>
      <t>张</t>
    </r>
    <r>
      <rPr>
        <sz val="11"/>
        <color theme="1"/>
        <rFont val="ＭＳ Ｐゴシック"/>
        <family val="3"/>
        <charset val="128"/>
        <scheme val="minor"/>
      </rPr>
      <t>咪咪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</si>
  <si>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白葡萄酒; 干型苹果酒;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</si>
  <si>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穹云</t>
    </r>
  </si>
  <si>
    <t>婺源碳基波生物科技有限公司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</si>
  <si>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清酒; 烈酒;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</si>
  <si>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麒季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</si>
  <si>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贝酱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</si>
  <si>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</si>
  <si>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中原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</si>
  <si>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</si>
  <si>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吹火</t>
  </si>
  <si>
    <t>菊乃香酒造株式会社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</si>
  <si>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威士忌; 蜂蜜酒;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</si>
  <si>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甲卓玉液</t>
  </si>
  <si>
    <r>
      <t>四川甲着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</si>
  <si>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</si>
  <si>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西域臻汁源</t>
  </si>
  <si>
    <r>
      <t>库车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品初加工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</si>
  <si>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</si>
  <si>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昕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</si>
  <si>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廊坊市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</si>
  <si>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</t>
    </r>
  </si>
  <si>
    <r>
      <t>毛盖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</si>
  <si>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胡成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</si>
  <si>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</si>
  <si>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越亨雕王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</si>
  <si>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</si>
  <si>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葱葱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</si>
  <si>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绥滨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鹅产业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</si>
  <si>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甜酒; 果酒; 果酒（含酒精）; 高粱酒;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</si>
  <si>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一兜村味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</si>
  <si>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州昱麦食品科技有限公司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</si>
  <si>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</si>
  <si>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t>京望族</t>
  </si>
  <si>
    <t>李昊男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</si>
  <si>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葡萄酒; 伏特加酒</t>
    </r>
  </si>
  <si>
    <r>
      <t>涌昌</t>
    </r>
    <r>
      <rPr>
        <sz val="11"/>
        <color theme="1"/>
        <rFont val="ＭＳ Ｐゴシック"/>
        <family val="3"/>
        <charset val="134"/>
        <scheme val="minor"/>
      </rPr>
      <t>图诺</t>
    </r>
  </si>
  <si>
    <r>
      <t>上海涌昌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</si>
  <si>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果酒(含酒精);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伏特加酒; 开胃酒</t>
    </r>
  </si>
  <si>
    <t>保得丰源</t>
  </si>
  <si>
    <t>伊犁保得生物科技有限公司</t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</si>
  <si>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</si>
  <si>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纪</t>
    </r>
  </si>
  <si>
    <t>廖忠雄</t>
  </si>
  <si>
    <t>烈酒; 黄酒; 果酒; 清酒; 食用酒精; 汽酒; 白酒; 甜酒; 葡萄酒; 米酒</t>
  </si>
  <si>
    <t>山中偶愈</t>
  </si>
  <si>
    <t>安俊吉</t>
  </si>
  <si>
    <r>
      <t>葡萄酒; 开胃酒; 白酒;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</si>
  <si>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情小九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</si>
  <si>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</si>
  <si>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</si>
  <si>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ERTH</t>
  </si>
  <si>
    <r>
      <t>乔</t>
    </r>
    <r>
      <rPr>
        <sz val="11"/>
        <color theme="1"/>
        <rFont val="ＭＳ Ｐゴシック"/>
        <family val="3"/>
        <charset val="128"/>
        <scheme val="minor"/>
      </rPr>
      <t>伊</t>
    </r>
    <r>
      <rPr>
        <sz val="11"/>
        <color theme="1"/>
        <rFont val="ＭＳ Ｐゴシック"/>
        <family val="3"/>
        <charset val="134"/>
        <scheme val="minor"/>
      </rPr>
      <t>纳罗</t>
    </r>
    <r>
      <rPr>
        <sz val="11"/>
        <color theme="1"/>
        <rFont val="ＭＳ Ｐゴシック"/>
        <family val="3"/>
        <charset val="128"/>
        <scheme val="minor"/>
      </rPr>
      <t>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有限公司（</t>
    </r>
    <r>
      <rPr>
        <sz val="11"/>
        <color theme="1"/>
        <rFont val="ＭＳ Ｐゴシック"/>
        <family val="3"/>
        <charset val="134"/>
        <scheme val="minor"/>
      </rPr>
      <t>为乔</t>
    </r>
    <r>
      <rPr>
        <sz val="11"/>
        <color theme="1"/>
        <rFont val="ＭＳ Ｐゴシック"/>
        <family val="3"/>
        <charset val="128"/>
        <scheme val="minor"/>
      </rPr>
      <t>伊</t>
    </r>
    <r>
      <rPr>
        <sz val="11"/>
        <color theme="1"/>
        <rFont val="ＭＳ Ｐゴシック"/>
        <family val="3"/>
        <charset val="134"/>
        <scheme val="minor"/>
      </rPr>
      <t>纳罗</t>
    </r>
    <r>
      <rPr>
        <sz val="11"/>
        <color theme="1"/>
        <rFont val="ＭＳ Ｐゴシック"/>
        <family val="3"/>
        <charset val="128"/>
        <scheme val="minor"/>
      </rPr>
      <t>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信托的托管公司）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</si>
  <si>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不起泡葡萄酒; 水果汽酒; 天然汽酒; 甜酒; 汽酒; 葡萄酒; 烈性干酒;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</si>
  <si>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鹿王情</t>
  </si>
  <si>
    <r>
      <t>赵</t>
    </r>
    <r>
      <rPr>
        <sz val="11"/>
        <color theme="1"/>
        <rFont val="ＭＳ Ｐゴシック"/>
        <family val="3"/>
        <charset val="128"/>
        <scheme val="minor"/>
      </rPr>
      <t>耀煜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</si>
  <si>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汽酒; 米酒; 葡萄酒;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</si>
  <si>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古醉基</t>
  </si>
  <si>
    <t>刘巧梅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</si>
  <si>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</si>
  <si>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州牛牛汽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</si>
  <si>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</si>
  <si>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笺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</si>
  <si>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江西浅</t>
    </r>
    <r>
      <rPr>
        <sz val="11"/>
        <color theme="1"/>
        <rFont val="ＭＳ Ｐゴシック"/>
        <family val="3"/>
        <charset val="134"/>
        <scheme val="minor"/>
      </rPr>
      <t>馋贸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</si>
  <si>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</si>
  <si>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良医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</si>
  <si>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沙喜食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</si>
  <si>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米酒; 梅酒;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黄酒; 甜酒; 汽酒</t>
    </r>
  </si>
  <si>
    <r>
      <t>啦唯特咖啡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</si>
  <si>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>上海微广耀管理咨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</si>
  <si>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葡萄酒;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</si>
  <si>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吾寿禾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</si>
  <si>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</si>
  <si>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</si>
  <si>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帝皇士</t>
  </si>
  <si>
    <r>
      <t xml:space="preserve">黄酒; 开胃酒; 威士忌; 烈酒;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</si>
  <si>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恭雄</t>
  </si>
  <si>
    <r>
      <t>许</t>
    </r>
    <r>
      <rPr>
        <sz val="11"/>
        <color theme="1"/>
        <rFont val="ＭＳ Ｐゴシック"/>
        <family val="3"/>
        <charset val="128"/>
        <scheme val="minor"/>
      </rPr>
      <t>李涛</t>
    </r>
  </si>
  <si>
    <r>
      <t>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</si>
  <si>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播艾健康科技有限公司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</si>
  <si>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黄酒; 葡萄酒; 果酒（含酒精）</t>
    </r>
  </si>
  <si>
    <t>格至舍安</t>
  </si>
  <si>
    <t>谭颖</t>
  </si>
  <si>
    <r>
      <t xml:space="preserve">高粱酒; 黄酒; 果酒（含酒精）; 白干酒（中国白酒）;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</t>
    </r>
  </si>
  <si>
    <t>匠月潭</t>
  </si>
  <si>
    <r>
      <t>张</t>
    </r>
    <r>
      <rPr>
        <sz val="11"/>
        <color theme="1"/>
        <rFont val="ＭＳ Ｐゴシック"/>
        <family val="3"/>
        <charset val="128"/>
        <scheme val="minor"/>
      </rPr>
      <t>柏川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</si>
  <si>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果酒（含酒精）;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</si>
  <si>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吾申</t>
    </r>
    <r>
      <rPr>
        <sz val="11"/>
        <color theme="1"/>
        <rFont val="ＭＳ Ｐゴシック"/>
        <family val="3"/>
        <charset val="134"/>
        <scheme val="minor"/>
      </rPr>
      <t>酿</t>
    </r>
  </si>
  <si>
    <t>李金坤</t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</si>
  <si>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青梅酒; 米酒; 白酒; 蜂蜜酒; 葡萄酒; 利口酒</t>
    </r>
  </si>
  <si>
    <t>山草味</t>
  </si>
  <si>
    <t>傅可以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</si>
  <si>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果酒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</si>
  <si>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蟹湾</t>
    </r>
  </si>
  <si>
    <t>张红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</si>
  <si>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餐后酒（利口酒和烈酒）; 清酒; 青稞酒; 白酒</t>
    </r>
  </si>
  <si>
    <t>龚长远</t>
  </si>
  <si>
    <r>
      <t>黄酒;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</si>
  <si>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田仙医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</si>
  <si>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亿亩</t>
    </r>
    <r>
      <rPr>
        <sz val="11"/>
        <color theme="1"/>
        <rFont val="ＭＳ Ｐゴシック"/>
        <family val="3"/>
        <charset val="128"/>
        <scheme val="minor"/>
      </rPr>
      <t>花田文化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</si>
  <si>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黄酒; 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</si>
  <si>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醉翁府</t>
  </si>
  <si>
    <t>熊漠毅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</si>
  <si>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葡萄酒; 威士忌; 白酒; 食用酒精; 米酒; 利口酒</t>
    </r>
  </si>
  <si>
    <r>
      <t>溪口寿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</si>
  <si>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周仕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</si>
  <si>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蜂蜜酒; 葡萄酒; 米酒; 伏特加酒; 青稞酒; 苹果酒</t>
    </r>
  </si>
  <si>
    <t>粱九仙</t>
  </si>
  <si>
    <t>黄俏</t>
  </si>
  <si>
    <r>
      <t xml:space="preserve">清酒（日本米酒）; 白酒; 开胃酒; 葡萄酒; 威士忌;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</si>
  <si>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匠心禧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</si>
  <si>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</si>
  <si>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遒上高</t>
    </r>
    <r>
      <rPr>
        <sz val="11"/>
        <color theme="1"/>
        <rFont val="ＭＳ Ｐゴシック"/>
        <family val="3"/>
        <charset val="134"/>
        <scheme val="minor"/>
      </rPr>
      <t>峤</t>
    </r>
  </si>
  <si>
    <r>
      <t>广州市遒上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</si>
  <si>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</si>
  <si>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巴知己</t>
  </si>
  <si>
    <r>
      <t>米酒; 伏特加酒; 黄酒; 白酒; 青稞酒; 烈酒;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</si>
  <si>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晋沂</t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</si>
  <si>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</si>
  <si>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青稞酒; 白酒</t>
    </r>
  </si>
  <si>
    <r>
      <t>君宋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</si>
  <si>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</si>
  <si>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湘韶荣</t>
  </si>
  <si>
    <t>开国（湖南）品牌管理有限公司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</si>
  <si>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</si>
  <si>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念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叔</t>
    </r>
  </si>
  <si>
    <t>彭昭池</t>
  </si>
  <si>
    <r>
      <t xml:space="preserve">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含酒精蛋奶酒; 米酒</t>
    </r>
  </si>
  <si>
    <t>盛宴瑶池</t>
  </si>
  <si>
    <r>
      <t>河南睿海企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</si>
  <si>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</si>
  <si>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t>KOKF KING OF KUNGFU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</si>
  <si>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</si>
  <si>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</si>
  <si>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白小酒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</si>
  <si>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诚远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</si>
  <si>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</si>
  <si>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丝银锦</t>
    </r>
  </si>
  <si>
    <t>北京酒州城科技有限公司</t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</si>
  <si>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</si>
  <si>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</si>
  <si>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</si>
  <si>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小弟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</si>
  <si>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巴渝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</si>
  <si>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</si>
  <si>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GOPRO</t>
  </si>
  <si>
    <r>
      <t>高途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</si>
  <si>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</si>
  <si>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耳河</t>
    </r>
  </si>
  <si>
    <r>
      <t>张丽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</si>
  <si>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</si>
  <si>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心漪</t>
  </si>
  <si>
    <r>
      <t>信阳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庭苑酒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</si>
  <si>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</si>
  <si>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</si>
  <si>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中山市她所企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</si>
  <si>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食用酒精;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</si>
  <si>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甲卓</t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</si>
  <si>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</si>
  <si>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FONTELLA</t>
  </si>
  <si>
    <r>
      <t>弗和弗精品葡萄酒国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</si>
  <si>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阿蒙蒂拉多白葡萄酒;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不起泡葡萄酒; 起泡白葡萄酒</t>
    </r>
  </si>
  <si>
    <t>丰泰拉</t>
  </si>
  <si>
    <r>
      <t>不起泡葡萄酒; 加烈葡萄酒; 阿蒙蒂拉多白葡萄酒; 酸酒（低等葡萄酒）;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</si>
  <si>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喔青春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</si>
  <si>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</si>
  <si>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梅酒; 果酒（含酒精）; 白酒; 清酒（日本米酒）;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</si>
  <si>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士友礼</t>
    </r>
  </si>
  <si>
    <r>
      <t>深圳市天通三正文化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</si>
  <si>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食用酒精;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</si>
  <si>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荣山海</t>
  </si>
  <si>
    <r>
      <t>陈</t>
    </r>
    <r>
      <rPr>
        <sz val="11"/>
        <color theme="1"/>
        <rFont val="ＭＳ Ｐゴシック"/>
        <family val="3"/>
        <charset val="128"/>
        <scheme val="minor"/>
      </rPr>
      <t>佳宇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</si>
  <si>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果酒（含酒精）</t>
    </r>
  </si>
  <si>
    <t>匠奕</t>
  </si>
  <si>
    <r>
      <t>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</si>
  <si>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r>
      <t>卟</t>
    </r>
    <r>
      <rPr>
        <sz val="11"/>
        <color theme="1"/>
        <rFont val="ＭＳ Ｐゴシック"/>
        <family val="3"/>
        <charset val="128"/>
        <scheme val="minor"/>
      </rPr>
      <t>一班</t>
    </r>
  </si>
  <si>
    <r>
      <t>杭州科</t>
    </r>
    <r>
      <rPr>
        <sz val="11"/>
        <color theme="1"/>
        <rFont val="ＭＳ Ｐゴシック"/>
        <family val="3"/>
        <charset val="134"/>
        <scheme val="minor"/>
      </rPr>
      <t>丽尔环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</si>
  <si>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汽酒; 甜酒; 甜果酒; 葡萄酒; 白葡萄酒;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白酒</t>
    </r>
  </si>
  <si>
    <t>窖村粮</t>
  </si>
  <si>
    <t>王静宇</t>
  </si>
  <si>
    <r>
      <t>白酒; 开胃酒;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</si>
  <si>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</si>
  <si>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岳阳冬桃生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</si>
  <si>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葡萄酒; 甜酒;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</si>
  <si>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北醁瑶</t>
  </si>
  <si>
    <r>
      <t>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谐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</si>
  <si>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</si>
  <si>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伶潭</t>
  </si>
  <si>
    <r>
      <t>果酒（含酒精）; 青稞酒;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</si>
  <si>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</si>
  <si>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食用酒精; 葡萄酒</t>
    </r>
  </si>
  <si>
    <t>太誓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</si>
  <si>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</si>
  <si>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福清花</t>
    </r>
  </si>
  <si>
    <r>
      <t>蔡占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</si>
  <si>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</si>
  <si>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求福金樽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</si>
  <si>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</si>
  <si>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</si>
  <si>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伏特加酒; 白酒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</si>
  <si>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白葡萄酒; 干型苹果酒;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</si>
  <si>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刀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</si>
  <si>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建雨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</si>
  <si>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</si>
  <si>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r>
      <t>皮小</t>
    </r>
    <r>
      <rPr>
        <sz val="11"/>
        <color theme="1"/>
        <rFont val="ＭＳ Ｐゴシック"/>
        <family val="3"/>
        <charset val="134"/>
        <scheme val="minor"/>
      </rPr>
      <t>乐</t>
    </r>
  </si>
  <si>
    <t>李俊萍******************</t>
  </si>
  <si>
    <r>
      <t>白酒; 葡萄酒;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</si>
  <si>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鑫京途</t>
  </si>
  <si>
    <r>
      <t>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</si>
  <si>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鸠</t>
    </r>
    <r>
      <rPr>
        <sz val="11"/>
        <color theme="1"/>
        <rFont val="ＭＳ Ｐゴシック"/>
        <family val="3"/>
        <charset val="128"/>
        <scheme val="minor"/>
      </rPr>
      <t>冰室</t>
    </r>
  </si>
  <si>
    <t>余超</t>
  </si>
  <si>
    <r>
      <t>白酒; 食用酒精; 葡萄酒; 清酒; 黄酒; 威士忌;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</si>
  <si>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灯火都</t>
  </si>
  <si>
    <r>
      <t>冯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</si>
  <si>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</si>
  <si>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帅头</t>
    </r>
  </si>
  <si>
    <t>胡建民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</si>
  <si>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果酒; 葡萄酒; 清酒（日本米酒）</t>
    </r>
  </si>
  <si>
    <r>
      <t>宝石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方韵</t>
    </r>
  </si>
  <si>
    <r>
      <t xml:space="preserve">高粱酒; 果酒（含酒精）; 汽酒; 米酒;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</si>
  <si>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桐</t>
    </r>
    <r>
      <rPr>
        <sz val="11"/>
        <color theme="1"/>
        <rFont val="ＭＳ Ｐゴシック"/>
        <family val="3"/>
        <charset val="134"/>
        <scheme val="minor"/>
      </rPr>
      <t>酝酿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</si>
  <si>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学新</t>
    </r>
  </si>
  <si>
    <r>
      <t>果酒（含酒精）;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</si>
  <si>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禾野咕咕</t>
    </r>
    <r>
      <rPr>
        <sz val="11"/>
        <color theme="1"/>
        <rFont val="ＭＳ Ｐゴシック"/>
        <family val="3"/>
        <charset val="134"/>
        <scheme val="minor"/>
      </rPr>
      <t>叽</t>
    </r>
  </si>
  <si>
    <r>
      <t>宣城市隆和禽</t>
    </r>
    <r>
      <rPr>
        <sz val="11"/>
        <color theme="1"/>
        <rFont val="ＭＳ Ｐゴシック"/>
        <family val="3"/>
        <charset val="134"/>
        <scheme val="minor"/>
      </rPr>
      <t>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</si>
  <si>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食用酒精; 黄酒;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</si>
  <si>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洒落</t>
    </r>
    <r>
      <rPr>
        <sz val="11"/>
        <color theme="1"/>
        <rFont val="ＭＳ Ｐゴシック"/>
        <family val="3"/>
        <charset val="134"/>
        <scheme val="minor"/>
      </rPr>
      <t>卫门</t>
    </r>
  </si>
  <si>
    <r>
      <t>有限会社</t>
    </r>
    <r>
      <rPr>
        <sz val="11"/>
        <color theme="1"/>
        <rFont val="ＭＳ Ｐゴシック"/>
        <family val="3"/>
        <charset val="134"/>
        <scheme val="minor"/>
      </rPr>
      <t>轰</t>
    </r>
    <r>
      <rPr>
        <sz val="11"/>
        <color theme="1"/>
        <rFont val="ＭＳ Ｐゴシック"/>
        <family val="3"/>
        <charset val="128"/>
        <scheme val="minor"/>
      </rPr>
      <t>木酒店</t>
    </r>
  </si>
  <si>
    <r>
      <t>食用酒精;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梅酒;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</si>
  <si>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</si>
  <si>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</si>
  <si>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蜂蜜酒; 青稞酒;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烈性干酒; 白酒;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</si>
  <si>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茗九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</si>
  <si>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许红</t>
    </r>
    <r>
      <rPr>
        <sz val="11"/>
        <color theme="1"/>
        <rFont val="ＭＳ Ｐゴシック"/>
        <family val="3"/>
        <charset val="128"/>
        <scheme val="minor"/>
      </rPr>
      <t>炎</t>
    </r>
  </si>
  <si>
    <r>
      <t xml:space="preserve">威士忌;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</si>
  <si>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秾邺</t>
    </r>
    <r>
      <rPr>
        <sz val="11"/>
        <color theme="1"/>
        <rFont val="ＭＳ Ｐゴシック"/>
        <family val="3"/>
        <charset val="128"/>
        <scheme val="minor"/>
      </rPr>
      <t>聚</t>
    </r>
  </si>
  <si>
    <t>贾凯</t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</si>
  <si>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苹果酒; 果酒（含酒精）; 含酒精的气泡水</t>
    </r>
  </si>
  <si>
    <r>
      <t>鉴顺</t>
    </r>
    <r>
      <rPr>
        <sz val="11"/>
        <color theme="1"/>
        <rFont val="ＭＳ Ｐゴシック"/>
        <family val="3"/>
        <charset val="128"/>
        <scheme val="minor"/>
      </rPr>
      <t>侯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</si>
  <si>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</si>
  <si>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 xml:space="preserve">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</si>
  <si>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r>
      <t>樽茗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</si>
  <si>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米酒; 白酒; 食用酒精; 果酒（含酒精）; 清酒（日本米酒）;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</si>
  <si>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品吾界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</si>
  <si>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州黔味食品开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</si>
  <si>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威士忌</t>
    </r>
  </si>
  <si>
    <r>
      <t>廷圭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</si>
  <si>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河北易州酒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</si>
  <si>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高粱酒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</si>
  <si>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香安泰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</si>
  <si>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</si>
  <si>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</si>
  <si>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太初养极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</si>
  <si>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西芳草美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</si>
  <si>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葡萄酒; 果酒（含酒精）</t>
    </r>
  </si>
  <si>
    <r>
      <t>蜀李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</si>
  <si>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</si>
  <si>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高粱酒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</si>
  <si>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特百富 TERTRE ROTEBOEUF</t>
    </r>
  </si>
  <si>
    <t>弗朗索瓦•米特加里</t>
  </si>
  <si>
    <t>葡萄酒</t>
  </si>
  <si>
    <t>SKTOO</t>
  </si>
  <si>
    <r>
      <t>蓝</t>
    </r>
    <r>
      <rPr>
        <sz val="11"/>
        <color theme="1"/>
        <rFont val="ＭＳ Ｐゴシック"/>
        <family val="3"/>
        <charset val="128"/>
        <scheme val="minor"/>
      </rPr>
      <t>黛酩悦（福州）国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</si>
  <si>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</si>
  <si>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奇林峡</t>
  </si>
  <si>
    <r>
      <t>日喀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极之旅国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旅行社有限公司</t>
    </r>
  </si>
  <si>
    <r>
      <t xml:space="preserve">果酒（含酒精）; 葡萄酒; 白酒; 汽酒; 日式甜米酒;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</si>
  <si>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越秦</t>
    </r>
    <r>
      <rPr>
        <sz val="11"/>
        <color theme="1"/>
        <rFont val="ＭＳ Ｐゴシック"/>
        <family val="3"/>
        <charset val="134"/>
        <scheme val="minor"/>
      </rPr>
      <t>傥骆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</si>
  <si>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</si>
  <si>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</si>
  <si>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大院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</si>
  <si>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克俊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</si>
  <si>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</si>
  <si>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聚熙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</si>
  <si>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利口酒; 果酒（含酒精）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</si>
  <si>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</si>
  <si>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江滴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出行科技有限公司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</si>
  <si>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米酒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</si>
  <si>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氏美</t>
    </r>
  </si>
  <si>
    <r>
      <t>汽酒; 果酒（含酒精）; 葡萄酒;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露酒</t>
    </r>
  </si>
  <si>
    <r>
      <t>屿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</si>
  <si>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瑶瑶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</si>
  <si>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</si>
  <si>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</si>
  <si>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州松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</si>
  <si>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</si>
  <si>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林君立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</si>
  <si>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</si>
  <si>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九洲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</si>
  <si>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</si>
  <si>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</si>
  <si>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雷霆永利</t>
  </si>
  <si>
    <r>
      <t>潮州市雷霆供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</si>
  <si>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</si>
  <si>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霖盛</t>
    </r>
  </si>
  <si>
    <r>
      <t>四川明瑞酒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</si>
  <si>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利口酒;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</si>
  <si>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客娘娘</t>
  </si>
  <si>
    <t>彭家城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</si>
  <si>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白干酒（中国白酒）; 白酒; 威士忌; 白葡萄酒;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</si>
  <si>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t>虎老板</t>
  </si>
  <si>
    <t>曾雄</t>
  </si>
  <si>
    <r>
      <t xml:space="preserve">葡萄酒; 烈酒; 清酒（日本米酒）;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白酒; 米酒</t>
    </r>
  </si>
  <si>
    <t>雪山千叶</t>
  </si>
  <si>
    <r>
      <t>洪家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</si>
  <si>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</si>
  <si>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帝粮翁</t>
  </si>
  <si>
    <r>
      <t xml:space="preserve">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</si>
  <si>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范氏美</t>
  </si>
  <si>
    <r>
      <t>葡萄酒; 汽酒; 白酒; 果酒（含酒精）; 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</t>
    </r>
  </si>
  <si>
    <t>珠子溪</t>
  </si>
  <si>
    <r>
      <t>邹</t>
    </r>
    <r>
      <rPr>
        <sz val="11"/>
        <color theme="1"/>
        <rFont val="ＭＳ Ｐゴシック"/>
        <family val="3"/>
        <charset val="128"/>
        <scheme val="minor"/>
      </rPr>
      <t>霆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</si>
  <si>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高粱酒;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</si>
  <si>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客山妹</t>
  </si>
  <si>
    <t>何永立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</si>
  <si>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甜果酒; 黄酒; 白酒; 青梅酒; 清酒; 米酒</t>
    </r>
  </si>
  <si>
    <r>
      <t>广糖酒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</si>
  <si>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广西广糖酒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</si>
  <si>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</si>
  <si>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伊人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城</t>
    </r>
  </si>
  <si>
    <t>刘波</t>
  </si>
  <si>
    <r>
      <t xml:space="preserve">餐后酒（利口酒和烈酒）; 茴香酒;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</t>
    </r>
  </si>
  <si>
    <r>
      <t>窨</t>
    </r>
    <r>
      <rPr>
        <sz val="11"/>
        <color theme="1"/>
        <rFont val="ＭＳ Ｐゴシック"/>
        <family val="3"/>
        <charset val="134"/>
        <scheme val="minor"/>
      </rPr>
      <t>郦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</si>
  <si>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</si>
  <si>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白酒; 果酒; 米酒; 葡萄酒; 果酒（含酒精）;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</si>
  <si>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绳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</si>
  <si>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海南步多健中医投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</si>
  <si>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威士忌; 伏特加酒; 果酒; 白酒; 烈酒; 葡萄酒; 黄酒; 苦艾酒</t>
    </r>
  </si>
  <si>
    <t>金垌崖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</si>
  <si>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市沁心谷酒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</si>
  <si>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米酒; 威士忌; 果酒（含酒精）; 食用酒精; 白酒</t>
    </r>
  </si>
  <si>
    <r>
      <t>广升</t>
    </r>
    <r>
      <rPr>
        <sz val="11"/>
        <color theme="1"/>
        <rFont val="ＭＳ Ｐゴシック"/>
        <family val="3"/>
        <charset val="134"/>
        <scheme val="minor"/>
      </rPr>
      <t>发</t>
    </r>
  </si>
  <si>
    <t>睿虎品牌管理（北京）有限公司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</si>
  <si>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白葡萄酒; 白干酒（中国白酒）; 高粱酒; 白酒;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</si>
  <si>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天子云尖</t>
  </si>
  <si>
    <r>
      <t>湖北上榜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</si>
  <si>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</si>
  <si>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争青之静</t>
  </si>
  <si>
    <r>
      <t>内蒙古中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万物生生物科技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</si>
  <si>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</si>
  <si>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垂福</t>
  </si>
  <si>
    <t>上海文相文化科技有限公司</t>
  </si>
  <si>
    <r>
      <t>清酒;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</si>
  <si>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拾岳</t>
  </si>
  <si>
    <t>岳晨晨</t>
  </si>
  <si>
    <r>
      <t>白酒; 清酒（日本米酒）;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</si>
  <si>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SKK</t>
  </si>
  <si>
    <t>秦冠兵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</si>
  <si>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米酒;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</si>
  <si>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上. 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</si>
  <si>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州省拓志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</si>
  <si>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烈酒;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葡萄酒; 米酒; 白酒</t>
    </r>
  </si>
  <si>
    <t>滇礼坊</t>
  </si>
  <si>
    <r>
      <t xml:space="preserve">餐后酒（利口酒和烈酒）; 葡萄酒; 白酒;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</si>
  <si>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撩面</t>
  </si>
  <si>
    <r>
      <t>河南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麦食品有限公司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</si>
  <si>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清酒; 米酒; 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</si>
  <si>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豆家</t>
    </r>
  </si>
  <si>
    <r>
      <t>江西省晋利嘉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</si>
  <si>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果酒（含酒精）; 清酒;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</si>
  <si>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百里唐庄</t>
  </si>
  <si>
    <r>
      <t>罗发</t>
    </r>
    <r>
      <rPr>
        <sz val="11"/>
        <color theme="1"/>
        <rFont val="ＭＳ Ｐゴシック"/>
        <family val="3"/>
        <charset val="128"/>
        <scheme val="minor"/>
      </rPr>
      <t>焱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</si>
  <si>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</si>
  <si>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CONTE GUICCIARDINI</t>
  </si>
  <si>
    <r>
      <t>费尔</t>
    </r>
    <r>
      <rPr>
        <sz val="11"/>
        <color theme="1"/>
        <rFont val="ＭＳ Ｐゴシック"/>
        <family val="3"/>
        <charset val="128"/>
        <scheme val="minor"/>
      </rPr>
      <t>南多·古恰迪尼伯爵酒庄</t>
    </r>
  </si>
  <si>
    <r>
      <t>薄荷酒; 白葡萄酒;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威士忌;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</si>
  <si>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郝泉</t>
  </si>
  <si>
    <r>
      <t>镇</t>
    </r>
    <r>
      <rPr>
        <sz val="11"/>
        <color theme="1"/>
        <rFont val="ＭＳ Ｐゴシック"/>
        <family val="3"/>
        <charset val="128"/>
        <scheme val="minor"/>
      </rPr>
      <t>雄仁心商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</si>
  <si>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</si>
  <si>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链</t>
    </r>
    <r>
      <rPr>
        <sz val="11"/>
        <color theme="1"/>
        <rFont val="ＭＳ Ｐゴシック"/>
        <family val="3"/>
        <charset val="128"/>
        <scheme val="minor"/>
      </rPr>
      <t>字</t>
    </r>
    <r>
      <rPr>
        <sz val="11"/>
        <color theme="1"/>
        <rFont val="ＭＳ Ｐゴシック"/>
        <family val="3"/>
        <charset val="134"/>
        <scheme val="minor"/>
      </rPr>
      <t>头</t>
    </r>
  </si>
  <si>
    <t>安徽章悟空信息科技有限公司</t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</si>
  <si>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开胃酒; 果酒</t>
    </r>
  </si>
  <si>
    <t>黄府美</t>
  </si>
  <si>
    <r>
      <t>葡萄酒; 露酒;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果酒（含酒精）</t>
    </r>
  </si>
  <si>
    <t>悠蜜拾光</t>
  </si>
  <si>
    <r>
      <t>利口酒;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露酒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</si>
  <si>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</si>
  <si>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宁波与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</si>
  <si>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伏特加酒;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含酒精蛋奶酒;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混合威士忌酒;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</t>
    </r>
  </si>
  <si>
    <t>泓微堂</t>
  </si>
  <si>
    <t>李春旺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</si>
  <si>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白酒;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</si>
  <si>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心享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芭布</t>
    </r>
  </si>
  <si>
    <r>
      <t>滁州市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客特商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</si>
  <si>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清酒; 葡萄酒; 米酒; 汽酒;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</si>
  <si>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正人大金</t>
  </si>
  <si>
    <r>
      <t>白酒; 蜂蜜酒; 梨酒; 烈酒;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</si>
  <si>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</si>
  <si>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餐后酒（利口酒和烈酒）; 伏特加酒; 白酒;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</si>
  <si>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格士 MALGOSIY</t>
    </r>
  </si>
  <si>
    <r>
      <t>清酒（日本米酒）; 白酒; 烈酒;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</si>
  <si>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状元臻</t>
    </r>
    <r>
      <rPr>
        <sz val="11"/>
        <color theme="1"/>
        <rFont val="ＭＳ Ｐゴシック"/>
        <family val="3"/>
        <charset val="134"/>
        <scheme val="minor"/>
      </rPr>
      <t>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</si>
  <si>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数科技有限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</si>
  <si>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</si>
  <si>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工研究院有限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</si>
  <si>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黄酒</t>
    </r>
  </si>
  <si>
    <r>
      <t>猎</t>
    </r>
    <r>
      <rPr>
        <sz val="11"/>
        <color theme="1"/>
        <rFont val="ＭＳ Ｐゴシック"/>
        <family val="3"/>
        <charset val="128"/>
        <scheme val="minor"/>
      </rPr>
      <t>十九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</si>
  <si>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寺坂信息技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</si>
  <si>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果酒（含酒精）; 葡萄酒; 黄酒</t>
    </r>
  </si>
  <si>
    <r>
      <t>尊太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</si>
  <si>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黄酒; 葡萄酒; 果酒（含酒精）;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</si>
  <si>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庄太液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</si>
  <si>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</si>
  <si>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灵山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</si>
  <si>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微沃啤酒(青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</si>
  <si>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伏特加酒; 威士忌; 苹果酒; 杜松子酒;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</si>
  <si>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正人明月</t>
  </si>
  <si>
    <r>
      <t>果酒; 黄酒; 梨酒;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清酒; 白酒; 烈酒;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</si>
  <si>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言春秋</t>
  </si>
  <si>
    <r>
      <t xml:space="preserve">开胃酒;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葡萄酒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</si>
  <si>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霏心安</t>
    </r>
  </si>
  <si>
    <r>
      <t>山西汾杏花都酒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</si>
  <si>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</t>
    </r>
  </si>
  <si>
    <r>
      <t>溢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</si>
  <si>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茅源酒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</si>
  <si>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</si>
  <si>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t>XIAOMI YU</t>
  </si>
  <si>
    <r>
      <t>小米科技有限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</si>
  <si>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</si>
  <si>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霭</t>
    </r>
  </si>
  <si>
    <r>
      <t>岱祖酒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</si>
  <si>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清酒（日本米酒）; 果酒（含酒精）; 葡萄酒</t>
    </r>
  </si>
  <si>
    <r>
      <t>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</si>
  <si>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</si>
  <si>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露酒; 白酒; 清酒; 葡萄酒; 黄酒; 果酒</t>
    </r>
  </si>
  <si>
    <t>埃蒙帕克</t>
  </si>
  <si>
    <r>
      <t>酒百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</si>
  <si>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含酒精的气泡水;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</si>
  <si>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雷朗托夫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</si>
  <si>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</si>
  <si>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威卡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 xml:space="preserve"> WELLCARLEN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</si>
  <si>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</si>
  <si>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</si>
  <si>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</si>
  <si>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 xml:space="preserve">白酒; 米酒;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</si>
  <si>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</si>
  <si>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岛东</t>
    </r>
    <r>
      <rPr>
        <sz val="11"/>
        <color theme="1"/>
        <rFont val="ＭＳ Ｐゴシック"/>
        <family val="3"/>
        <charset val="128"/>
        <scheme val="minor"/>
      </rPr>
      <t>盛益民商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</si>
  <si>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</si>
  <si>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伟</t>
    </r>
    <r>
      <rPr>
        <sz val="11"/>
        <color theme="1"/>
        <rFont val="ＭＳ Ｐゴシック"/>
        <family val="3"/>
        <charset val="128"/>
        <scheme val="minor"/>
      </rPr>
      <t>威</t>
    </r>
  </si>
  <si>
    <t>李灵威</t>
  </si>
  <si>
    <r>
      <t xml:space="preserve">威士忌; 米酒;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</si>
  <si>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一酌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</si>
  <si>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黄酒</t>
    </r>
  </si>
  <si>
    <t>延叙</t>
  </si>
  <si>
    <r>
      <t>黄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</si>
  <si>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黄酒;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</si>
  <si>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</si>
  <si>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</si>
  <si>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</si>
  <si>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MFRANNACLAN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</si>
  <si>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乐图诗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</si>
  <si>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开胃酒</t>
    </r>
  </si>
  <si>
    <r>
      <t>廪</t>
    </r>
    <r>
      <rPr>
        <sz val="11"/>
        <color theme="1"/>
        <rFont val="ＭＳ Ｐゴシック"/>
        <family val="3"/>
        <charset val="128"/>
        <scheme val="minor"/>
      </rPr>
      <t>延壮士</t>
    </r>
  </si>
  <si>
    <r>
      <t>延津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延茅酒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</si>
  <si>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食用酒精; 果酒;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</si>
  <si>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台天下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</si>
  <si>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城同城精</t>
    </r>
    <r>
      <rPr>
        <sz val="11"/>
        <color theme="1"/>
        <rFont val="ＭＳ Ｐゴシック"/>
        <family val="3"/>
        <charset val="134"/>
        <scheme val="minor"/>
      </rPr>
      <t>选营销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</si>
  <si>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高粱酒; 青稞酒; 白干酒（中国白酒）; 葡萄酒; 果酒; 白酒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</si>
  <si>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香孔岳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</si>
  <si>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清酒（日本米酒）;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</si>
  <si>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何哉</t>
  </si>
  <si>
    <t>何晨建</t>
  </si>
  <si>
    <r>
      <t>葡萄酒;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</si>
  <si>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覃氏美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</si>
  <si>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高粱酒; 果酒（含酒精）</t>
    </r>
  </si>
  <si>
    <r>
      <t>眉三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大院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</si>
  <si>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</si>
  <si>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万尾金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</si>
  <si>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仕燕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</si>
  <si>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</si>
  <si>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t>世窗健康科技（杭州）有限公司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</si>
  <si>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果酒; 葡萄酒; 苹果酒</t>
    </r>
  </si>
  <si>
    <r>
      <t>晋中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高区供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</si>
  <si>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苦味酒; 黄酒;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</si>
  <si>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</si>
  <si>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鸿兴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</si>
  <si>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伏特加酒; 利口酒;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</si>
  <si>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睿建匠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</si>
  <si>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</si>
  <si>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</si>
  <si>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津渡</t>
    </r>
  </si>
  <si>
    <r>
      <t>利津金街投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</si>
  <si>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开胃酒; 果酒（含酒精）</t>
    </r>
  </si>
  <si>
    <r>
      <t>恒一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</si>
  <si>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深圳市盛世一方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</si>
  <si>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</si>
  <si>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四永</t>
    </r>
    <r>
      <rPr>
        <sz val="11"/>
        <color theme="1"/>
        <rFont val="ＭＳ Ｐゴシック"/>
        <family val="3"/>
        <charset val="134"/>
        <scheme val="minor"/>
      </rPr>
      <t>马记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</si>
  <si>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东锐</t>
    </r>
    <r>
      <rPr>
        <sz val="11"/>
        <color theme="1"/>
        <rFont val="ＭＳ Ｐゴシック"/>
        <family val="3"/>
        <charset val="128"/>
        <scheme val="minor"/>
      </rPr>
      <t>星建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</si>
  <si>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高粱酒; 米酒; 黄酒; 白酒; 烈酒</t>
    </r>
  </si>
  <si>
    <t>恒一臻品</t>
  </si>
  <si>
    <r>
      <t>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</si>
  <si>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万琳姐</t>
  </si>
  <si>
    <r>
      <t>蜂蜜酒;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</t>
    </r>
  </si>
  <si>
    <r>
      <t>话</t>
    </r>
    <r>
      <rPr>
        <sz val="11"/>
        <color theme="1"/>
        <rFont val="ＭＳ Ｐゴシック"/>
        <family val="3"/>
        <charset val="128"/>
        <scheme val="minor"/>
      </rPr>
      <t>炉</t>
    </r>
  </si>
  <si>
    <t>西咸新区网落城事大数据科技有限公司</t>
  </si>
  <si>
    <r>
      <t xml:space="preserve">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</si>
  <si>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侑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男神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</si>
  <si>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色酒堡（深圳）有限公司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</si>
  <si>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朗姆酒;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</t>
    </r>
  </si>
  <si>
    <t>登江泉</t>
  </si>
  <si>
    <r>
      <t>泰和伊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</si>
  <si>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清酒（日本米酒）;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</si>
  <si>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</si>
  <si>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</si>
  <si>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米酒; 威士忌;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</si>
  <si>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岷特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</si>
  <si>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岷永晟商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</si>
  <si>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汽酒; 葡萄酒</t>
    </r>
  </si>
  <si>
    <r>
      <t>宫厅</t>
    </r>
    <r>
      <rPr>
        <sz val="11"/>
        <color theme="1"/>
        <rFont val="ＭＳ Ｐゴシック"/>
        <family val="3"/>
        <charset val="128"/>
        <scheme val="minor"/>
      </rPr>
      <t>玉液</t>
    </r>
  </si>
  <si>
    <r>
      <t>北京玉泉酒厂（个人独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</si>
  <si>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汽酒; 果酒; 露酒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</si>
  <si>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高明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</si>
  <si>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米酒; 黄酒</t>
    </r>
  </si>
  <si>
    <r>
      <t>恒一金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</si>
  <si>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果酒（含酒精）</t>
    </r>
  </si>
  <si>
    <t>恒一名品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</si>
  <si>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</si>
  <si>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刺明珠福酒</t>
  </si>
  <si>
    <r>
      <t>福建省春秋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</si>
  <si>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果酒（含酒精）; 葡萄酒;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</si>
  <si>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无痕</t>
    </r>
  </si>
  <si>
    <r>
      <t>果酒（含酒精）; 露酒;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</t>
    </r>
  </si>
  <si>
    <t>知呈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</si>
  <si>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庆顶</t>
    </r>
    <r>
      <rPr>
        <sz val="11"/>
        <color theme="1"/>
        <rFont val="ＭＳ Ｐゴシック"/>
        <family val="3"/>
        <charset val="128"/>
        <scheme val="minor"/>
      </rPr>
      <t>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</si>
  <si>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</si>
  <si>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茗㐬</t>
  </si>
  <si>
    <r>
      <t>山西小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</si>
  <si>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青稞酒;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</si>
  <si>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壮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</si>
  <si>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广西南宁航森投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</si>
  <si>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米酒; 葡萄酒; 黄酒</t>
    </r>
  </si>
  <si>
    <t>飞门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</si>
  <si>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飞门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</si>
  <si>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</si>
  <si>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SONIQ</t>
  </si>
  <si>
    <r>
      <t>速尼科（宁波）品牌管理有限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</si>
  <si>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加烈葡萄酒;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</si>
  <si>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植享</t>
  </si>
  <si>
    <r>
      <t>杭州湘湖生科成果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化有限公司</t>
    </r>
  </si>
  <si>
    <r>
      <t>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</si>
  <si>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艾克</t>
    </r>
    <r>
      <rPr>
        <sz val="11"/>
        <color theme="1"/>
        <rFont val="ＭＳ Ｐゴシック"/>
        <family val="3"/>
        <charset val="134"/>
        <scheme val="minor"/>
      </rPr>
      <t>馕</t>
    </r>
    <r>
      <rPr>
        <sz val="11"/>
        <color theme="1"/>
        <rFont val="ＭＳ Ｐゴシック"/>
        <family val="3"/>
        <charset val="128"/>
        <scheme val="minor"/>
      </rPr>
      <t>来了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</si>
  <si>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馕</t>
    </r>
    <r>
      <rPr>
        <sz val="11"/>
        <color theme="1"/>
        <rFont val="ＭＳ Ｐゴシック"/>
        <family val="3"/>
        <charset val="128"/>
        <scheme val="minor"/>
      </rPr>
      <t>来了餐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</si>
  <si>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薄荷酒; 苦味酒;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</si>
  <si>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梦集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</si>
  <si>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</si>
  <si>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清酒; 葡萄酒; 食用酒精; 米酒;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</si>
  <si>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家界地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</si>
  <si>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高粱酒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</si>
  <si>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蒙</t>
    </r>
    <r>
      <rPr>
        <sz val="11"/>
        <color theme="1"/>
        <rFont val="ＭＳ Ｐゴシック"/>
        <family val="3"/>
        <charset val="134"/>
        <scheme val="minor"/>
      </rPr>
      <t>郦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</si>
  <si>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天津酒分享文化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</si>
  <si>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白酒; 葡萄酒; 伏特加酒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</si>
  <si>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</si>
  <si>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开胃酒</t>
    </r>
  </si>
  <si>
    <t>刘氏美</t>
  </si>
  <si>
    <r>
      <t>米酒; 白酒; 露酒;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</si>
  <si>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斟仙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</si>
  <si>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葡萄酒; 果酒（含酒精）; 食用酒精; 米酒;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</si>
  <si>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超拓</t>
  </si>
  <si>
    <r>
      <t>张</t>
    </r>
    <r>
      <rPr>
        <sz val="11"/>
        <color theme="1"/>
        <rFont val="ＭＳ Ｐゴシック"/>
        <family val="3"/>
        <charset val="128"/>
        <scheme val="minor"/>
      </rPr>
      <t>菊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</si>
  <si>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甜果酒; 甜酒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</si>
  <si>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稻</t>
    </r>
    <r>
      <rPr>
        <sz val="11"/>
        <color theme="1"/>
        <rFont val="ＭＳ Ｐゴシック"/>
        <family val="3"/>
        <charset val="134"/>
        <scheme val="minor"/>
      </rPr>
      <t>贡</t>
    </r>
  </si>
  <si>
    <t>黄建明</t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</si>
  <si>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</si>
  <si>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洲懿</t>
  </si>
  <si>
    <r>
      <t>深圳市洲懿医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</si>
  <si>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</si>
  <si>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宏安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</si>
  <si>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</si>
  <si>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威士忌;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</si>
  <si>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昇卿</t>
  </si>
  <si>
    <r>
      <t>周</t>
    </r>
    <r>
      <rPr>
        <sz val="11"/>
        <color theme="1"/>
        <rFont val="ＭＳ Ｐゴシック"/>
        <family val="3"/>
        <charset val="134"/>
        <scheme val="minor"/>
      </rPr>
      <t>铖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</si>
  <si>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甜酒; 葡萄酒; 梅酒; 开胃酒; 果酒;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</si>
  <si>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正人清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</si>
  <si>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清酒; 梨酒; 果酒;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</si>
  <si>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定湖山庄</t>
  </si>
  <si>
    <r>
      <t>白酒; 烈酒;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</si>
  <si>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美曲清花</t>
  </si>
  <si>
    <r>
      <t>江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</si>
  <si>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酸酒（低等葡萄酒）;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</si>
  <si>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</si>
  <si>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 xml:space="preserve">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青稞酒; 黄酒</t>
    </r>
  </si>
  <si>
    <t>蔡百斤</t>
  </si>
  <si>
    <r>
      <t>湖北省</t>
    </r>
    <r>
      <rPr>
        <sz val="11"/>
        <color theme="1"/>
        <rFont val="ＭＳ Ｐゴシック"/>
        <family val="3"/>
        <charset val="134"/>
        <scheme val="minor"/>
      </rPr>
      <t>监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</si>
  <si>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高粱酒; 烈酒; 甜果酒</t>
    </r>
  </si>
  <si>
    <t>正人非凡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</si>
  <si>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清酒; 烈酒; 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</si>
  <si>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t>海口湖</t>
  </si>
  <si>
    <r>
      <t>露酒; 黄酒;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</t>
    </r>
  </si>
  <si>
    <t>鑫呈西域</t>
  </si>
  <si>
    <r>
      <t>伽</t>
    </r>
    <r>
      <rPr>
        <sz val="11"/>
        <color theme="1"/>
        <rFont val="ＭＳ Ｐゴシック"/>
        <family val="3"/>
        <charset val="134"/>
        <scheme val="minor"/>
      </rPr>
      <t>师县</t>
    </r>
    <r>
      <rPr>
        <sz val="11"/>
        <color theme="1"/>
        <rFont val="ＭＳ Ｐゴシック"/>
        <family val="3"/>
        <charset val="128"/>
        <scheme val="minor"/>
      </rPr>
      <t>西域果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</si>
  <si>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</si>
  <si>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</si>
  <si>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 xml:space="preserve">黄酒; 食用酒精;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葡萄酒;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</si>
  <si>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瑞斌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</si>
  <si>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米酒; 白酒;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</si>
  <si>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NANTOSYUZO</t>
  </si>
  <si>
    <r>
      <t>步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世（深圳）新零售有限公司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</si>
  <si>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葡萄酒</t>
    </r>
  </si>
  <si>
    <r>
      <t>苍龙</t>
    </r>
    <r>
      <rPr>
        <sz val="11"/>
        <color theme="1"/>
        <rFont val="ＭＳ Ｐゴシック"/>
        <family val="3"/>
        <charset val="128"/>
        <scheme val="minor"/>
      </rPr>
      <t>出海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</si>
  <si>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州将相思酒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</si>
  <si>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餐后酒（利口酒和烈酒）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</si>
  <si>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斯基</t>
    </r>
  </si>
  <si>
    <r>
      <t xml:space="preserve">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</si>
  <si>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关源里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</si>
  <si>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越部落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</si>
  <si>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白酒; 汽酒;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</si>
  <si>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兆高峰</t>
  </si>
  <si>
    <r>
      <t>范</t>
    </r>
    <r>
      <rPr>
        <sz val="11"/>
        <color theme="1"/>
        <rFont val="ＭＳ Ｐゴシック"/>
        <family val="3"/>
        <charset val="134"/>
        <scheme val="minor"/>
      </rPr>
      <t>腾桥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</si>
  <si>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米酒;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</si>
  <si>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宫厅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</si>
  <si>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烈酒</t>
    </r>
  </si>
  <si>
    <t>秉黔氿</t>
  </si>
  <si>
    <t>刘忠明</t>
  </si>
  <si>
    <r>
      <t xml:space="preserve">果酒（含酒精）;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米酒; 葡萄酒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</si>
  <si>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</si>
  <si>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米酒; 食用酒精; 黄酒;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</si>
  <si>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潭九福</t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</si>
  <si>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威士忌; 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</si>
  <si>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曲厂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</si>
  <si>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</si>
  <si>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青稞酒; 果酒（含酒精）; 白酒; 葡萄酒;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</si>
  <si>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伐木丁丁</t>
  </si>
  <si>
    <t>申小慧</t>
  </si>
  <si>
    <r>
      <t xml:space="preserve">果酒（含酒精）; 米酒; 朗姆酒; 伏特加酒; 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</si>
  <si>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贺贺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</si>
  <si>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葡萄酒; 黄酒;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梨酒; 白酒</t>
    </r>
  </si>
  <si>
    <t>娄氏黄金叶珍品</t>
  </si>
  <si>
    <r>
      <t>河南万森酒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</si>
  <si>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</si>
  <si>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和台天下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</si>
  <si>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</si>
  <si>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桐小泉</t>
  </si>
  <si>
    <r>
      <t>南阳天天一泉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</si>
  <si>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黄酒;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</si>
  <si>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r>
      <t>西域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</si>
  <si>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</si>
  <si>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泉士</t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</si>
  <si>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</si>
  <si>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奔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</si>
  <si>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</si>
  <si>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r>
      <t>九歌</t>
    </r>
    <r>
      <rPr>
        <sz val="11"/>
        <color theme="1"/>
        <rFont val="ＭＳ Ｐゴシック"/>
        <family val="3"/>
        <charset val="134"/>
        <scheme val="minor"/>
      </rPr>
      <t>啸沧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</si>
  <si>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湖南湘教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香版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</si>
  <si>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青稞酒;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</si>
  <si>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御酩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</si>
  <si>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清酒（日本米酒）;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</si>
  <si>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刀子</t>
    </r>
  </si>
  <si>
    <r>
      <t>刘万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</si>
  <si>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梅酒; 白酒; 高粱酒;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食用酒精</t>
    </r>
  </si>
  <si>
    <t>娄氏美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</si>
  <si>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清酒; 露酒; 葡萄酒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</si>
  <si>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山水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</si>
  <si>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山水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管理(内蒙古)有限公司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</si>
  <si>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</si>
  <si>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免成</t>
  </si>
  <si>
    <r>
      <t>北京慧源天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</si>
  <si>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五加皮酒（中国混合烈酒）; 米酒</t>
    </r>
  </si>
  <si>
    <t>GAGGIOLI</t>
  </si>
  <si>
    <r>
      <t>北京万倍福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</si>
  <si>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</si>
  <si>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P-SKY</t>
  </si>
  <si>
    <r>
      <t>肖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更</t>
    </r>
  </si>
  <si>
    <r>
      <t>黄酒; 开胃酒;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清酒（日本米酒）</t>
    </r>
  </si>
  <si>
    <r>
      <t>觅时</t>
    </r>
    <r>
      <rPr>
        <sz val="11"/>
        <color theme="1"/>
        <rFont val="ＭＳ Ｐゴシック"/>
        <family val="3"/>
        <charset val="128"/>
        <scheme val="minor"/>
      </rPr>
      <t>醴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</si>
  <si>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念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</si>
  <si>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</si>
  <si>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秦糯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</si>
  <si>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</si>
  <si>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黄酒; 清酒（日本米酒）; 米酒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</si>
  <si>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</si>
  <si>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海英</t>
    </r>
  </si>
  <si>
    <r>
      <t xml:space="preserve">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高粱酒; 米酒; 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</si>
  <si>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寅晋</t>
  </si>
  <si>
    <r>
      <t>邓</t>
    </r>
    <r>
      <rPr>
        <sz val="11"/>
        <color theme="1"/>
        <rFont val="ＭＳ Ｐゴシック"/>
        <family val="3"/>
        <charset val="128"/>
        <scheme val="minor"/>
      </rPr>
      <t>世森</t>
    </r>
  </si>
  <si>
    <r>
      <t>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</si>
  <si>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</si>
  <si>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汽酒;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</si>
  <si>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t>晋聚井</t>
  </si>
  <si>
    <r>
      <t>山西聚德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</si>
  <si>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</si>
  <si>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双广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</si>
  <si>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腾爱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</si>
  <si>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蜂蜜酒;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白酒</t>
    </r>
  </si>
  <si>
    <t>望仙承</t>
  </si>
  <si>
    <t>黄海彬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</si>
  <si>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</si>
  <si>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合三味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</si>
  <si>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垣市三合美食餐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</si>
  <si>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</si>
  <si>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昌沟</t>
    </r>
  </si>
  <si>
    <r>
      <t>王彦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</si>
  <si>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</si>
  <si>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千魁</t>
  </si>
  <si>
    <r>
      <t>肖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</si>
  <si>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黄酒; 清酒（日本米酒）;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</si>
  <si>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t>金丫品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</si>
  <si>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增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</si>
  <si>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杜松子酒; 梨酒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</si>
  <si>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昌府</t>
    </r>
  </si>
  <si>
    <t>何蕊蕊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</si>
  <si>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</si>
  <si>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晱</t>
    </r>
    <r>
      <rPr>
        <sz val="11"/>
        <color theme="1"/>
        <rFont val="ＭＳ Ｐゴシック"/>
        <family val="3"/>
        <charset val="128"/>
        <scheme val="minor"/>
      </rPr>
      <t>台</t>
    </r>
  </si>
  <si>
    <t>叶世芳</t>
  </si>
  <si>
    <r>
      <t xml:space="preserve">汽酒; 清酒; 甜酒; 果酒; 米酒; 梅酒;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</si>
  <si>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一醉炎黄</t>
  </si>
  <si>
    <r>
      <t>陈</t>
    </r>
    <r>
      <rPr>
        <sz val="11"/>
        <color theme="1"/>
        <rFont val="ＭＳ Ｐゴシック"/>
        <family val="3"/>
        <charset val="128"/>
        <scheme val="minor"/>
      </rPr>
      <t>金妹</t>
    </r>
  </si>
  <si>
    <r>
      <t xml:space="preserve">米酒; 食用酒精;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黄酒; 开胃酒; 果酒（含酒精）</t>
    </r>
  </si>
  <si>
    <t>傅山篆</t>
  </si>
  <si>
    <r>
      <t>山西晋榜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</si>
  <si>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果酒（含酒精）; 利口酒; 苹果酒; 蜂蜜酒; 葡萄酒</t>
    </r>
  </si>
  <si>
    <t>养源享</t>
  </si>
  <si>
    <r>
      <t>西安通和企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</si>
  <si>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米酒; 清酒（日本米酒）; 果酒（含酒精）</t>
    </r>
  </si>
  <si>
    <t>聚香碧</t>
  </si>
  <si>
    <t>梁妮妮</t>
  </si>
  <si>
    <r>
      <t xml:space="preserve">果酒（含酒精）; 蝮蛇酒;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高粱酒; 米酒; 白干酒（中国白酒）; 葡萄酒; 白酒</t>
    </r>
  </si>
  <si>
    <r>
      <t>算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大管家</t>
    </r>
  </si>
  <si>
    <t>黄燕云</t>
  </si>
  <si>
    <r>
      <t xml:space="preserve">威士忌;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</si>
  <si>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褚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</si>
  <si>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开胃酒;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</si>
  <si>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</si>
  <si>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</si>
  <si>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仲原台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</si>
  <si>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</si>
  <si>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清酒（日本米酒）</t>
    </r>
  </si>
  <si>
    <r>
      <t>秦九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</si>
  <si>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清酒（日本米酒）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</si>
  <si>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</si>
  <si>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</si>
  <si>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 xml:space="preserve">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白酒; 葡萄酒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</si>
  <si>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</si>
  <si>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食用酒精; 清酒（日本米酒）;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</t>
    </r>
  </si>
  <si>
    <t>焱潭</t>
  </si>
  <si>
    <r>
      <t xml:space="preserve">葡萄酒; 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</si>
  <si>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</si>
  <si>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安阳市永尊酒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</si>
  <si>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白酒; 果酒（含酒精）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</si>
  <si>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公主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</si>
  <si>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</si>
  <si>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爱玺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瓒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</si>
  <si>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爱玺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瓒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</si>
  <si>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甜酒</t>
    </r>
  </si>
  <si>
    <t>今果仔</t>
  </si>
  <si>
    <r>
      <t>河南水源福韵生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</si>
  <si>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</si>
  <si>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著和 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著作 和美万家 ZHUHE</t>
    </r>
  </si>
  <si>
    <t>杜金柱******************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</si>
  <si>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</si>
  <si>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屯老斗</t>
  </si>
  <si>
    <r>
      <t>赵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</si>
  <si>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黄酒; 清酒（日本米酒）; 果酒（含酒精）; 高粱酒;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</si>
  <si>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</si>
  <si>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</si>
  <si>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</si>
  <si>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岩巍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</si>
  <si>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春市岩巍鹿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</si>
  <si>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清酒;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</si>
  <si>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t>GROWBREUU</t>
  </si>
  <si>
    <r>
      <t>北芙（上海）食品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</si>
  <si>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利口酒; 梅酒; 果酒（含酒精）; 威士忌; 烈酒; 葡萄酒; 含酒精的气泡水; 苹果酒;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</si>
  <si>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桃刻</t>
  </si>
  <si>
    <r>
      <t>杨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</si>
  <si>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高粱酒; 葡萄酒; 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</si>
  <si>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醉属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</si>
  <si>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鸿泽</t>
    </r>
    <r>
      <rPr>
        <sz val="11"/>
        <color theme="1"/>
        <rFont val="ＭＳ Ｐゴシック"/>
        <family val="3"/>
        <charset val="128"/>
        <scheme val="minor"/>
      </rPr>
      <t>鑫宇酒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</si>
  <si>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</si>
  <si>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九洒脱</t>
  </si>
  <si>
    <t>盛卿峪</t>
  </si>
  <si>
    <r>
      <t>开胃酒; 清酒;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</si>
  <si>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t>虔化益生</t>
  </si>
  <si>
    <r>
      <t>伍</t>
    </r>
    <r>
      <rPr>
        <sz val="11"/>
        <color theme="1"/>
        <rFont val="ＭＳ Ｐゴシック"/>
        <family val="3"/>
        <charset val="134"/>
        <scheme val="minor"/>
      </rPr>
      <t>东东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</si>
  <si>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蜂蜜酒; 米酒; 食用酒精; 白酒; 黄酒</t>
    </r>
  </si>
  <si>
    <t>CHAJOO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</si>
  <si>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</si>
  <si>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清酒; 露酒; 白酒; 蜂蜜酒; 米酒</t>
    </r>
  </si>
  <si>
    <t>THE LOVE PROJECT</t>
  </si>
  <si>
    <r>
      <t>三巡文化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播（广州）有限公司</t>
    </r>
  </si>
  <si>
    <r>
      <t>果酒; 苹果酒;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</si>
  <si>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街坊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</si>
  <si>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邓伟</t>
    </r>
  </si>
  <si>
    <r>
      <t>黄酒; 白酒; 梅酒; 果酒（含酒精）; 葡萄酒; 威士忌;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</si>
  <si>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仚仝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</si>
  <si>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州婉瑾建筑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</si>
  <si>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食用酒精; 果酒（含酒精）; 清酒（日本米酒）; 威士忌; 米酒</t>
    </r>
  </si>
  <si>
    <t>厦E情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</si>
  <si>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市恒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</si>
  <si>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威士忌; 开胃酒; 薄荷酒</t>
    </r>
  </si>
  <si>
    <r>
      <t>九云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</si>
  <si>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白酒; 米酒; 青稞酒</t>
    </r>
  </si>
  <si>
    <t>哈工大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</si>
  <si>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</si>
  <si>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 xml:space="preserve">天然汽酒;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佐餐酒</t>
    </r>
  </si>
  <si>
    <r>
      <t>纷</t>
    </r>
    <r>
      <rPr>
        <sz val="11"/>
        <color theme="1"/>
        <rFont val="ＭＳ Ｐゴシック"/>
        <family val="3"/>
        <charset val="128"/>
        <scheme val="minor"/>
      </rPr>
      <t>力特</t>
    </r>
  </si>
  <si>
    <r>
      <t>山西中城九誉装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装修工程有限公司</t>
    </r>
  </si>
  <si>
    <r>
      <t xml:space="preserve">米酒;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</si>
  <si>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她好</t>
  </si>
  <si>
    <r>
      <t>李婧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</si>
  <si>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</si>
  <si>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衢姑娘</t>
  </si>
  <si>
    <r>
      <t>衢州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启酒店管理有限公司</t>
    </r>
  </si>
  <si>
    <r>
      <t>果酒（含酒精）;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</si>
  <si>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侗韵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京</t>
    </r>
  </si>
  <si>
    <r>
      <t>镇远县报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乡报</t>
    </r>
    <r>
      <rPr>
        <sz val="11"/>
        <color theme="1"/>
        <rFont val="ＭＳ Ｐゴシック"/>
        <family val="3"/>
        <charset val="128"/>
        <scheme val="minor"/>
      </rPr>
      <t>京村集体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</si>
  <si>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</si>
  <si>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巴濮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</si>
  <si>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来氏易医（重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）健康管理中心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</si>
  <si>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青稞酒; 果酒;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食用酒精; 黄酒</t>
    </r>
  </si>
  <si>
    <r>
      <t>桃之芳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</si>
  <si>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</si>
  <si>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烈酒; 白酒;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</si>
  <si>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蝉悦</t>
  </si>
  <si>
    <r>
      <t>马</t>
    </r>
    <r>
      <rPr>
        <sz val="11"/>
        <color theme="1"/>
        <rFont val="ＭＳ Ｐゴシック"/>
        <family val="3"/>
        <charset val="128"/>
        <scheme val="minor"/>
      </rPr>
      <t>玉良</t>
    </r>
  </si>
  <si>
    <r>
      <t>葡萄酒; 利口酒; 黄酒; 白酒;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</si>
  <si>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胡子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</si>
  <si>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</si>
  <si>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果酒; 汽酒; 黄酒;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</si>
  <si>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梦台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</si>
  <si>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振清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</si>
  <si>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威士忌; 葡萄酒; 清酒（日本米酒）; 黄酒; 烈酒</t>
    </r>
  </si>
  <si>
    <t>大地灵感</t>
  </si>
  <si>
    <r>
      <t>澳新直通（广州）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</si>
  <si>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</si>
  <si>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灵特小白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</si>
  <si>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</si>
  <si>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开胃酒; 杜松子酒;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</si>
  <si>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</si>
  <si>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 xml:space="preserve">威士忌;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高粱酒</t>
    </r>
  </si>
  <si>
    <t>沴河</t>
  </si>
  <si>
    <r>
      <t>河北古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</si>
  <si>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汽酒; 果酒（含酒精）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</si>
  <si>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丰盛</t>
    </r>
  </si>
  <si>
    <r>
      <t>湖州南</t>
    </r>
    <r>
      <rPr>
        <sz val="11"/>
        <color theme="1"/>
        <rFont val="ＭＳ Ｐゴシック"/>
        <family val="3"/>
        <charset val="134"/>
        <scheme val="minor"/>
      </rPr>
      <t>浔顾</t>
    </r>
    <r>
      <rPr>
        <sz val="11"/>
        <color theme="1"/>
        <rFont val="ＭＳ Ｐゴシック"/>
        <family val="3"/>
        <charset val="128"/>
        <scheme val="minor"/>
      </rPr>
      <t>丰盛品牌管理有限公司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</si>
  <si>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葡萄酒; 汽酒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</si>
  <si>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</si>
  <si>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</si>
  <si>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</si>
  <si>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著和 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著作 和美著和 ZHUHE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</si>
  <si>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</si>
  <si>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士得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</si>
  <si>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士得（山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）健康科技有限公司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</si>
  <si>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</si>
  <si>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山西天河醇酒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</si>
  <si>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</si>
  <si>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褰裳</t>
  </si>
  <si>
    <r>
      <t>宁波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策供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</si>
  <si>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</si>
  <si>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农业职业</t>
    </r>
    <r>
      <rPr>
        <sz val="11"/>
        <color theme="1"/>
        <rFont val="ＭＳ Ｐゴシック"/>
        <family val="3"/>
        <charset val="128"/>
        <scheme val="minor"/>
      </rPr>
      <t>学院 GUIZHOU VOCATIONAL COLLEGE OF AGRICULTURE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</si>
  <si>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农业职业</t>
    </r>
    <r>
      <rPr>
        <sz val="11"/>
        <color theme="1"/>
        <rFont val="ＭＳ Ｐゴシック"/>
        <family val="3"/>
        <charset val="128"/>
        <scheme val="minor"/>
      </rPr>
      <t>学院</t>
    </r>
  </si>
  <si>
    <r>
      <t>食用酒精;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</si>
  <si>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港霄</t>
  </si>
  <si>
    <r>
      <t>谭</t>
    </r>
    <r>
      <rPr>
        <sz val="11"/>
        <color theme="1"/>
        <rFont val="ＭＳ Ｐゴシック"/>
        <family val="3"/>
        <charset val="128"/>
        <scheme val="minor"/>
      </rPr>
      <t>小娜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</si>
  <si>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</si>
  <si>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黔酺老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</si>
  <si>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方毅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</si>
  <si>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</si>
  <si>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</si>
  <si>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南充市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丰源酒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</si>
  <si>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</si>
  <si>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成渝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筵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</si>
  <si>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建武</t>
    </r>
  </si>
  <si>
    <r>
      <t>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米酒</t>
    </r>
  </si>
  <si>
    <t>GUERRIERO DELLA TERRA</t>
  </si>
  <si>
    <r>
      <t>杭州意塔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</si>
  <si>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利口酒;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威士忌</t>
    </r>
  </si>
  <si>
    <r>
      <t>新古阳</t>
    </r>
    <r>
      <rPr>
        <sz val="11"/>
        <color theme="1"/>
        <rFont val="ＭＳ Ｐゴシック"/>
        <family val="3"/>
        <charset val="134"/>
        <scheme val="minor"/>
      </rPr>
      <t>红蓝</t>
    </r>
  </si>
  <si>
    <r>
      <t>广西南宁妙渊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</si>
  <si>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</t>
    </r>
  </si>
  <si>
    <r>
      <t>乒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</si>
  <si>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</si>
  <si>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</si>
  <si>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吉福荣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</si>
  <si>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葡萄酒; 开胃酒;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</si>
  <si>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郭楚真</t>
  </si>
  <si>
    <r>
      <t>郭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</si>
  <si>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米酒; 开胃酒;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</si>
  <si>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VEISTON</t>
  </si>
  <si>
    <r>
      <t>利口酒; 葡萄酒; 汽酒; 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</si>
  <si>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芝摩</t>
  </si>
  <si>
    <t>刘雯雯</t>
  </si>
  <si>
    <r>
      <t>白酒; 威士忌; 烈酒; 甜酒;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</si>
  <si>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广州壹零壹酒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</si>
  <si>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</si>
  <si>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陶荻集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</si>
  <si>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陶文旅控股集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</si>
  <si>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</t>
    </r>
  </si>
  <si>
    <r>
      <t>上谷</t>
    </r>
    <r>
      <rPr>
        <sz val="11"/>
        <color theme="1"/>
        <rFont val="ＭＳ Ｐゴシック"/>
        <family val="3"/>
        <charset val="134"/>
        <scheme val="minor"/>
      </rPr>
      <t>鸿渐</t>
    </r>
  </si>
  <si>
    <r>
      <t>山中麒麟茶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（普洱）有限公司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</si>
  <si>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高粱酒; 白干酒（中国白酒）;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</si>
  <si>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光宝藏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</si>
  <si>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梦丹</t>
    </r>
  </si>
  <si>
    <r>
      <t>白酒; 威士忌;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</si>
  <si>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盛元控股集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</si>
  <si>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利口酒; 葡萄酒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</si>
  <si>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和悠久YOUJ</t>
    </r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</si>
  <si>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卓品科技有限公司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</si>
  <si>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白干酒（中国白酒）; 葡萄酒; 果酒（含酒精）; 黄酒; 甜果酒; 蜂蜜酒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</si>
  <si>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</si>
  <si>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 xml:space="preserve">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</t>
    </r>
  </si>
  <si>
    <t>威曲</t>
  </si>
  <si>
    <r>
      <t>钟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</si>
  <si>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 xml:space="preserve">果酒（含酒精）; 葡萄酒; 清酒（日本米酒）; 开胃酒;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</si>
  <si>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王启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</si>
  <si>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始王茅基酒供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</si>
  <si>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露酒; 梅酒; 果酒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</si>
  <si>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</si>
  <si>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果酒; 白酒; 开胃酒; 清酒（日本米酒）; 威士忌</t>
    </r>
  </si>
  <si>
    <t>陌上四季</t>
  </si>
  <si>
    <r>
      <t>华语</t>
    </r>
    <r>
      <rPr>
        <sz val="11"/>
        <color theme="1"/>
        <rFont val="ＭＳ Ｐゴシック"/>
        <family val="3"/>
        <charset val="128"/>
        <scheme val="minor"/>
      </rPr>
      <t>之声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媒（杭州）有限公司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</si>
  <si>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食用酒精</t>
    </r>
  </si>
  <si>
    <r>
      <t>须</t>
    </r>
    <r>
      <rPr>
        <sz val="11"/>
        <color theme="1"/>
        <rFont val="ＭＳ Ｐゴシック"/>
        <family val="3"/>
        <charset val="128"/>
        <scheme val="minor"/>
      </rPr>
      <t>自渡</t>
    </r>
  </si>
  <si>
    <t>胡毅</t>
  </si>
  <si>
    <r>
      <t>烈酒; 威士忌; 白酒;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</si>
  <si>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嘉昌利</t>
  </si>
  <si>
    <r>
      <t>郭和</t>
    </r>
    <r>
      <rPr>
        <sz val="11"/>
        <color theme="1"/>
        <rFont val="ＭＳ Ｐゴシック"/>
        <family val="3"/>
        <charset val="134"/>
        <scheme val="minor"/>
      </rPr>
      <t>苍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</si>
  <si>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白酒;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</si>
  <si>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堤酒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</si>
  <si>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</si>
  <si>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果酒;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</si>
  <si>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逸韵醴香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</si>
  <si>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</t>
    </r>
    <r>
      <rPr>
        <sz val="11"/>
        <color theme="1"/>
        <rFont val="ＭＳ Ｐゴシック"/>
        <family val="3"/>
        <charset val="134"/>
        <scheme val="minor"/>
      </rPr>
      <t>鸿腾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</si>
  <si>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烈酒; 果酒;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</si>
  <si>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莓淇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</si>
  <si>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</si>
  <si>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</si>
  <si>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九州刘</t>
    </r>
    <r>
      <rPr>
        <sz val="11"/>
        <color theme="1"/>
        <rFont val="ＭＳ Ｐゴシック"/>
        <family val="3"/>
        <charset val="134"/>
        <scheme val="minor"/>
      </rPr>
      <t>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</si>
  <si>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</si>
  <si>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官山源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</si>
  <si>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市千屹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</si>
  <si>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</si>
  <si>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神草迹</t>
  </si>
  <si>
    <r>
      <t>广州市广源医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</si>
  <si>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</si>
  <si>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京宏晟午工</t>
  </si>
  <si>
    <t>赵红艳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</si>
  <si>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</si>
  <si>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飙</t>
    </r>
  </si>
  <si>
    <r>
      <t>广州市昊曦投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</si>
  <si>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混合威士忌酒;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甜果酒;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</si>
  <si>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源生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</si>
  <si>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</si>
  <si>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</si>
  <si>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四川省雨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</si>
  <si>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开胃酒;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</si>
  <si>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</si>
  <si>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</si>
  <si>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米酒; 白酒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</si>
  <si>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</si>
  <si>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开胃酒; 白酒; 威士忌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</si>
  <si>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秦</t>
    </r>
  </si>
  <si>
    <r>
      <t>黄酒; 开胃酒;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</si>
  <si>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京台虹</t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</si>
  <si>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</si>
  <si>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YFUX</t>
  </si>
  <si>
    <t>高松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</si>
  <si>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青梅酒; 高粱酒; 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日本梅子酒;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甜酒;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果酒（含酒精）</t>
    </r>
  </si>
  <si>
    <r>
      <t>榄</t>
    </r>
    <r>
      <rPr>
        <sz val="11"/>
        <color theme="1"/>
        <rFont val="ＭＳ Ｐゴシック"/>
        <family val="3"/>
        <charset val="128"/>
        <scheme val="minor"/>
      </rPr>
      <t>中宝</t>
    </r>
  </si>
  <si>
    <r>
      <t>云浮市盛毅酒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</si>
  <si>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</t>
    </r>
  </si>
  <si>
    <r>
      <t>王家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承人</t>
    </r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</si>
  <si>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梅酒; 烈酒; 露酒</t>
    </r>
  </si>
  <si>
    <t>FOREST CONJECTURE 森林的猜想</t>
  </si>
  <si>
    <r>
      <t>丽</t>
    </r>
    <r>
      <rPr>
        <sz val="11"/>
        <color theme="1"/>
        <rFont val="ＭＳ Ｐゴシック"/>
        <family val="3"/>
        <charset val="128"/>
        <scheme val="minor"/>
      </rPr>
      <t>水食养森林生物科技有限公司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</si>
  <si>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青梅酒; 果酒（含酒精）;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</si>
  <si>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t>栖山李冠廷</t>
  </si>
  <si>
    <t>秦亮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</si>
  <si>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</si>
  <si>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珍醉幸福</t>
  </si>
  <si>
    <t>黄子琴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</si>
  <si>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烈酒; 葡萄酒; 威士忌; 伏特加酒; 黄酒; 白酒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</si>
  <si>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舞言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</si>
  <si>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白干酒（中国白酒）;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</si>
  <si>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GLODLICHA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</si>
  <si>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多美未来酒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</si>
  <si>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咖啡利口酒; 奶油利口酒;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</si>
  <si>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</si>
  <si>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文英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</si>
  <si>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</si>
  <si>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周甜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一家人</t>
    </r>
  </si>
  <si>
    <t>周田利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</si>
  <si>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蜂蜜酒;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</si>
  <si>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赛镇</t>
    </r>
    <r>
      <rPr>
        <sz val="11"/>
        <color theme="1"/>
        <rFont val="ＭＳ Ｐゴシック"/>
        <family val="3"/>
        <charset val="128"/>
        <scheme val="minor"/>
      </rPr>
      <t>兄弟</t>
    </r>
  </si>
  <si>
    <r>
      <t>巴彦淖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</si>
  <si>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开胃酒; 果酒（含酒精）; 汽酒; 黄酒; 利口酒; 青稞酒</t>
    </r>
  </si>
  <si>
    <t>稀之美7号</t>
  </si>
  <si>
    <t>稀之美（湖北）生物科技有限公司</t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</si>
  <si>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米酒; 葡萄酒</t>
    </r>
  </si>
  <si>
    <t>熙金道</t>
  </si>
  <si>
    <t>王振</t>
  </si>
  <si>
    <r>
      <t xml:space="preserve">葡萄酒; 米酒; 黄酒; 果酒（含酒精）;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</si>
  <si>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伴</t>
    </r>
  </si>
  <si>
    <r>
      <t>苹果酒;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汽酒; 开胃酒; 黄酒; 威士忌; 果酒（含酒精）</t>
    </r>
  </si>
  <si>
    <r>
      <t>医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</si>
  <si>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沙全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</si>
  <si>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</si>
  <si>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三百 RWA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</si>
  <si>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</si>
  <si>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</si>
  <si>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白</t>
    </r>
    <r>
      <rPr>
        <sz val="11"/>
        <color theme="1"/>
        <rFont val="ＭＳ Ｐゴシック"/>
        <family val="3"/>
        <charset val="129"/>
        <scheme val="minor"/>
      </rPr>
      <t>煲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</si>
  <si>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肥安建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</si>
  <si>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</si>
  <si>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御屏山</t>
  </si>
  <si>
    <r>
      <t>赤壁市舒适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猴桃种植家庭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</si>
  <si>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</si>
  <si>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王家梦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</si>
  <si>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梅酒;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露酒; 葡萄酒</t>
    </r>
  </si>
  <si>
    <t>山百洞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</si>
  <si>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烧酱军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</si>
  <si>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</si>
  <si>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黔香惜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</si>
  <si>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水芳芳食品有限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</si>
  <si>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苹果酒;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</si>
  <si>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醠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</si>
  <si>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雷清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</si>
  <si>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白干酒（中国白酒）; 白酒;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</si>
  <si>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湄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</si>
  <si>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曼芭商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</si>
  <si>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黄酒; 草本型利口酒; 葡萄酒</t>
    </r>
  </si>
  <si>
    <t>鲤满</t>
  </si>
  <si>
    <t>耿立森</t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</si>
  <si>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</si>
  <si>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JOLIPARK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</si>
  <si>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恺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</si>
  <si>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威士忌;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</si>
  <si>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世家江山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</si>
  <si>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</si>
  <si>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名养</t>
  </si>
  <si>
    <t>陈泽银</t>
  </si>
  <si>
    <r>
      <t xml:space="preserve">米酒; 葡萄酒;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甜酒; 汽酒; 清酒</t>
    </r>
  </si>
  <si>
    <r>
      <t>界上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</si>
  <si>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家界唯</t>
    </r>
    <r>
      <rPr>
        <sz val="11"/>
        <color theme="1"/>
        <rFont val="ＭＳ Ｐゴシック"/>
        <family val="3"/>
        <charset val="134"/>
        <scheme val="minor"/>
      </rPr>
      <t>创传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</si>
  <si>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米酒; 食用酒精; 烈酒</t>
    </r>
  </si>
  <si>
    <t>循天下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</si>
  <si>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</si>
  <si>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五福炎黄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</si>
  <si>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</si>
  <si>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世家禧</t>
  </si>
  <si>
    <r>
      <t>姜燚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</si>
  <si>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</si>
  <si>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三友一刻</t>
  </si>
  <si>
    <r>
      <t>杭州玖柒柒文化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</si>
  <si>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</si>
  <si>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府大</t>
    </r>
    <r>
      <rPr>
        <sz val="11"/>
        <color theme="1"/>
        <rFont val="ＭＳ Ｐゴシック"/>
        <family val="3"/>
        <charset val="134"/>
        <scheme val="minor"/>
      </rPr>
      <t>观</t>
    </r>
  </si>
  <si>
    <t>無し</t>
  </si>
  <si>
    <t>勇志留香</t>
  </si>
  <si>
    <r>
      <t>赤峰广泰种养殖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</si>
  <si>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烈酒; 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</si>
  <si>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履大叔</t>
  </si>
  <si>
    <r>
      <t xml:space="preserve">梅酒;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米酒; 露酒</t>
    </r>
  </si>
  <si>
    <t>逢道</t>
  </si>
  <si>
    <r>
      <t>河南国都印象酒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</si>
  <si>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黄酒; 果酒（含酒精）; 利口酒; 米酒; 葡萄酒</t>
    </r>
  </si>
  <si>
    <r>
      <t>必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</si>
  <si>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黄荣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</si>
  <si>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烈酒;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</si>
  <si>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福禄康熙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</si>
  <si>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伏特加酒</t>
    </r>
  </si>
  <si>
    <t>龙凤挚爱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</si>
  <si>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</si>
  <si>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州大苗山医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</si>
  <si>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米酒</t>
    </r>
  </si>
  <si>
    <t>RWA</t>
  </si>
  <si>
    <r>
      <t>蜂蜜酒; 白酒; 葡萄酒;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</si>
  <si>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TIETAR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</si>
  <si>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元达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</si>
  <si>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麦芽威士忌; 朗姆酒;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利口酒; 威士忌; 伏特加酒; 果酒（含酒精）; 杜松子酒</t>
    </r>
  </si>
  <si>
    <t>牛个灯</t>
  </si>
  <si>
    <r>
      <t>云南奕灯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</si>
  <si>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白酒</t>
    </r>
  </si>
  <si>
    <r>
      <t>杰克路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</si>
  <si>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蓬莱市名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</si>
  <si>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果酒（含酒精）; 伏特加酒; 茴芹酒（利口酒）;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</si>
  <si>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久熠</t>
  </si>
  <si>
    <t>久熠（福建）智能科技有限公司</t>
  </si>
  <si>
    <r>
      <t xml:space="preserve">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</si>
  <si>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响</t>
    </r>
  </si>
  <si>
    <t>陈锋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</si>
  <si>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</si>
  <si>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r>
      <t>谢进</t>
    </r>
    <r>
      <rPr>
        <sz val="11"/>
        <color theme="1"/>
        <rFont val="ＭＳ Ｐゴシック"/>
        <family val="3"/>
        <charset val="128"/>
        <scheme val="minor"/>
      </rPr>
      <t>士故里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</si>
  <si>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肃剑</t>
    </r>
    <r>
      <rPr>
        <sz val="11"/>
        <color theme="1"/>
        <rFont val="ＭＳ Ｐゴシック"/>
        <family val="3"/>
        <charset val="128"/>
        <scheme val="minor"/>
      </rPr>
      <t>牌关文旅有限公司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</si>
  <si>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白酒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</si>
  <si>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</si>
  <si>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>安阳市三叠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</si>
  <si>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</si>
  <si>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房半城</t>
  </si>
  <si>
    <r>
      <t>淮北市隆聚酒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</si>
  <si>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食用酒精;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</si>
  <si>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</si>
  <si>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军创实业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</si>
  <si>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烈酒</t>
    </r>
  </si>
  <si>
    <t>YAN ZHAO DA DI</t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</si>
  <si>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大地（北京）酒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</si>
  <si>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白干酒（中国白酒）</t>
    </r>
  </si>
  <si>
    <t>刀戈</t>
  </si>
  <si>
    <r>
      <t>杨丽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</si>
  <si>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</si>
  <si>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知林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</si>
  <si>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沂泰丰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</si>
  <si>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</si>
  <si>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金知林</t>
  </si>
  <si>
    <r>
      <t>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</si>
  <si>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成功江湖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</si>
  <si>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</si>
  <si>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金海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曼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</si>
  <si>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常熟市金海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休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美食会</t>
    </r>
  </si>
  <si>
    <r>
      <t>黄酒; 开胃酒; 白酒; 果酒;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</si>
  <si>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禾盛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</si>
  <si>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寺禾</t>
    </r>
    <r>
      <rPr>
        <sz val="11"/>
        <color theme="1"/>
        <rFont val="ＭＳ Ｐゴシック"/>
        <family val="3"/>
        <charset val="134"/>
        <scheme val="minor"/>
      </rPr>
      <t>钢铁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</si>
  <si>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柑香酒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</si>
  <si>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方同聚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</si>
  <si>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</si>
  <si>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</si>
  <si>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西安伊美物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</si>
  <si>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</si>
  <si>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九方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</si>
  <si>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阳市九方家庭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</si>
  <si>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高粱酒; 烈酒; 葡萄酒; 白酒; 清酒; 黄酒; 甜酒;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</si>
  <si>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晋灵之州</t>
  </si>
  <si>
    <r>
      <t>灵石</t>
    </r>
    <r>
      <rPr>
        <sz val="11"/>
        <color theme="1"/>
        <rFont val="ＭＳ Ｐゴシック"/>
        <family val="3"/>
        <charset val="134"/>
        <scheme val="minor"/>
      </rPr>
      <t>县转</t>
    </r>
    <r>
      <rPr>
        <sz val="11"/>
        <color theme="1"/>
        <rFont val="ＭＳ Ｐゴシック"/>
        <family val="3"/>
        <charset val="128"/>
        <scheme val="minor"/>
      </rPr>
      <t>型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改促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</si>
  <si>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蜂蜜酒;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</t>
    </r>
  </si>
  <si>
    <r>
      <t>袁子老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</si>
  <si>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袁光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</si>
  <si>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米酒; 葡萄酒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</si>
  <si>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艾雅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</si>
  <si>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艾雅健康有限公司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</si>
  <si>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米酒</t>
    </r>
  </si>
  <si>
    <t>泰番</t>
  </si>
  <si>
    <r>
      <t>泰安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</si>
  <si>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</si>
  <si>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明思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</si>
  <si>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州凌宏康泉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</si>
  <si>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</si>
  <si>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南将.米勒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</si>
  <si>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市南将酒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</si>
  <si>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</si>
  <si>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康毓</t>
  </si>
  <si>
    <r>
      <t>骆</t>
    </r>
    <r>
      <rPr>
        <sz val="11"/>
        <color theme="1"/>
        <rFont val="ＭＳ Ｐゴシック"/>
        <family val="3"/>
        <charset val="128"/>
        <scheme val="minor"/>
      </rPr>
      <t>子翔</t>
    </r>
  </si>
  <si>
    <r>
      <t xml:space="preserve">苹果酒;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</si>
  <si>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让</t>
    </r>
    <r>
      <rPr>
        <sz val="11"/>
        <color theme="1"/>
        <rFont val="ＭＳ Ｐゴシック"/>
        <family val="3"/>
        <charset val="128"/>
        <scheme val="minor"/>
      </rPr>
      <t>礼干</t>
    </r>
  </si>
  <si>
    <t>程小松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</si>
  <si>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</si>
  <si>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霸今</t>
  </si>
  <si>
    <r>
      <t>罗卫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</si>
  <si>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</si>
  <si>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恰拉牧庄</t>
  </si>
  <si>
    <r>
      <t>林周坦途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运有限公司</t>
    </r>
  </si>
  <si>
    <r>
      <t>青稞酒;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</si>
  <si>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</si>
  <si>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</si>
  <si>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州酒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</si>
  <si>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</si>
  <si>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今元火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</si>
  <si>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沙元梓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</si>
  <si>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威士忌; 食用酒精; 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</si>
  <si>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儒雅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</si>
  <si>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州池井台酒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</si>
  <si>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</si>
  <si>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奶奶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</si>
  <si>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奶奶（湛江市）食品有限公司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</si>
  <si>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</si>
  <si>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七侠客</t>
  </si>
  <si>
    <r>
      <t>威士忌;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葡萄酒; 白酒;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</si>
  <si>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娃</t>
    </r>
  </si>
  <si>
    <r>
      <t>阳江市百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娃米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</si>
  <si>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烈酒;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青稞酒; 甜酒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</si>
  <si>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</si>
  <si>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茂名市高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</si>
  <si>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伏特加酒;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</si>
  <si>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镖</t>
    </r>
  </si>
  <si>
    <r>
      <t>食用酒精; 白干酒（中国白酒）;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</si>
  <si>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M M STAND</t>
  </si>
  <si>
    <r>
      <t>上海艾恰餐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</si>
  <si>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咖啡利口酒;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</si>
  <si>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</si>
  <si>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芝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</si>
  <si>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白酒; 威士忌</t>
    </r>
  </si>
  <si>
    <t>无由春堂山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</si>
  <si>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和悦庄酒店管理有限公司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</si>
  <si>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</si>
  <si>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无由春堂山歌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</si>
  <si>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</si>
  <si>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善源万密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</si>
  <si>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众智万密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（深圳）生物科技有限公司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</si>
  <si>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</si>
  <si>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鼎羊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</si>
  <si>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莞市鼎羊</t>
    </r>
    <r>
      <rPr>
        <sz val="11"/>
        <color theme="1"/>
        <rFont val="ＭＳ Ｐゴシック"/>
        <family val="3"/>
        <charset val="134"/>
        <scheme val="minor"/>
      </rPr>
      <t>诀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</si>
  <si>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高粱酒; 甜果酒; 黄酒; 清酒;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</si>
  <si>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羹香</t>
    </r>
  </si>
  <si>
    <r>
      <t>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</si>
  <si>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考</t>
    </r>
  </si>
  <si>
    <r>
      <t>河北合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</si>
  <si>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果酒（含酒精）; 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白葡萄酒; 米酒; 葡萄酒; 白干酒（中国白酒）; 果酒</t>
    </r>
  </si>
  <si>
    <t>酒映渝</t>
  </si>
  <si>
    <t>杨锦</t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</si>
  <si>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</si>
  <si>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芝士侠</t>
  </si>
  <si>
    <r>
      <t>醇运供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</si>
  <si>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葡萄酒; 果酒; 清酒;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</si>
  <si>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BEAUTIFUL MISTAKE 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的</t>
    </r>
    <r>
      <rPr>
        <sz val="11"/>
        <color theme="1"/>
        <rFont val="ＭＳ Ｐゴシック"/>
        <family val="3"/>
        <charset val="134"/>
        <scheme val="minor"/>
      </rPr>
      <t>错误</t>
    </r>
  </si>
  <si>
    <r>
      <t>醇臣(上海)酒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</si>
  <si>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清酒（日本米酒）</t>
    </r>
  </si>
  <si>
    <r>
      <t>益品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川堂</t>
    </r>
  </si>
  <si>
    <r>
      <t>钟伟</t>
    </r>
    <r>
      <rPr>
        <sz val="11"/>
        <color theme="1"/>
        <rFont val="ＭＳ Ｐゴシック"/>
        <family val="3"/>
        <charset val="128"/>
        <scheme val="minor"/>
      </rPr>
      <t>开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</si>
  <si>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露酒; 葡萄酒; 黄酒</t>
    </r>
  </si>
  <si>
    <t>樽惠</t>
  </si>
  <si>
    <r>
      <t>吉林省福上</t>
    </r>
    <r>
      <rPr>
        <sz val="11"/>
        <color theme="1"/>
        <rFont val="ＭＳ Ｐゴシック"/>
        <family val="3"/>
        <charset val="134"/>
        <scheme val="minor"/>
      </rPr>
      <t>笃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</si>
  <si>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</si>
  <si>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AVIR</t>
  </si>
  <si>
    <r>
      <t>香港中俏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</si>
  <si>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朗姆酒; 青稞酒; 清酒（日本米酒）;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</si>
  <si>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r>
      <t>山野</t>
    </r>
    <r>
      <rPr>
        <sz val="11"/>
        <color theme="1"/>
        <rFont val="ＭＳ Ｐゴシック"/>
        <family val="3"/>
        <charset val="134"/>
        <scheme val="minor"/>
      </rPr>
      <t>归隐</t>
    </r>
  </si>
  <si>
    <r>
      <t>高邑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六巡江南茶叶加工厂</t>
    </r>
  </si>
  <si>
    <r>
      <t>白酒;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</si>
  <si>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火把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</si>
  <si>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</si>
  <si>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</si>
  <si>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茄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古滇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</si>
  <si>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江山谷果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</si>
  <si>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露酒</t>
    </r>
  </si>
  <si>
    <t>蜀水一方</t>
  </si>
  <si>
    <r>
      <t xml:space="preserve">开胃酒; 葡萄酒; 白酒; 果酒; 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</si>
  <si>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赤珀御液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</si>
  <si>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市赤醉酒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</si>
  <si>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</si>
  <si>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奇壳子香</t>
    </r>
  </si>
  <si>
    <t>廖有光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</si>
  <si>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白干酒（中国白酒）; 高粱酒; 蒸煮提取物（利口酒和烈酒）</t>
    </r>
  </si>
  <si>
    <t>花好月小七</t>
  </si>
  <si>
    <t>夏小琴******************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</si>
  <si>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</si>
  <si>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陌</t>
    </r>
    <r>
      <rPr>
        <sz val="11"/>
        <color theme="1"/>
        <rFont val="ＭＳ Ｐゴシック"/>
        <family val="3"/>
        <charset val="134"/>
        <scheme val="minor"/>
      </rPr>
      <t>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</si>
  <si>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果酒（含酒精）; 黄酒; 葡萄酒</t>
    </r>
  </si>
  <si>
    <t>酒小朝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</si>
  <si>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黄酒; 威士忌; 白酒; 开胃酒; 果酒（含酒精）; 清酒（日本米酒）</t>
    </r>
  </si>
  <si>
    <t>黔德天</t>
  </si>
  <si>
    <t>彭婷</t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</si>
  <si>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</si>
  <si>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叶巴丘</t>
  </si>
  <si>
    <r>
      <t>沈阳晟睿酒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</si>
  <si>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</si>
  <si>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中善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</si>
  <si>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中善生物医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</si>
  <si>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</si>
  <si>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糯子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</si>
  <si>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九如天保食品有限公司</t>
    </r>
  </si>
  <si>
    <r>
      <t xml:space="preserve">米酒;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黄酒; 果酒</t>
    </r>
  </si>
  <si>
    <t>无由春堂歌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</si>
  <si>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</si>
  <si>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漂享漫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</si>
  <si>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</si>
  <si>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GOURMECOLLEC</t>
  </si>
  <si>
    <r>
      <t>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美株式会社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</si>
  <si>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清酒（日本米酒）</t>
    </r>
  </si>
  <si>
    <t>村匠原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</si>
  <si>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州伍拾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玖坊品牌管理有限公司</t>
    </r>
  </si>
  <si>
    <r>
      <t xml:space="preserve">果酒（含酒精）; 开胃酒;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食用酒精; 汽酒; 高粱酒</t>
    </r>
  </si>
  <si>
    <r>
      <t>孜</t>
    </r>
    <r>
      <rPr>
        <sz val="11"/>
        <color theme="1"/>
        <rFont val="ＭＳ Ｐゴシック"/>
        <family val="3"/>
        <charset val="134"/>
        <scheme val="minor"/>
      </rPr>
      <t>澜</t>
    </r>
  </si>
  <si>
    <t>黄川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</si>
  <si>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</si>
  <si>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醇臣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</si>
  <si>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白干酒（中国白酒）;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</si>
  <si>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努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</si>
  <si>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清酒; 汽酒; 葡萄酒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</si>
  <si>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春晗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</si>
  <si>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</si>
  <si>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</si>
  <si>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海洋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</si>
  <si>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海洋生物科技有限公司</t>
    </r>
  </si>
  <si>
    <r>
      <t>开胃酒;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</t>
    </r>
  </si>
  <si>
    <t>刘小慧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</si>
  <si>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清泉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</si>
  <si>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</si>
  <si>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蒌</t>
    </r>
    <r>
      <rPr>
        <sz val="11"/>
        <color theme="1"/>
        <rFont val="ＭＳ Ｐゴシック"/>
        <family val="3"/>
        <charset val="128"/>
        <scheme val="minor"/>
      </rPr>
      <t>呱呱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</si>
  <si>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凌稷秦种植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</si>
  <si>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米酒; 白酒; 果酒; 高粱酒</t>
    </r>
  </si>
  <si>
    <t>乾印州象</t>
  </si>
  <si>
    <r>
      <t>乾州印象（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</si>
  <si>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</si>
  <si>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昊群琦泉</t>
  </si>
  <si>
    <r>
      <t>安徽昊群商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</si>
  <si>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白酒; 果酒（含酒精）; 威士忌; 黄酒; 含酒精的气泡水;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</si>
  <si>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笃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</si>
  <si>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果酒（含酒精）; 高粱酒; 白干酒（中国白酒）; 米酒;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</si>
  <si>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守源</t>
  </si>
  <si>
    <r>
      <t>胡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</si>
  <si>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</t>
    </r>
  </si>
  <si>
    <r>
      <t>造山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</si>
  <si>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黄楸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</si>
  <si>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</si>
  <si>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鑫欧李</t>
  </si>
  <si>
    <r>
      <t>思行者（北京）教育文化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</si>
  <si>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青稞酒</t>
    </r>
  </si>
  <si>
    <t>米富桂</t>
  </si>
  <si>
    <r>
      <t>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</si>
  <si>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 xml:space="preserve">开胃酒; 威士忌;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</si>
  <si>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WU ZA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</si>
  <si>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沙市伍座餐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</si>
  <si>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</si>
  <si>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西凉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</si>
  <si>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仙（深圳）餐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</si>
  <si>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食用酒精;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</t>
    </r>
  </si>
  <si>
    <t>隋州</t>
  </si>
  <si>
    <r>
      <t>包忠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</si>
  <si>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白酒; 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</si>
  <si>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t>三魁台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</si>
  <si>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州三魁台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</si>
  <si>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米酒;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烈性干酒; 果酒</t>
    </r>
  </si>
  <si>
    <r>
      <t>山谷茄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</si>
  <si>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露酒;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</si>
  <si>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孔府家</t>
    </r>
    <r>
      <rPr>
        <sz val="11"/>
        <color theme="1"/>
        <rFont val="ＭＳ Ｐゴシック"/>
        <family val="3"/>
        <charset val="134"/>
        <scheme val="minor"/>
      </rPr>
      <t>论语</t>
    </r>
  </si>
  <si>
    <r>
      <t>曲阜孔府家酒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</si>
  <si>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</si>
  <si>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王家三和春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</si>
  <si>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王启洪酒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</si>
  <si>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</si>
  <si>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</si>
  <si>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>九江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</si>
  <si>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</si>
  <si>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挚</t>
    </r>
  </si>
  <si>
    <r>
      <t>果酒;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</si>
  <si>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峡谷先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</si>
  <si>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市古荣台酒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</si>
  <si>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</si>
  <si>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拉曼布</t>
    </r>
  </si>
  <si>
    <t>陈欢</t>
  </si>
  <si>
    <r>
      <t>薄荷酒;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蜂蜜酒; 米酒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</si>
  <si>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飙</t>
    </r>
  </si>
  <si>
    <r>
      <t>白酒; 烈酒;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米酒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</si>
  <si>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</si>
  <si>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昌市魏都区茗跟百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</si>
  <si>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</si>
  <si>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亣</t>
    </r>
    <r>
      <rPr>
        <sz val="11"/>
        <color theme="1"/>
        <rFont val="ＭＳ Ｐゴシック"/>
        <family val="3"/>
        <charset val="128"/>
        <scheme val="minor"/>
      </rPr>
      <t>厈</t>
    </r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</si>
  <si>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妙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</si>
  <si>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开胃酒; 葡萄酒; 蒸煮提取物（利口酒和烈酒）</t>
    </r>
  </si>
  <si>
    <t>珏梦魂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</si>
  <si>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</si>
  <si>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顺兰</t>
    </r>
  </si>
  <si>
    <r>
      <t xml:space="preserve">果酒（含酒精）; 开胃酒; 伏特加酒; 葡萄酒;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</si>
  <si>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曲大</t>
    </r>
    <r>
      <rPr>
        <sz val="11"/>
        <color theme="1"/>
        <rFont val="ＭＳ Ｐゴシック"/>
        <family val="3"/>
        <charset val="134"/>
        <scheme val="minor"/>
      </rPr>
      <t>仓</t>
    </r>
  </si>
  <si>
    <t>李玉欣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</si>
  <si>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</si>
  <si>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圣酩主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</si>
  <si>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开胃酒;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</t>
    </r>
  </si>
  <si>
    <t>杞燕妃</t>
  </si>
  <si>
    <r>
      <t>养真元健康管理（广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</si>
  <si>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梅酒; 利口酒; 开胃酒; 葡萄酒; 米酒;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五加皮酒（中国混合烈酒）</t>
    </r>
  </si>
  <si>
    <t>妍制山</t>
  </si>
  <si>
    <t>岳瑜妮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</si>
  <si>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葡萄酒; 白酒;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</si>
  <si>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斯之邑</t>
    </r>
  </si>
  <si>
    <r>
      <t>湖南省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</si>
  <si>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</si>
  <si>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鼎盛魁</t>
  </si>
  <si>
    <r>
      <t>荆</t>
    </r>
    <r>
      <rPr>
        <sz val="11"/>
        <color theme="1"/>
        <rFont val="ＭＳ Ｐゴシック"/>
        <family val="3"/>
        <charset val="128"/>
        <scheme val="minor"/>
      </rPr>
      <t>州市景天商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</si>
  <si>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</si>
  <si>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同源</t>
    </r>
  </si>
  <si>
    <r>
      <t>温州市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春和堂食品有限公司</t>
    </r>
  </si>
  <si>
    <r>
      <t>清酒;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</si>
  <si>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适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</si>
  <si>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特殊沃利餐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</si>
  <si>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</t>
    </r>
  </si>
  <si>
    <t>中永天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</si>
  <si>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市洪福通商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</si>
  <si>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青稞酒;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</si>
  <si>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石朗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</si>
  <si>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</si>
  <si>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</si>
  <si>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景阳福运</t>
  </si>
  <si>
    <r>
      <t>张</t>
    </r>
    <r>
      <rPr>
        <sz val="11"/>
        <color theme="1"/>
        <rFont val="ＭＳ Ｐゴシック"/>
        <family val="3"/>
        <charset val="128"/>
        <scheme val="minor"/>
      </rPr>
      <t>启亮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</si>
  <si>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</si>
  <si>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</si>
  <si>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白酒; 米酒; 草莓酒;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</si>
  <si>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孔典</t>
  </si>
  <si>
    <r>
      <t>骆</t>
    </r>
    <r>
      <rPr>
        <sz val="11"/>
        <color theme="1"/>
        <rFont val="ＭＳ Ｐゴシック"/>
        <family val="3"/>
        <charset val="128"/>
        <scheme val="minor"/>
      </rPr>
      <t>科礼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</si>
  <si>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</si>
  <si>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r>
      <t>红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</si>
  <si>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</si>
  <si>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</si>
  <si>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喔三餐</t>
  </si>
  <si>
    <t>王宇晨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</si>
  <si>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梅酒; 果酒（含酒精）; 葡萄酒; 清酒（日本米酒）; 米酒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</si>
  <si>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本酒</t>
    </r>
  </si>
  <si>
    <r>
      <t>深圳市源派包装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</si>
  <si>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</si>
  <si>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湖北鄂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</si>
  <si>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茴芹酒（利口酒）;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甜酒</t>
    </r>
  </si>
  <si>
    <r>
      <t>洪玥佳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</si>
  <si>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焱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</si>
  <si>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威士忌; 米酒; 清酒</t>
    </r>
  </si>
  <si>
    <t>洪老二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</si>
  <si>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威士忌; 米酒;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</t>
    </r>
  </si>
  <si>
    <t>粤佳人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</si>
  <si>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利宝房地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</si>
  <si>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白干酒（中国白酒）;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青稞酒;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</si>
  <si>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村上青山</t>
  </si>
  <si>
    <r>
      <t>商城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淘源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</si>
  <si>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白干酒（中国白酒）; 米酒; 果酒（含酒精）</t>
    </r>
  </si>
  <si>
    <r>
      <t xml:space="preserve">CHARLIE DUFFEL 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理杜夫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</si>
  <si>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</si>
  <si>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有酷</t>
  </si>
  <si>
    <r>
      <t>深圳市小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</si>
  <si>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利口酒; 起泡白葡萄酒; 汽酒;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葡萄酒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</si>
  <si>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</si>
  <si>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</si>
  <si>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葡萄酒; 清酒（日本米酒）; 米酒; 威士忌; 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</si>
  <si>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丰徳</t>
    </r>
  </si>
  <si>
    <r>
      <t>平原印象文化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</si>
  <si>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米酒; 利口酒; 果酒（含酒精）</t>
    </r>
  </si>
  <si>
    <t>JAMINE BLOSSOM</t>
  </si>
  <si>
    <r>
      <t>上海芮意森化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</si>
  <si>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米酒;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</t>
    </r>
  </si>
  <si>
    <t>CHUJOY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</si>
  <si>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初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</si>
  <si>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白酒;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</si>
  <si>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沅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</si>
  <si>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生沅餐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</si>
  <si>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</si>
  <si>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荣得鹿</t>
  </si>
  <si>
    <t>王荣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</si>
  <si>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</si>
  <si>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攀</t>
    </r>
  </si>
  <si>
    <r>
      <t>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</si>
  <si>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井奈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</si>
  <si>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威士忌; 果酒（含酒精）;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</si>
  <si>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恒樾堂</t>
  </si>
  <si>
    <r>
      <t>管清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</si>
  <si>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</si>
  <si>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上品鹿</t>
  </si>
  <si>
    <t>姜雪丹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</si>
  <si>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</si>
  <si>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驮</t>
    </r>
    <r>
      <rPr>
        <sz val="11"/>
        <color theme="1"/>
        <rFont val="ＭＳ Ｐゴシック"/>
        <family val="3"/>
        <charset val="128"/>
        <scheme val="minor"/>
      </rPr>
      <t>背儿</t>
    </r>
  </si>
  <si>
    <r>
      <t>四川亨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</si>
  <si>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利口酒</t>
    </r>
  </si>
  <si>
    <r>
      <t>威利</t>
    </r>
    <r>
      <rPr>
        <sz val="11"/>
        <color theme="1"/>
        <rFont val="ＭＳ Ｐゴシック"/>
        <family val="3"/>
        <charset val="134"/>
        <scheme val="minor"/>
      </rPr>
      <t>亚</t>
    </r>
  </si>
  <si>
    <t>聊城市西珍食品有限公司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</si>
  <si>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米酒;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</si>
  <si>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川泥香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</si>
  <si>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香源酒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</si>
  <si>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白酒; 米酒; 青稞酒; 薄荷酒;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</si>
  <si>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TERRON</t>
  </si>
  <si>
    <r>
      <t>何塞·丹尼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·梅德拉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·戈麦斯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</si>
  <si>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</si>
  <si>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言迎</t>
  </si>
  <si>
    <r>
      <t>南宁市西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塘区沈幼楚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</si>
  <si>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米酒; 黄酒;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</si>
  <si>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犴哥</t>
  </si>
  <si>
    <r>
      <t>北京同励健康科技集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</si>
  <si>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</si>
  <si>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智念云康</t>
  </si>
  <si>
    <r>
      <t>上海智念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</si>
  <si>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</si>
  <si>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星瑞元</t>
  </si>
  <si>
    <r>
      <t>淮南</t>
    </r>
    <r>
      <rPr>
        <sz val="11"/>
        <color theme="1"/>
        <rFont val="ＭＳ Ｐゴシック"/>
        <family val="3"/>
        <charset val="134"/>
        <scheme val="minor"/>
      </rPr>
      <t>顺举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</si>
  <si>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青稞酒; 威士忌; 开胃酒; 高粱酒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</si>
  <si>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奴仕</t>
    </r>
  </si>
  <si>
    <r>
      <t>百特酒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</si>
  <si>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</si>
  <si>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古珍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</si>
  <si>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</si>
  <si>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追旺</t>
  </si>
  <si>
    <t>王忠成******************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</si>
  <si>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食用酒精;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</si>
  <si>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韵雨</t>
    </r>
  </si>
  <si>
    <r>
      <t>李成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</si>
  <si>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果酒; 草莓酒; 苹果酒;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白酒; 干型苹果酒; 高粱酒; 甜酒</t>
    </r>
  </si>
  <si>
    <r>
      <t>愈福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</si>
  <si>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渤海国瑞健康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</si>
  <si>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开胃酒</t>
    </r>
  </si>
  <si>
    <r>
      <t>鹅凤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</si>
  <si>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茂名市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白区琅江自来水有限公司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</si>
  <si>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葡萄汽酒;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日本梅子酒</t>
    </r>
  </si>
  <si>
    <r>
      <t>黄山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未来企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</si>
  <si>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清酒; 果酒（含酒精）; 汽酒; 米酒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</si>
  <si>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上老老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</si>
  <si>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米酒; 果酒</t>
    </r>
  </si>
  <si>
    <r>
      <t>衡崇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</si>
  <si>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市洪山区凡方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坊百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</si>
  <si>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威士忌; 米酒; 果酒; 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</si>
  <si>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旋天邑</t>
    </r>
  </si>
  <si>
    <r>
      <t>伏特加酒;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米酒</t>
    </r>
  </si>
  <si>
    <t>乾坤璋</t>
  </si>
  <si>
    <r>
      <t>深圳市元豆商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</si>
  <si>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</si>
  <si>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仑词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</si>
  <si>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市洪山区容桑扶康百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</si>
  <si>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</si>
  <si>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大嘴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</si>
  <si>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广西鼎</t>
    </r>
    <r>
      <rPr>
        <sz val="11"/>
        <color theme="1"/>
        <rFont val="ＭＳ Ｐゴシック"/>
        <family val="3"/>
        <charset val="134"/>
        <scheme val="minor"/>
      </rPr>
      <t>吖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</si>
  <si>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清酒; 青梅酒; 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</si>
  <si>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记树发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</si>
  <si>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树发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</si>
  <si>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蜂蜜酒;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</si>
  <si>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堂</t>
    </r>
  </si>
  <si>
    <t>肖洪</t>
  </si>
  <si>
    <r>
      <t>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果酒</t>
    </r>
  </si>
  <si>
    <t>蚝人甲</t>
  </si>
  <si>
    <r>
      <t>利口酒;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</si>
  <si>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白圣山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</si>
  <si>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春金杯酒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</si>
  <si>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</si>
  <si>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斤</t>
    </r>
    <r>
      <rPr>
        <sz val="11"/>
        <color theme="1"/>
        <rFont val="ＭＳ Ｐゴシック"/>
        <family val="3"/>
        <charset val="134"/>
        <scheme val="minor"/>
      </rPr>
      <t>缘</t>
    </r>
  </si>
  <si>
    <t>金尤海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</si>
  <si>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食用酒精;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米酒</t>
    </r>
  </si>
  <si>
    <t>仙次元</t>
  </si>
  <si>
    <r>
      <t>赵</t>
    </r>
    <r>
      <rPr>
        <sz val="11"/>
        <color theme="1"/>
        <rFont val="ＭＳ Ｐゴシック"/>
        <family val="3"/>
        <charset val="128"/>
        <scheme val="minor"/>
      </rPr>
      <t>江峰</t>
    </r>
  </si>
  <si>
    <r>
      <t>米酒;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食用酒精; 果酒;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</si>
  <si>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唱丰年</t>
  </si>
  <si>
    <r>
      <t>章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</si>
  <si>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白酒;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草莓酒;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蜂蜜酒; 高粱酒</t>
    </r>
  </si>
  <si>
    <t>蕞牛</t>
  </si>
  <si>
    <r>
      <t>亳州市大稻粮酒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</si>
  <si>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</si>
  <si>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庄大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</si>
  <si>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</si>
  <si>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葡萄酒; 蜂蜜酒; 黄酒; 白酒; 汽酒; 米酒</t>
    </r>
  </si>
  <si>
    <r>
      <t>羿</t>
    </r>
    <r>
      <rPr>
        <sz val="11"/>
        <color theme="1"/>
        <rFont val="ＭＳ Ｐゴシック"/>
        <family val="3"/>
        <charset val="134"/>
        <scheme val="minor"/>
      </rPr>
      <t>伟龙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</si>
  <si>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羿</t>
    </r>
    <r>
      <rPr>
        <sz val="11"/>
        <color theme="1"/>
        <rFont val="ＭＳ Ｐゴシック"/>
        <family val="3"/>
        <charset val="134"/>
        <scheme val="minor"/>
      </rPr>
      <t>伟龙</t>
    </r>
    <r>
      <rPr>
        <sz val="11"/>
        <color theme="1"/>
        <rFont val="ＭＳ Ｐゴシック"/>
        <family val="3"/>
        <charset val="128"/>
        <scheme val="minor"/>
      </rPr>
      <t>祥（河南）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</si>
  <si>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</si>
  <si>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元小回</t>
  </si>
  <si>
    <r>
      <t>株洲万昌隆酒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</si>
  <si>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</si>
  <si>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t>宜古仙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</si>
  <si>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市叙典坊酒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</si>
  <si>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白酒; 食用酒精;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</si>
  <si>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樊太公</t>
  </si>
  <si>
    <r>
      <t>樊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</si>
  <si>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</si>
  <si>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</si>
  <si>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芝香酒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</si>
  <si>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米酒;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</si>
  <si>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PINGSHAN FAITH</t>
  </si>
  <si>
    <r>
      <t>深圳市西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湖科教城投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</si>
  <si>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黄酒</t>
    </r>
  </si>
  <si>
    <t>壹人达悦</t>
  </si>
  <si>
    <t>四川欣九望科技有限公司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</si>
  <si>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</t>
    </r>
  </si>
  <si>
    <t>至宝集老号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</si>
  <si>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阿借山堂健康管理有限公司</t>
    </r>
  </si>
  <si>
    <r>
      <t>葡萄酒; 米酒; 利口酒;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果酒</t>
    </r>
  </si>
  <si>
    <t>樾舒堂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</si>
  <si>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</si>
  <si>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沅樽泉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</si>
  <si>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</si>
  <si>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餐海餐</t>
    </r>
    <r>
      <rPr>
        <sz val="11"/>
        <color theme="1"/>
        <rFont val="ＭＳ Ｐゴシック"/>
        <family val="3"/>
        <charset val="134"/>
        <scheme val="minor"/>
      </rPr>
      <t>调</t>
    </r>
  </si>
  <si>
    <t>四川餐海生物科技有限公司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</si>
  <si>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白酒;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</si>
  <si>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DECTLAND</t>
  </si>
  <si>
    <r>
      <t>上海饕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</si>
  <si>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含酒精的气泡水;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威士忌; 餐后酒（利口酒和烈酒）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</si>
  <si>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</si>
  <si>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袁国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</si>
  <si>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葡萄酒; 米酒; 苹果酒;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</si>
  <si>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</si>
  <si>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霖樾堂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</si>
  <si>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</si>
  <si>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古珍和美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</si>
  <si>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蒸煮提取物（利口酒和烈酒）; 食用酒精; 葡萄酒; 果酒（含酒精）; 米酒; 白酒</t>
    </r>
  </si>
  <si>
    <r>
      <t>薏芝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</si>
  <si>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彭天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</si>
  <si>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 xml:space="preserve">清酒（日本米酒）;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米酒; 黄酒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</si>
  <si>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嵘</t>
    </r>
  </si>
  <si>
    <r>
      <t>太原鑫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</si>
  <si>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甜酒; 黄酒; 米酒; 白酒;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</si>
  <si>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水本美</t>
  </si>
  <si>
    <t>翟其宇</t>
  </si>
  <si>
    <r>
      <t xml:space="preserve">果酒; 甜酒; 葡萄酒; 食用酒精; 白酒; 米酒;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</si>
  <si>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恩波格</t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</si>
  <si>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食用酒精; 白酒</t>
    </r>
  </si>
  <si>
    <r>
      <t>姬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</si>
  <si>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烟台香舍里商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</si>
  <si>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餐后酒（利口酒和烈酒）; 威士忌</t>
    </r>
  </si>
  <si>
    <t>滴粮黄金叶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</si>
  <si>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</si>
  <si>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烈酒;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食用酒精; 蒸煮提取物（利口酒和烈酒）; 烈性干酒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</si>
  <si>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营</t>
    </r>
  </si>
  <si>
    <t>胥丁香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</si>
  <si>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葡萄酒; 清酒（日本米酒）; 黄酒</t>
    </r>
  </si>
  <si>
    <r>
      <t>矿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</si>
  <si>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佳佳</t>
    </r>
  </si>
  <si>
    <r>
      <t xml:space="preserve">清酒; 黄酒; 果酒;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食用酒精; 米酒</t>
    </r>
  </si>
  <si>
    <t>好刻</t>
  </si>
  <si>
    <t>崔玎</t>
  </si>
  <si>
    <r>
      <t xml:space="preserve">果酒; 甜酒; 米酒; 清酒; 白酒; 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</si>
  <si>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送酒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</si>
  <si>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</si>
  <si>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</si>
  <si>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律</t>
    </r>
    <r>
      <rPr>
        <sz val="11"/>
        <color theme="1"/>
        <rFont val="ＭＳ Ｐゴシック"/>
        <family val="3"/>
        <charset val="134"/>
        <scheme val="minor"/>
      </rPr>
      <t>见</t>
    </r>
  </si>
  <si>
    <t>杭州康生园生命科技有限公司</t>
  </si>
  <si>
    <r>
      <t>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</si>
  <si>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不晚</t>
    </r>
  </si>
  <si>
    <t>熊宏云</t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</si>
  <si>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薄荷酒</t>
    </r>
  </si>
  <si>
    <t>金色童年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</si>
  <si>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市乾升酒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</si>
  <si>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</si>
  <si>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心光聚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</si>
  <si>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玉逍</t>
    </r>
  </si>
  <si>
    <r>
      <t>葡萄酒; 白酒;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</si>
  <si>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西奔</t>
  </si>
  <si>
    <r>
      <t>威士忌; 黄酒; 白酒; 烈酒;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</si>
  <si>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千程</t>
    </r>
  </si>
  <si>
    <t>黄克付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</si>
  <si>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甜酒; 黄酒; 梅酒; 威士忌;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</si>
  <si>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池水靖</t>
    </r>
  </si>
  <si>
    <t>徐关建</t>
  </si>
  <si>
    <r>
      <t>伏特加酒; 烈酒; 白酒; 威士忌; 黄酒; 高粱酒; 朗姆酒;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</si>
  <si>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洛威陶瓷有限公司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</si>
  <si>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</si>
  <si>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却却居</t>
  </si>
  <si>
    <t>唐俊成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</si>
  <si>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果酒（含酒精）; 葡萄酒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</si>
  <si>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虎星火</t>
    </r>
  </si>
  <si>
    <r>
      <t>内蒙古牧羊春餐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</si>
  <si>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伏特加酒;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</si>
  <si>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南香.南</t>
  </si>
  <si>
    <r>
      <t>罗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</si>
  <si>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</si>
  <si>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碧恬湾</t>
  </si>
  <si>
    <t>袁旭媛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</si>
  <si>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</si>
  <si>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月中人</t>
  </si>
  <si>
    <t>李洪占</t>
  </si>
  <si>
    <r>
      <t>露酒;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黄酒; 米酒; 果酒（含酒精）; 梅酒; 白酒</t>
    </r>
  </si>
  <si>
    <r>
      <t>琼师</t>
    </r>
    <r>
      <rPr>
        <sz val="11"/>
        <color theme="1"/>
        <rFont val="ＭＳ Ｐゴシック"/>
        <family val="3"/>
        <charset val="128"/>
        <scheme val="minor"/>
      </rPr>
      <t>傅</t>
    </r>
  </si>
  <si>
    <t>宋加文</t>
  </si>
  <si>
    <r>
      <t xml:space="preserve">黄酒; 食用酒精;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</si>
  <si>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万抹</t>
  </si>
  <si>
    <r>
      <t>浙江万抹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</si>
  <si>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</si>
  <si>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益果花</t>
    </r>
    <r>
      <rPr>
        <sz val="11"/>
        <color theme="1"/>
        <rFont val="ＭＳ Ｐゴシック"/>
        <family val="3"/>
        <charset val="134"/>
        <scheme val="minor"/>
      </rPr>
      <t>语</t>
    </r>
  </si>
  <si>
    <t>石家庄果神蜜食品有限公司</t>
  </si>
  <si>
    <r>
      <t xml:space="preserve">米酒;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青稞酒;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</si>
  <si>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荡</t>
    </r>
    <r>
      <rPr>
        <sz val="11"/>
        <color theme="1"/>
        <rFont val="ＭＳ Ｐゴシック"/>
        <family val="3"/>
        <charset val="128"/>
        <scheme val="minor"/>
      </rPr>
      <t>酒天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</si>
  <si>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</si>
  <si>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薄荷酒; 米酒; 烈酒</t>
    </r>
  </si>
  <si>
    <t>稽越山</t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</si>
  <si>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</si>
  <si>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黄酒; 米酒; 果酒（含酒精）</t>
  </si>
  <si>
    <t>杜吟</t>
  </si>
  <si>
    <t>刘振</t>
  </si>
  <si>
    <r>
      <t xml:space="preserve">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</si>
  <si>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嚞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伯</t>
    </r>
  </si>
  <si>
    <r>
      <t>北京莱斯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克科技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</si>
  <si>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青稞酒; 黄酒</t>
    </r>
  </si>
  <si>
    <t>益果花雨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</si>
  <si>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白酒;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</si>
  <si>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小甜</t>
    </r>
  </si>
  <si>
    <t>李林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</si>
  <si>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黄酒;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</si>
  <si>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</si>
  <si>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姜峰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</si>
  <si>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露酒; 开胃酒; 果酒; 青稞酒</t>
    </r>
  </si>
  <si>
    <r>
      <t>亨利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</si>
  <si>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</si>
  <si>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</si>
  <si>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御池台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</si>
  <si>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</si>
  <si>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苹果酒;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</t>
    </r>
  </si>
  <si>
    <r>
      <t>双河六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</si>
  <si>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北京市（甘南）双河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</si>
  <si>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</si>
  <si>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亨利典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</si>
  <si>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</si>
  <si>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</si>
  <si>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上海多拉克网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</si>
  <si>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利口酒;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葡萄酒; 清酒</t>
    </r>
  </si>
  <si>
    <t>亨利精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</si>
  <si>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</si>
  <si>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山城</t>
    </r>
    <r>
      <rPr>
        <sz val="11"/>
        <color theme="1"/>
        <rFont val="ＭＳ Ｐゴシック"/>
        <family val="3"/>
        <charset val="134"/>
        <scheme val="minor"/>
      </rPr>
      <t>赋</t>
    </r>
  </si>
  <si>
    <t>秦磊</t>
  </si>
  <si>
    <r>
      <t>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青稞酒; 白酒</t>
    </r>
  </si>
  <si>
    <t>吴小海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</si>
  <si>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威士忌;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伏特加酒</t>
    </r>
  </si>
  <si>
    <t>梅右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</si>
  <si>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探鹿网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</si>
  <si>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</t>
    </r>
  </si>
  <si>
    <r>
      <t>石堆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</si>
  <si>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蕊</t>
    </r>
  </si>
  <si>
    <r>
      <t xml:space="preserve">蜂蜜酒;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薄荷酒; 含酒精的气泡水;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</si>
  <si>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r>
      <t>葁</t>
    </r>
    <r>
      <rPr>
        <sz val="11"/>
        <color theme="1"/>
        <rFont val="ＭＳ Ｐゴシック"/>
        <family val="3"/>
        <charset val="128"/>
        <scheme val="minor"/>
      </rPr>
      <t>依夏</t>
    </r>
  </si>
  <si>
    <r>
      <t>毛秀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</si>
  <si>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米酒; 白酒; 蜂蜜酒; 葡萄酒; 黄酒; 烈酒; 果酒; 甜酒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</si>
  <si>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拉歌慕 TYNAROMY</t>
    </r>
  </si>
  <si>
    <t>王安宝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</si>
  <si>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黄酒; 果酒（含酒精）</t>
    </r>
  </si>
  <si>
    <r>
      <t>愚城</t>
    </r>
    <r>
      <rPr>
        <sz val="11"/>
        <color theme="1"/>
        <rFont val="ＭＳ Ｐゴシック"/>
        <family val="3"/>
        <charset val="134"/>
        <scheme val="minor"/>
      </rPr>
      <t>酿</t>
    </r>
  </si>
  <si>
    <t>李倩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</si>
  <si>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</si>
  <si>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紫地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</si>
  <si>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河恒盛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</si>
  <si>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佐餐酒;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</si>
  <si>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t>嘉曦</t>
  </si>
  <si>
    <r>
      <t>上海启点文化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</si>
  <si>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青稞酒;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梨酒; 蜂蜜酒; 白酒</t>
    </r>
  </si>
  <si>
    <t>露曦</t>
  </si>
  <si>
    <r>
      <t>葡萄酒; 果酒（含酒精）; 黄酒; 开胃酒; 梨酒; 白酒; 米酒; 青稞酒;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</si>
  <si>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筱山堂</t>
  </si>
  <si>
    <r>
      <t>河南旭杉网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</si>
  <si>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含酒精的气泡水; 黄酒; 果酒（含酒精）; 米酒; 白酒; 青稞酒; 薄荷酒</t>
    </r>
  </si>
  <si>
    <r>
      <t>拟岘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</si>
  <si>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江西五更天商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</si>
  <si>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</si>
  <si>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茶敞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</si>
  <si>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茶敞品牌管理有限公司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</si>
  <si>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水果汽酒; 米酒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</si>
  <si>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滋妙</t>
    </r>
  </si>
  <si>
    <r>
      <t>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果酒; 蜂蜜酒;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</si>
  <si>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逸韵星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</si>
  <si>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王大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</si>
  <si>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开胃酒;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</si>
  <si>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承中</t>
    </r>
  </si>
  <si>
    <r>
      <t>佛山市恒泰久源商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</si>
  <si>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</si>
  <si>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好食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</si>
  <si>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好食餐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</si>
  <si>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</si>
  <si>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</si>
  <si>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宁波形而上品牌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</si>
  <si>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</si>
  <si>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酒</t>
    </r>
    <r>
      <rPr>
        <sz val="11"/>
        <color theme="1"/>
        <rFont val="ＭＳ Ｐゴシック"/>
        <family val="3"/>
        <charset val="129"/>
        <scheme val="minor"/>
      </rPr>
      <t>姬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</si>
  <si>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>刘尼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</si>
  <si>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烈酒;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麦芽威士忌; 白酒; 混合威士忌酒; 起泡白葡萄酒; 葡萄汽酒</t>
    </r>
  </si>
  <si>
    <r>
      <t>砼刚</t>
    </r>
    <r>
      <rPr>
        <sz val="11"/>
        <color theme="1"/>
        <rFont val="ＭＳ Ｐゴシック"/>
        <family val="3"/>
        <charset val="128"/>
        <scheme val="minor"/>
      </rPr>
      <t>功苦</t>
    </r>
  </si>
  <si>
    <t>吴迪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</si>
  <si>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米酒; 食用酒精</t>
    </r>
  </si>
  <si>
    <t>融百家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</si>
  <si>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宾滨</t>
    </r>
    <r>
      <rPr>
        <sz val="11"/>
        <color theme="1"/>
        <rFont val="ＭＳ Ｐゴシック"/>
        <family val="3"/>
        <charset val="128"/>
        <scheme val="minor"/>
      </rPr>
      <t>胡液酒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</si>
  <si>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</si>
  <si>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桔猫先生</t>
  </si>
  <si>
    <r>
      <t>苍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晨曦文具有限公司</t>
    </r>
  </si>
  <si>
    <r>
      <t>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含酒精的气泡水;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</si>
  <si>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田耕百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</si>
  <si>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南宁人美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珊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</si>
  <si>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佐餐酒;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</si>
  <si>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雍晞</t>
  </si>
  <si>
    <r>
      <t>烟台鼎珍商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</si>
  <si>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朗姆潘趣酒;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</si>
  <si>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玖海尊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</si>
  <si>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辅</t>
    </r>
    <r>
      <rPr>
        <sz val="11"/>
        <color theme="1"/>
        <rFont val="ＭＳ Ｐゴシック"/>
        <family val="3"/>
        <charset val="128"/>
        <scheme val="minor"/>
      </rPr>
      <t>源堂国医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</si>
  <si>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</si>
  <si>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TGWR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</si>
  <si>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岛车</t>
    </r>
    <r>
      <rPr>
        <sz val="11"/>
        <color theme="1"/>
        <rFont val="ＭＳ Ｐゴシック"/>
        <family val="3"/>
        <charset val="128"/>
        <scheme val="minor"/>
      </rPr>
      <t>友来汽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</si>
  <si>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</si>
  <si>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t>襾亗黔</t>
  </si>
  <si>
    <t>肖友正</t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</si>
  <si>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</si>
  <si>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燊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</si>
  <si>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坤控股集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</si>
  <si>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汽酒; 蜂蜜酒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</si>
  <si>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之梦梦情</t>
    </r>
  </si>
  <si>
    <t>朱若楠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</si>
  <si>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</si>
  <si>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粤山道</t>
  </si>
  <si>
    <r>
      <t>山道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</si>
  <si>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佐餐酒; 蜂蜜酒; 露酒;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</si>
  <si>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满闵</t>
    </r>
    <r>
      <rPr>
        <sz val="11"/>
        <color theme="1"/>
        <rFont val="ＭＳ Ｐゴシック"/>
        <family val="3"/>
        <charset val="128"/>
        <scheme val="minor"/>
      </rPr>
      <t>香</t>
    </r>
  </si>
  <si>
    <t>刘玉奎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</si>
  <si>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</si>
  <si>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</si>
  <si>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泽远电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</si>
  <si>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</si>
  <si>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迷佬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</si>
  <si>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蜂蜜酒</t>
    </r>
  </si>
  <si>
    <r>
      <t>DOMEIQI 都美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</si>
  <si>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浙江莱森易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</si>
  <si>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代州一</t>
    </r>
    <r>
      <rPr>
        <sz val="11"/>
        <color theme="1"/>
        <rFont val="ＭＳ Ｐゴシック"/>
        <family val="3"/>
        <charset val="134"/>
        <scheme val="minor"/>
      </rPr>
      <t>苇</t>
    </r>
  </si>
  <si>
    <r>
      <t>代</t>
    </r>
    <r>
      <rPr>
        <sz val="11"/>
        <color theme="1"/>
        <rFont val="ＭＳ Ｐゴシック"/>
        <family val="3"/>
        <charset val="134"/>
        <scheme val="minor"/>
      </rPr>
      <t>县义兴</t>
    </r>
    <r>
      <rPr>
        <sz val="11"/>
        <color theme="1"/>
        <rFont val="ＭＳ Ｐゴシック"/>
        <family val="3"/>
        <charset val="128"/>
        <scheme val="minor"/>
      </rPr>
      <t>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</si>
  <si>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利口酒</t>
    </r>
  </si>
  <si>
    <r>
      <t>巴蜀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</si>
  <si>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巴蜀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</si>
  <si>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白干酒（中国白酒）; 米酒; 甜果酒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</si>
  <si>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</si>
  <si>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果酒; 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</si>
  <si>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杯忘愁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</si>
  <si>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</si>
  <si>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r>
      <t>浊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</si>
  <si>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安康瑞鑫汽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</si>
  <si>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米酒; 果酒; 烈酒; 白干酒（中国白酒）; 白酒</t>
    </r>
  </si>
  <si>
    <t>越裕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</si>
  <si>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高粱酒; 黄酒</t>
    </r>
  </si>
  <si>
    <t>芳境染胭脂</t>
  </si>
  <si>
    <r>
      <t>泉州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至生活生物科技有限公司</t>
    </r>
  </si>
  <si>
    <r>
      <t>食用酒精; 清酒（日本米酒）;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</si>
  <si>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平复堂</t>
  </si>
  <si>
    <r>
      <t>代曾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</si>
  <si>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黄酒; 米酒; 果酒; 甜酒; 汽酒; 白酒</t>
    </r>
  </si>
  <si>
    <t>E' Y TRIBE</t>
  </si>
  <si>
    <r>
      <t>三明知青部落生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</si>
  <si>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威士忌; 清酒;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</si>
  <si>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炬窖</t>
  </si>
  <si>
    <t>刘嘉欣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</si>
  <si>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</si>
  <si>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贺斓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</si>
  <si>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广西数科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</si>
  <si>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果酒（含酒精）; 烈酒; 黄酒; 葡萄酒</t>
    </r>
  </si>
  <si>
    <t>川御匠</t>
  </si>
  <si>
    <r>
      <t>杨</t>
    </r>
    <r>
      <rPr>
        <sz val="11"/>
        <color theme="1"/>
        <rFont val="ＭＳ Ｐゴシック"/>
        <family val="3"/>
        <charset val="128"/>
        <scheme val="minor"/>
      </rPr>
      <t>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</si>
  <si>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果酒（含酒精）;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</si>
  <si>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迎春不分</t>
  </si>
  <si>
    <r>
      <t>开原市象牙山陶春酒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</si>
  <si>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青稞酒;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梨酒</t>
    </r>
  </si>
  <si>
    <r>
      <t>赢丝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</si>
  <si>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区荣月百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</si>
  <si>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</si>
  <si>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迪彪</t>
  </si>
  <si>
    <r>
      <t>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</si>
  <si>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</si>
  <si>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</si>
  <si>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嵩山</t>
    </r>
    <r>
      <rPr>
        <sz val="11"/>
        <color theme="1"/>
        <rFont val="ＭＳ Ｐゴシック"/>
        <family val="3"/>
        <charset val="134"/>
        <scheme val="minor"/>
      </rPr>
      <t>头</t>
    </r>
  </si>
  <si>
    <t>王建启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</si>
  <si>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</si>
  <si>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四</t>
    </r>
    <r>
      <rPr>
        <sz val="11"/>
        <color theme="1"/>
        <rFont val="ＭＳ Ｐゴシック"/>
        <family val="3"/>
        <charset val="134"/>
        <scheme val="minor"/>
      </rPr>
      <t>驱</t>
    </r>
  </si>
  <si>
    <r>
      <t>胡雪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</si>
  <si>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蒸煮提取物（利口酒和烈酒）;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</si>
  <si>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尼斯堡</t>
    </r>
  </si>
  <si>
    <r>
      <t>临沧</t>
    </r>
    <r>
      <rPr>
        <sz val="11"/>
        <color theme="1"/>
        <rFont val="ＭＳ Ｐゴシック"/>
        <family val="3"/>
        <charset val="128"/>
        <scheme val="minor"/>
      </rPr>
      <t>云茶之邦茶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</si>
  <si>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</si>
  <si>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娄</t>
    </r>
  </si>
  <si>
    <r>
      <t>冯发</t>
    </r>
    <r>
      <rPr>
        <sz val="11"/>
        <color theme="1"/>
        <rFont val="ＭＳ Ｐゴシック"/>
        <family val="3"/>
        <charset val="128"/>
        <scheme val="minor"/>
      </rPr>
      <t>猛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</si>
  <si>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</si>
  <si>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象大至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</si>
  <si>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</si>
  <si>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</si>
  <si>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君不悔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</si>
  <si>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区隆界百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</si>
  <si>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</t>
    </r>
  </si>
  <si>
    <t>人之俊</t>
  </si>
  <si>
    <r>
      <t>悦安幸福里（海口）投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</si>
  <si>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松叶酒; 高粱酒; 米酒</t>
    </r>
  </si>
  <si>
    <t>壹芝敬君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</si>
  <si>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沂惠和堂生物科技有限公司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</si>
  <si>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</si>
  <si>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新溪雄次</t>
  </si>
  <si>
    <r>
      <t>陈</t>
    </r>
    <r>
      <rPr>
        <sz val="11"/>
        <color theme="1"/>
        <rFont val="ＭＳ Ｐゴシック"/>
        <family val="3"/>
        <charset val="128"/>
        <scheme val="minor"/>
      </rPr>
      <t>雄次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</si>
  <si>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青稞酒</t>
    </r>
  </si>
  <si>
    <t>AU GLEN ERIN</t>
  </si>
  <si>
    <r>
      <t>商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</si>
  <si>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</si>
  <si>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屯子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</si>
  <si>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</si>
  <si>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高粱酒; 蒸煮提取物（利口酒和烈酒）;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</t>
    </r>
  </si>
  <si>
    <r>
      <t>拾伍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</si>
  <si>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成都果之王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</si>
  <si>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苹果酒; 葡萄酒; 烈酒</t>
    </r>
  </si>
  <si>
    <r>
      <t>西安神秘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象服装有限公司</t>
    </r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</si>
  <si>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葡萄酒; 清酒（日本米酒）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</si>
  <si>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之梦梦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</si>
  <si>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米酒; 威士忌;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</si>
  <si>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古月深巷</t>
  </si>
  <si>
    <r>
      <t>胡延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</si>
  <si>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</si>
  <si>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八爵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</si>
  <si>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鲜农</t>
    </r>
    <r>
      <rPr>
        <sz val="11"/>
        <color theme="1"/>
        <rFont val="ＭＳ Ｐゴシック"/>
        <family val="3"/>
        <charset val="128"/>
        <scheme val="minor"/>
      </rPr>
      <t>哥食品有限公司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</si>
  <si>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蜂蜜酒; 葡萄酒; 果酒（含酒精）; 白酒</t>
    </r>
  </si>
  <si>
    <t>泸宽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</si>
  <si>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龙马</t>
    </r>
    <r>
      <rPr>
        <sz val="11"/>
        <color theme="1"/>
        <rFont val="ＭＳ Ｐゴシック"/>
        <family val="3"/>
        <charset val="128"/>
        <scheme val="minor"/>
      </rPr>
      <t>潭区凡品酒水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</si>
  <si>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青梅酒; 梨酒; 高粱酒; 露酒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</si>
  <si>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</si>
  <si>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果酒; 蜂蜜酒;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</si>
  <si>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万穗朝</t>
  </si>
  <si>
    <r>
      <t>刘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</si>
  <si>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</si>
  <si>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沁心如意</t>
  </si>
  <si>
    <r>
      <t>南阳宝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天成食品有限公司</t>
    </r>
  </si>
  <si>
    <r>
      <t>米酒;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甜果酒;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</si>
  <si>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舞岭南文化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</si>
  <si>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白酒;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</si>
  <si>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沙漠曲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</si>
  <si>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喜得（北京）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</si>
  <si>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薄荷酒; 黄酒</t>
    </r>
  </si>
  <si>
    <r>
      <t>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</si>
  <si>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南通布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格建筑安装工程有限公司</t>
    </r>
  </si>
  <si>
    <r>
      <t>米酒; 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</si>
  <si>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添</t>
    </r>
  </si>
  <si>
    <r>
      <t>石家庄无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添食品有限公司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</si>
  <si>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伏特加酒; 清酒（日本米酒）;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</si>
  <si>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褐多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</si>
  <si>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忠平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</si>
  <si>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</si>
  <si>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KARKU</t>
  </si>
  <si>
    <r>
      <t>北京洲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好年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</si>
  <si>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</si>
  <si>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晟川泉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</si>
  <si>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</si>
  <si>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铪创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</si>
  <si>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</t>
    </r>
  </si>
  <si>
    <t>蜀著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</si>
  <si>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</si>
  <si>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君不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</si>
  <si>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</si>
  <si>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渡小海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</si>
  <si>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存利******************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</si>
  <si>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青稞酒; 烈酒</t>
    </r>
  </si>
  <si>
    <t>君故人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</si>
  <si>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</si>
  <si>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九万虎</t>
  </si>
  <si>
    <r>
      <t>北京九万虎商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</si>
  <si>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</si>
  <si>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蜀不</t>
    </r>
    <r>
      <rPr>
        <sz val="11"/>
        <color theme="1"/>
        <rFont val="ＭＳ Ｐゴシック"/>
        <family val="3"/>
        <charset val="134"/>
        <scheme val="minor"/>
      </rPr>
      <t>让</t>
    </r>
  </si>
  <si>
    <t>李开瑞</t>
  </si>
  <si>
    <r>
      <t>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</si>
  <si>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泸远</t>
  </si>
  <si>
    <r>
      <t xml:space="preserve">黄酒; 高粱酒; 梨酒; 米酒; 食用酒精;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</si>
  <si>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涌</t>
    </r>
  </si>
  <si>
    <r>
      <t>山西晋裕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</si>
  <si>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果酒（含酒精）; 刺五加酒; 黄酒; 烈酒;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葡萄酒</t>
    </r>
  </si>
  <si>
    <t>茂林婆媳</t>
  </si>
  <si>
    <t>王淑娟</t>
  </si>
  <si>
    <r>
      <t>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</si>
  <si>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北京明白航天科技有限公司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</si>
  <si>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黄酒; 威士忌; 烈酒;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</si>
  <si>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</si>
  <si>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梅酒; 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</t>
    </r>
  </si>
  <si>
    <t>慢品十三月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</si>
  <si>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区家奇百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</si>
  <si>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</si>
  <si>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象大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</si>
  <si>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</si>
  <si>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越通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</si>
  <si>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</si>
  <si>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双紫</t>
  </si>
  <si>
    <r>
      <t>赵军</t>
    </r>
    <r>
      <rPr>
        <sz val="11"/>
        <color theme="1"/>
        <rFont val="ＭＳ Ｐゴシック"/>
        <family val="3"/>
        <charset val="128"/>
        <scheme val="minor"/>
      </rPr>
      <t>杰</t>
    </r>
  </si>
  <si>
    <t>果酒（含酒精）; 餐后酒（利口酒和烈酒）; 葡萄酒; 利口酒; 黄酒; 米酒; 威士忌; 白酒; 开胃酒; 蜂蜜酒</t>
  </si>
  <si>
    <r>
      <t>姬</t>
    </r>
    <r>
      <rPr>
        <sz val="11"/>
        <color theme="1"/>
        <rFont val="ＭＳ Ｐゴシック"/>
        <family val="3"/>
        <charset val="128"/>
        <scheme val="minor"/>
      </rPr>
      <t>我者</t>
    </r>
  </si>
  <si>
    <r>
      <t>加烈葡萄酒; 起泡白葡萄酒; 葡萄汽酒;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麦芽威士忌; 葡萄酒; 威士忌;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</si>
  <si>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脉泉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</si>
  <si>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祥泰奶吧管理有限公司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</si>
  <si>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葡萄酒; 米酒; 黄酒; 白酒; 青稞酒</t>
    </r>
  </si>
  <si>
    <t>吉春湖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</si>
  <si>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</si>
  <si>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窄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</si>
  <si>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甜酒; 高粱酒; 露酒; 梨酒;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</si>
  <si>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邻</t>
    </r>
  </si>
  <si>
    <t>黄海祥</t>
  </si>
  <si>
    <r>
      <t>果酒（含酒精）;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白酒;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</si>
  <si>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越瑞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</si>
  <si>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</si>
  <si>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山丹焰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</si>
  <si>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薄荷酒</t>
    </r>
  </si>
  <si>
    <r>
      <t>恺萨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</si>
  <si>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上海触达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</si>
  <si>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</si>
  <si>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雅韵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</si>
  <si>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井泉酒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</si>
  <si>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果酒（含酒精）; 高粱酒; 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</si>
  <si>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尚海酒叔</t>
  </si>
  <si>
    <r>
      <t>上海超会喝商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</si>
  <si>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果酒; 米酒; 蒸煮提取物（利口酒和烈酒）</t>
    </r>
  </si>
  <si>
    <t>很友味</t>
  </si>
  <si>
    <r>
      <t>晟客世（上海）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</si>
  <si>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</si>
  <si>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农业</t>
    </r>
    <r>
      <rPr>
        <sz val="11"/>
        <color theme="1"/>
        <rFont val="ＭＳ Ｐゴシック"/>
        <family val="3"/>
        <charset val="128"/>
        <scheme val="minor"/>
      </rPr>
      <t>公司法人防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道家食品有限公司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</si>
  <si>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露酒;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</si>
  <si>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府春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</si>
  <si>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</si>
  <si>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</si>
  <si>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怡力斯</t>
  </si>
  <si>
    <r>
      <t>四川怡力斯酒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</si>
  <si>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水果汽酒; 白酒; 甜酒; 高粱酒; 果酒（含酒精）;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</si>
  <si>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醉花意</t>
  </si>
  <si>
    <r>
      <t>伏特加酒; 葡萄酒; 白酒;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</si>
  <si>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三寰 DLSHG.C.L</t>
  </si>
  <si>
    <r>
      <t>三寰集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</si>
  <si>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高粱酒; 黄酒; 威士忌;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</si>
  <si>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秘叶健</t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</si>
  <si>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村假日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</si>
  <si>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</si>
  <si>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黍佬大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</si>
  <si>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天成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</si>
  <si>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</si>
  <si>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姬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之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</si>
  <si>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干型苹果酒;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甘蔗制烈酒; 阿蒙蒂拉多白葡萄酒;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果酒; 加烈葡萄酒; 白葡萄酒; 麦芽威士忌;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起泡...</t>
    </r>
  </si>
  <si>
    <r>
      <t>禾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堂茶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</si>
  <si>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和品茶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</si>
  <si>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</si>
  <si>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</si>
  <si>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阳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裕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</si>
  <si>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伏特加酒</t>
    </r>
  </si>
  <si>
    <t>象大至醇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</si>
  <si>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</t>
    </r>
  </si>
  <si>
    <r>
      <t>象大年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</si>
  <si>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</si>
  <si>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藏芷</t>
  </si>
  <si>
    <r>
      <t>天津梵婷化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</si>
  <si>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青稞酒; 白酒; 葡萄酒; 清酒（日本米酒）; 威士忌; 黄酒; 果酒（含酒精）; 开胃酒</t>
    </r>
  </si>
  <si>
    <t>天禄星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</si>
  <si>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市新会禄和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</si>
  <si>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露酒; 白干酒（中国白酒）;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柑香酒; 含酒精的气泡水; 梅酒;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</si>
  <si>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博</t>
    </r>
    <r>
      <rPr>
        <sz val="11"/>
        <color theme="1"/>
        <rFont val="ＭＳ Ｐゴシック"/>
        <family val="3"/>
        <charset val="129"/>
        <scheme val="minor"/>
      </rPr>
      <t>强</t>
    </r>
  </si>
  <si>
    <t>当周加</t>
  </si>
  <si>
    <r>
      <t xml:space="preserve">葡萄酒;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清酒; 黄酒; 甜酒</t>
    </r>
  </si>
  <si>
    <t>即叙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</si>
  <si>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</si>
  <si>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愈燃康力</t>
  </si>
  <si>
    <r>
      <t>农</t>
    </r>
    <r>
      <rPr>
        <sz val="11"/>
        <color theme="1"/>
        <rFont val="ＭＳ Ｐゴシック"/>
        <family val="3"/>
        <charset val="128"/>
        <scheme val="minor"/>
      </rPr>
      <t>高九谷（山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</si>
  <si>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</t>
    </r>
  </si>
  <si>
    <r>
      <t>妤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</si>
  <si>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温州妤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</si>
  <si>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高粱酒;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</si>
  <si>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CHEF LOONGAIR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</si>
  <si>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长龙</t>
    </r>
    <r>
      <rPr>
        <sz val="11"/>
        <color theme="1"/>
        <rFont val="ＭＳ Ｐゴシック"/>
        <family val="3"/>
        <charset val="128"/>
        <scheme val="minor"/>
      </rPr>
      <t>航空有限公司</t>
    </r>
  </si>
  <si>
    <r>
      <t xml:space="preserve">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白酒; 米酒;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</si>
  <si>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三禾火</t>
  </si>
  <si>
    <r>
      <t>宁夏冠群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</si>
  <si>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米酒</t>
  </si>
  <si>
    <r>
      <t>时</t>
    </r>
    <r>
      <rPr>
        <sz val="11"/>
        <color theme="1"/>
        <rFont val="ＭＳ Ｐゴシック"/>
        <family val="3"/>
        <charset val="128"/>
        <scheme val="minor"/>
      </rPr>
      <t>食云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</si>
  <si>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采麦科技有限公司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</si>
  <si>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</si>
  <si>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堂景雕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</si>
  <si>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河南泰鑫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能科技有限公司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</si>
  <si>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</si>
  <si>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拟爱</t>
    </r>
    <r>
      <rPr>
        <sz val="11"/>
        <color theme="1"/>
        <rFont val="ＭＳ Ｐゴシック"/>
        <family val="3"/>
        <charset val="128"/>
        <scheme val="minor"/>
      </rPr>
      <t>之神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</si>
  <si>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佐餐酒;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</si>
  <si>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语团</t>
  </si>
  <si>
    <t>霍元俊</t>
  </si>
  <si>
    <r>
      <t>伏特加酒;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</si>
  <si>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带桥</t>
    </r>
  </si>
  <si>
    <r>
      <t>三明市</t>
    </r>
    <r>
      <rPr>
        <sz val="11"/>
        <color theme="1"/>
        <rFont val="ＭＳ Ｐゴシック"/>
        <family val="3"/>
        <charset val="134"/>
        <scheme val="minor"/>
      </rPr>
      <t>华谊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</si>
  <si>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开胃酒;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</si>
  <si>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慕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</si>
  <si>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刘全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</si>
  <si>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黄酒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</si>
  <si>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</si>
  <si>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威士忌; 米酒; 果酒（含酒精）</t>
    </r>
  </si>
  <si>
    <t>果小熊</t>
  </si>
  <si>
    <r>
      <t>葡萄酒;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烈酒</t>
    </r>
  </si>
  <si>
    <r>
      <t>风华</t>
    </r>
    <r>
      <rPr>
        <sz val="11"/>
        <color theme="1"/>
        <rFont val="ＭＳ Ｐゴシック"/>
        <family val="3"/>
        <charset val="128"/>
        <scheme val="minor"/>
      </rPr>
      <t>宁大</t>
    </r>
  </si>
  <si>
    <t>北京博宏盛生物科技有限公司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</si>
  <si>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白干酒（中国白酒）;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</si>
  <si>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瑨之礼</t>
  </si>
  <si>
    <r>
      <t>山西瑨旺晟泰酒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</si>
  <si>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甜果酒; 白酒;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</si>
  <si>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昱醁</t>
  </si>
  <si>
    <r>
      <t>河南酉好信息技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</si>
  <si>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清酒;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</si>
  <si>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缙</t>
    </r>
    <r>
      <rPr>
        <sz val="11"/>
        <color theme="1"/>
        <rFont val="ＭＳ Ｐゴシック"/>
        <family val="3"/>
        <charset val="128"/>
        <scheme val="minor"/>
      </rPr>
      <t>小仙</t>
    </r>
  </si>
  <si>
    <t>浙江栗王食品有限公司</t>
  </si>
  <si>
    <r>
      <t>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</t>
    </r>
  </si>
  <si>
    <t>双首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</si>
  <si>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米酒; 黄酒; 开胃酒</t>
    </r>
  </si>
  <si>
    <r>
      <t>护</t>
    </r>
    <r>
      <rPr>
        <sz val="11"/>
        <color theme="1"/>
        <rFont val="ＭＳ Ｐゴシック"/>
        <family val="3"/>
        <charset val="128"/>
        <scheme val="minor"/>
      </rPr>
      <t>月心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</si>
  <si>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庆县亚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南特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</si>
  <si>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</si>
  <si>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刘敏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</si>
  <si>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</si>
  <si>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驰</t>
    </r>
    <r>
      <rPr>
        <sz val="11"/>
        <color theme="1"/>
        <rFont val="ＭＳ Ｐゴシック"/>
        <family val="3"/>
        <charset val="128"/>
        <scheme val="minor"/>
      </rPr>
      <t>走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</si>
  <si>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庆驰</t>
    </r>
    <r>
      <rPr>
        <sz val="11"/>
        <color theme="1"/>
        <rFont val="ＭＳ Ｐゴシック"/>
        <family val="3"/>
        <charset val="128"/>
        <scheme val="minor"/>
      </rPr>
      <t>走科技有限公司</t>
    </r>
  </si>
  <si>
    <r>
      <t>米酒; 白酒; 高粱酒;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</t>
    </r>
  </si>
  <si>
    <t>竹养堂</t>
  </si>
  <si>
    <r>
      <t>谭</t>
    </r>
    <r>
      <rPr>
        <sz val="11"/>
        <color theme="1"/>
        <rFont val="ＭＳ Ｐゴシック"/>
        <family val="3"/>
        <charset val="128"/>
        <scheme val="minor"/>
      </rPr>
      <t>清霞</t>
    </r>
  </si>
  <si>
    <r>
      <t>米酒; 果酒（含酒精）; 青梅酒; 梨酒;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</si>
  <si>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私厦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</si>
  <si>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</si>
  <si>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 xml:space="preserve">食用酒精;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</si>
  <si>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东门</t>
    </r>
    <r>
      <rPr>
        <sz val="11"/>
        <color theme="1"/>
        <rFont val="ＭＳ Ｐゴシック"/>
        <family val="3"/>
        <charset val="128"/>
        <scheme val="minor"/>
      </rPr>
      <t>坎百喜</t>
    </r>
  </si>
  <si>
    <r>
      <t>曹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</si>
  <si>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白酒; 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</si>
  <si>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供幸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</si>
  <si>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晓琼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</si>
  <si>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</si>
  <si>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汗</t>
    </r>
  </si>
  <si>
    <r>
      <t>伊宁市鼎旭商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</si>
  <si>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</si>
  <si>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</si>
  <si>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</si>
  <si>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人坊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</si>
  <si>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栗氏番茄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</si>
  <si>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清酒; 甜酒; 汽酒</t>
    </r>
  </si>
  <si>
    <t>友沃</t>
  </si>
  <si>
    <t>陈帅</t>
  </si>
  <si>
    <r>
      <t xml:space="preserve">葡萄酒; 米酒; 汽酒; 果酒; 食用酒精;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</si>
  <si>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r>
      <t>酒中工匠小高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</si>
  <si>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四川工匠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</si>
  <si>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葡萄酒; 果酒; 水果汽酒; 日本梅子酒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</si>
  <si>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享肴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</si>
  <si>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酸酒（低等葡萄酒）;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</si>
  <si>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甲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</si>
  <si>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</si>
  <si>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麖宝</t>
  </si>
  <si>
    <r>
      <t>北京一两酒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</si>
  <si>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薄荷酒; 白酒; 梨酒; 苹果酒; 露酒; 青稞酒; 米酒; 黄酒</t>
    </r>
  </si>
  <si>
    <t>乾清河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</si>
  <si>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开胃酒; 烈酒;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</si>
  <si>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</si>
  <si>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 xml:space="preserve">白酒;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</si>
  <si>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 xml:space="preserve">CELLOFILL </t>
    </r>
    <r>
      <rPr>
        <sz val="11"/>
        <color theme="1"/>
        <rFont val="ＭＳ Ｐゴシック"/>
        <family val="3"/>
        <charset val="134"/>
        <scheme val="minor"/>
      </rPr>
      <t>赛罗</t>
    </r>
    <r>
      <rPr>
        <sz val="11"/>
        <color theme="1"/>
        <rFont val="ＭＳ Ｐゴシック"/>
        <family val="3"/>
        <charset val="128"/>
        <scheme val="minor"/>
      </rPr>
      <t>菲</t>
    </r>
  </si>
  <si>
    <t>王春燕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</si>
  <si>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</si>
  <si>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</si>
  <si>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内蒙古酒</t>
    </r>
    <r>
      <rPr>
        <sz val="11"/>
        <color theme="1"/>
        <rFont val="ＭＳ Ｐゴシック"/>
        <family val="3"/>
        <charset val="134"/>
        <scheme val="minor"/>
      </rPr>
      <t>仓贸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</si>
  <si>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含酒精蛋奶酒;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</si>
  <si>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</si>
  <si>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葡萄酒;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</si>
  <si>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胥漫</t>
    </r>
  </si>
  <si>
    <r>
      <t>文山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</si>
  <si>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开胃酒; 蒸煮提取物（利口酒和烈酒）;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</si>
  <si>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鉴鸥</t>
    </r>
    <r>
      <rPr>
        <sz val="11"/>
        <color theme="1"/>
        <rFont val="ＭＳ Ｐゴシック"/>
        <family val="3"/>
        <charset val="128"/>
        <scheme val="minor"/>
      </rPr>
      <t>鵺</t>
    </r>
  </si>
  <si>
    <r>
      <t>伊尼</t>
    </r>
    <r>
      <rPr>
        <sz val="11"/>
        <color theme="1"/>
        <rFont val="ＭＳ Ｐゴシック"/>
        <family val="3"/>
        <charset val="134"/>
        <scheme val="minor"/>
      </rPr>
      <t>鸥</t>
    </r>
    <r>
      <rPr>
        <sz val="11"/>
        <color theme="1"/>
        <rFont val="ＭＳ Ｐゴシック"/>
        <family val="3"/>
        <charset val="128"/>
        <scheme val="minor"/>
      </rPr>
      <t>科技(惠州)有限公司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</si>
  <si>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白干酒（中国白酒）; 食用酒精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</si>
  <si>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</si>
  <si>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叙友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</si>
  <si>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露酒; 餐后酒（利口酒和烈酒）; 葡萄酒</t>
    </r>
  </si>
  <si>
    <t>甘泓</t>
  </si>
  <si>
    <r>
      <t xml:space="preserve">开胃酒;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葡萄酒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</si>
  <si>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慈</t>
    </r>
  </si>
  <si>
    <r>
      <t>刘彦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</si>
  <si>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</si>
  <si>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牛得火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</si>
  <si>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州牛得火商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</si>
  <si>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米酒; 蜂蜜酒; 利口酒;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</si>
  <si>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脉玉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</si>
  <si>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州朋阳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</si>
  <si>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利口酒; 开胃酒;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</si>
  <si>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</si>
  <si>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四川恒梓宸生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</si>
  <si>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果酒（含酒精）; 米酒; 开胃酒; 利口酒</t>
    </r>
  </si>
  <si>
    <t>上岸河州</t>
  </si>
  <si>
    <t>任春苗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</si>
  <si>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烈性干酒; 白干酒（中国白酒）;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</si>
  <si>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</si>
  <si>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黄酒;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</t>
    </r>
  </si>
  <si>
    <t>小青云台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</si>
  <si>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</si>
  <si>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</si>
  <si>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张丽龙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</si>
  <si>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葡萄酒; 米酒;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</si>
  <si>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</si>
  <si>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勇豪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</si>
  <si>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</si>
  <si>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蟠</t>
    </r>
    <r>
      <rPr>
        <sz val="11"/>
        <color theme="1"/>
        <rFont val="ＭＳ Ｐゴシック"/>
        <family val="3"/>
        <charset val="134"/>
        <scheme val="minor"/>
      </rPr>
      <t>龙跃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</si>
  <si>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</si>
  <si>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熹旺田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</si>
  <si>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北京市平谷区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隆老年公寓</t>
    </r>
  </si>
  <si>
    <t>利口酒; 米酒; 食用酒精; 薄荷酒; 餐后酒（利口酒和烈酒）; 葡萄酒; 苦味酒; 白酒; 黄酒; 果酒（含酒精）</t>
  </si>
  <si>
    <r>
      <t>拉威</t>
    </r>
    <r>
      <rPr>
        <sz val="11"/>
        <color theme="1"/>
        <rFont val="ＭＳ Ｐゴシック"/>
        <family val="3"/>
        <charset val="134"/>
        <scheme val="minor"/>
      </rPr>
      <t>乐骑</t>
    </r>
    <r>
      <rPr>
        <sz val="11"/>
        <color theme="1"/>
        <rFont val="ＭＳ Ｐゴシック"/>
        <family val="3"/>
        <charset val="128"/>
        <scheme val="minor"/>
      </rPr>
      <t>咖</t>
    </r>
  </si>
  <si>
    <r>
      <t>杭州全境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行文旅有限公司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</si>
  <si>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</si>
  <si>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褒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</si>
  <si>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</si>
  <si>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</si>
  <si>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檀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</si>
  <si>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</t>
    </r>
  </si>
  <si>
    <t>香山春</t>
  </si>
  <si>
    <t>曹广江</t>
  </si>
  <si>
    <r>
      <t>果酒（含酒精）;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烈酒; 葡萄酒;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</si>
  <si>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琅谷道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</si>
  <si>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城兄弟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</si>
  <si>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</si>
  <si>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阿香情</t>
  </si>
  <si>
    <t>安化平口富都商城</t>
  </si>
  <si>
    <r>
      <t>餐后酒（利口酒和烈酒）;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</si>
  <si>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帝王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</si>
  <si>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</si>
  <si>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府坤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</si>
  <si>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>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黄酒</t>
    </r>
  </si>
  <si>
    <t>云酌芳樽</t>
  </si>
  <si>
    <r>
      <t>上海云酌酒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</si>
  <si>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果酒; 白酒; 梅酒; 佐餐酒; 汽酒;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</si>
  <si>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吾言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</si>
  <si>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清酒（日本米酒）;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</t>
    </r>
  </si>
  <si>
    <t>岱道</t>
  </si>
  <si>
    <r>
      <t>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</si>
  <si>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稻麦堰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</si>
  <si>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伏特加酒; 黄酒; 果酒（含酒精）</t>
    </r>
  </si>
  <si>
    <r>
      <t>常宝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</si>
  <si>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利口酒; 白酒; 米酒;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</si>
  <si>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咏明月</t>
  </si>
  <si>
    <r>
      <t xml:space="preserve">果酒（含酒精）; 威士忌; 开胃酒;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</si>
  <si>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头闲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</si>
  <si>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富水田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</si>
  <si>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</t>
    </r>
  </si>
  <si>
    <t>醇翔坤</t>
  </si>
  <si>
    <r>
      <t>石家庄和田物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</si>
  <si>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利口酒; 青稞酒;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</si>
  <si>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嘉珀提卡巴</t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</si>
  <si>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</t>
    </r>
  </si>
  <si>
    <t>青花氿</t>
  </si>
  <si>
    <r>
      <t>北京京雅酒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</si>
  <si>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茴香酒（利口酒）;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</si>
  <si>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稻麦穗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</si>
  <si>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</t>
    </r>
  </si>
  <si>
    <r>
      <t>逢春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</si>
  <si>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醉亭酒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</si>
  <si>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</si>
  <si>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t>壮豹</t>
  </si>
  <si>
    <r>
      <t>毛元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</si>
  <si>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</si>
  <si>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云金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</si>
  <si>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市剩点酒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</si>
  <si>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开胃酒;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</si>
  <si>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化熙府</t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</si>
  <si>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</si>
  <si>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</si>
  <si>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</si>
  <si>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</si>
  <si>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檀道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</si>
  <si>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米酒; 白酒; 果酒（含酒精）; 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</si>
  <si>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牛曲 酒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</si>
  <si>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</t>
    </r>
  </si>
  <si>
    <r>
      <t>云酌忘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</si>
  <si>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水果汽酒; 甜酒; 佐餐酒; 梅酒;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</si>
  <si>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</si>
  <si>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>起泡白葡萄酒; 葡萄酒;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不起泡葡萄酒; 白葡萄酒; 麦芽威士忌;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</si>
  <si>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有生</t>
    </r>
  </si>
  <si>
    <r>
      <t>河南合信茶啤供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</si>
  <si>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</si>
  <si>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屈秭</t>
  </si>
  <si>
    <r>
      <t>秭</t>
    </r>
    <r>
      <rPr>
        <sz val="11"/>
        <color theme="1"/>
        <rFont val="ＭＳ Ｐゴシック"/>
        <family val="3"/>
        <charset val="134"/>
        <scheme val="minor"/>
      </rPr>
      <t>归县</t>
    </r>
    <r>
      <rPr>
        <sz val="11"/>
        <color theme="1"/>
        <rFont val="ＭＳ Ｐゴシック"/>
        <family val="3"/>
        <charset val="128"/>
        <scheme val="minor"/>
      </rPr>
      <t>屈原文化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</si>
  <si>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茴香酒（利口酒）; 薄荷酒; 葡萄酒; 米酒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</si>
  <si>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蕴</t>
    </r>
  </si>
  <si>
    <t>伍登高</t>
  </si>
  <si>
    <r>
      <t>葡萄酒; 白酒; 果酒（含酒精）; 米酒;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</si>
  <si>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蔗本</t>
  </si>
  <si>
    <r>
      <t>深圳市云享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意科技有限公司</t>
    </r>
  </si>
  <si>
    <r>
      <t>水果汽酒; 咖啡利口酒;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</si>
  <si>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厚梵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</si>
  <si>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黄酒; 威士忌; 汽酒;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</si>
  <si>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申原合富</t>
  </si>
  <si>
    <r>
      <t>果酒（含酒精）; 米酒;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</si>
  <si>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大嘴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</si>
  <si>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</si>
  <si>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云品一半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</si>
  <si>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云南达</t>
    </r>
    <r>
      <rPr>
        <sz val="11"/>
        <color theme="1"/>
        <rFont val="ＭＳ Ｐゴシック"/>
        <family val="3"/>
        <charset val="134"/>
        <scheme val="minor"/>
      </rPr>
      <t>兴农业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</si>
  <si>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苦味酒; 白酒; 果酒（含酒精）; 黄酒; 梅酒; 青稞酒; 米酒</t>
    </r>
  </si>
  <si>
    <r>
      <t>妙氏</t>
    </r>
    <r>
      <rPr>
        <sz val="11"/>
        <color theme="1"/>
        <rFont val="ＭＳ Ｐゴシック"/>
        <family val="3"/>
        <charset val="134"/>
        <scheme val="minor"/>
      </rPr>
      <t>烧锅</t>
    </r>
  </si>
  <si>
    <t>妙根成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</si>
  <si>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</si>
  <si>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</si>
  <si>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米酒; 葡萄酒; 烈酒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</si>
  <si>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·瀚海</t>
    </r>
  </si>
  <si>
    <r>
      <t>河北滋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</si>
  <si>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</si>
  <si>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嘉珀提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</si>
  <si>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</si>
  <si>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飨钰</t>
    </r>
  </si>
  <si>
    <r>
      <t>遂宁高新区百遂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</si>
  <si>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</si>
  <si>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创亿</t>
    </r>
  </si>
  <si>
    <r>
      <t>尹志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</si>
  <si>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</si>
  <si>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龙诚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</si>
  <si>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</si>
  <si>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BOLRRDEELY 波朗德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</si>
  <si>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 xml:space="preserve">果酒（含酒精）; 白酒;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</si>
  <si>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盛旺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</si>
  <si>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盛旺酒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</si>
  <si>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</si>
  <si>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赤炎潭</t>
  </si>
  <si>
    <r>
      <t>湖南省波特餐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</si>
  <si>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白干酒（中国白酒）;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</si>
  <si>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九洲月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</si>
  <si>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白酒; 烈酒; 开胃酒; 果酒（含酒精）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</si>
  <si>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</si>
  <si>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</si>
  <si>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吉太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之鼎</t>
    </r>
  </si>
  <si>
    <t>广西南宁傲洋生物科技有限公司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</si>
  <si>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果酒（含酒精）; 开胃酒; 白酒;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</si>
  <si>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岗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</si>
  <si>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中汲供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</si>
  <si>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薄荷酒;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白酒; 黄酒</t>
    </r>
  </si>
  <si>
    <t>仁品河山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</si>
  <si>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露酒; 果酒（含酒精）;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</si>
  <si>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范·</t>
    </r>
    <r>
      <rPr>
        <sz val="11"/>
        <color theme="1"/>
        <rFont val="ＭＳ Ｐゴシック"/>
        <family val="3"/>
        <charset val="134"/>
        <scheme val="minor"/>
      </rPr>
      <t>纪诗</t>
    </r>
    <r>
      <rPr>
        <sz val="11"/>
        <color theme="1"/>
        <rFont val="ＭＳ Ｐゴシック"/>
        <family val="3"/>
        <charset val="128"/>
        <scheme val="minor"/>
      </rPr>
      <t>喆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</si>
  <si>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</si>
  <si>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 xml:space="preserve">白酒; 清酒（日本米酒）; 伏特加酒; 利口酒;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</si>
  <si>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京杭达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</si>
  <si>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市豫泉春酒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</si>
  <si>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酸酒（低等葡萄酒）; 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烈酒; 米酒; 白干酒（中国白酒）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</si>
  <si>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京池</t>
    </r>
  </si>
  <si>
    <r>
      <t>蒸煮提取物（利口酒和烈酒）; 烈酒; 酸酒（低等葡萄酒）; 米酒; 五加皮酒（中国混合烈酒）;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</si>
  <si>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古焦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</si>
  <si>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志仙</t>
    </r>
  </si>
  <si>
    <r>
      <t xml:space="preserve">威士忌; 果酒;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朗姆酒; 伏特加酒; 米酒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</si>
  <si>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</si>
  <si>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</si>
  <si>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</si>
  <si>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岛飞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</si>
  <si>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铃铛</t>
    </r>
    <r>
      <rPr>
        <sz val="11"/>
        <color theme="1"/>
        <rFont val="ＭＳ Ｐゴシック"/>
        <family val="3"/>
        <charset val="128"/>
        <scheme val="minor"/>
      </rPr>
      <t>文化交流有限公司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</si>
  <si>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清酒; 白干酒（中国白酒）;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</t>
    </r>
  </si>
  <si>
    <r>
      <t>金加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</si>
  <si>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广西嘉</t>
    </r>
    <r>
      <rPr>
        <sz val="11"/>
        <color theme="1"/>
        <rFont val="ＭＳ Ｐゴシック"/>
        <family val="3"/>
        <charset val="134"/>
        <scheme val="minor"/>
      </rPr>
      <t>进药业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</si>
  <si>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伏特加酒; 威士忌;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</t>
    </r>
  </si>
  <si>
    <r>
      <t>姬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</si>
  <si>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麦芽威士忌;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</si>
  <si>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酒趣淘</t>
  </si>
  <si>
    <r>
      <t>南京何海孝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</si>
  <si>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</si>
  <si>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和年春</t>
  </si>
  <si>
    <r>
      <t>昆明金恒源商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</si>
  <si>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蒸煮提取物（利口酒和烈酒）; 白酒; 烈酒; 露酒;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</si>
  <si>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吉太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之星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</si>
  <si>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青稞酒;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</si>
  <si>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菁和</t>
  </si>
  <si>
    <r>
      <t>白酒; 烈酒;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</si>
  <si>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屹邈</t>
  </si>
  <si>
    <r>
      <t>孙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</si>
  <si>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</si>
  <si>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沁小</t>
    </r>
    <r>
      <rPr>
        <sz val="11"/>
        <color theme="1"/>
        <rFont val="ＭＳ Ｐゴシック"/>
        <family val="3"/>
        <charset val="134"/>
        <scheme val="minor"/>
      </rPr>
      <t>满</t>
    </r>
  </si>
  <si>
    <t>彭俊康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</si>
  <si>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</si>
  <si>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百酒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</si>
  <si>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白酒; 米酒; 餐后酒（利口酒和烈酒）</t>
    </r>
  </si>
  <si>
    <t>遇 萌悦漫居</t>
  </si>
  <si>
    <t>浙江金双宇控股有限公司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</si>
  <si>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白酒</t>
    </r>
  </si>
  <si>
    <t>茹彤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</si>
  <si>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白葡萄酒;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梅酒; 米酒</t>
    </r>
  </si>
  <si>
    <t>豪酒州</t>
  </si>
  <si>
    <r>
      <t>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</si>
  <si>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</si>
  <si>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迎兆年</t>
  </si>
  <si>
    <r>
      <t>黎家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</si>
  <si>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清酒（日本米酒）;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</si>
  <si>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牧</t>
    </r>
  </si>
  <si>
    <r>
      <t>卓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（黑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江）健康食品有限公司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</si>
  <si>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</si>
  <si>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聚福</t>
    </r>
    <r>
      <rPr>
        <sz val="11"/>
        <color theme="1"/>
        <rFont val="ＭＳ Ｐゴシック"/>
        <family val="3"/>
        <charset val="134"/>
        <scheme val="minor"/>
      </rPr>
      <t>阆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</si>
  <si>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清酒; 白酒; 黄酒; 青稞酒;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</si>
  <si>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</si>
  <si>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</si>
  <si>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葡萄酒</t>
    </r>
  </si>
  <si>
    <r>
      <t>见龙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</si>
  <si>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</si>
  <si>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清酒（日本米酒）; 果酒（含酒精）</t>
    </r>
  </si>
  <si>
    <t>粮臻福</t>
  </si>
  <si>
    <r>
      <t>李俊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</si>
  <si>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</si>
  <si>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雪里行</t>
  </si>
  <si>
    <t>高玲玲</t>
  </si>
  <si>
    <r>
      <t>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</si>
  <si>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沛养</t>
  </si>
  <si>
    <t>郭博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</si>
  <si>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葡萄酒; 开胃酒; 清酒（日本米酒）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</si>
  <si>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县凤</t>
    </r>
    <r>
      <rPr>
        <sz val="11"/>
        <color theme="1"/>
        <rFont val="ＭＳ Ｐゴシック"/>
        <family val="3"/>
        <charset val="128"/>
        <scheme val="minor"/>
      </rPr>
      <t>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</si>
  <si>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</si>
  <si>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孩子商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</si>
  <si>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蜂蜜酒; 米酒</t>
    </r>
  </si>
  <si>
    <r>
      <t>柔雅</t>
    </r>
    <r>
      <rPr>
        <sz val="11"/>
        <color theme="1"/>
        <rFont val="ＭＳ Ｐゴシック"/>
        <family val="3"/>
        <charset val="134"/>
        <scheme val="minor"/>
      </rPr>
      <t>汉</t>
    </r>
  </si>
  <si>
    <t>文永珍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</si>
  <si>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</si>
  <si>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光御</t>
  </si>
  <si>
    <t>陶开容</t>
  </si>
  <si>
    <r>
      <t>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</si>
  <si>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宏合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</si>
  <si>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宏达国盛商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</si>
  <si>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</si>
  <si>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</si>
  <si>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</si>
  <si>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米酒; 果酒（含酒精）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</si>
  <si>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</si>
  <si>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三荣</t>
    </r>
  </si>
  <si>
    <r>
      <t xml:space="preserve">米酒;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黄酒</t>
    </r>
  </si>
  <si>
    <t>百山印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</si>
  <si>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高粱酒; 甜酒; 黄酒;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</si>
  <si>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响</t>
    </r>
  </si>
  <si>
    <t>付俊瑞</t>
  </si>
  <si>
    <r>
      <t>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</si>
  <si>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久也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</si>
  <si>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州普天同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</si>
  <si>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清酒;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</si>
  <si>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驭</t>
    </r>
    <r>
      <rPr>
        <sz val="11"/>
        <color theme="1"/>
        <rFont val="ＭＳ Ｐゴシック"/>
        <family val="3"/>
        <charset val="128"/>
        <scheme val="minor"/>
      </rPr>
      <t>浠</t>
    </r>
  </si>
  <si>
    <r>
      <t>闫树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</si>
  <si>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果酒（含酒精）;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</si>
  <si>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</si>
  <si>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朱家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</si>
  <si>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</si>
  <si>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养衡雄荷</t>
  </si>
  <si>
    <r>
      <t>北京养衡堂十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酒文化有限公司</t>
    </r>
  </si>
  <si>
    <r>
      <t>汽酒;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</si>
  <si>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妈</t>
    </r>
    <r>
      <rPr>
        <sz val="11"/>
        <color theme="1"/>
        <rFont val="ＭＳ Ｐゴシック"/>
        <family val="3"/>
        <charset val="128"/>
        <scheme val="minor"/>
      </rPr>
      <t>勒泉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</si>
  <si>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</si>
  <si>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 xml:space="preserve">白酒;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露酒; 米酒;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草本型利口酒</t>
    </r>
  </si>
  <si>
    <t>千奇洞</t>
  </si>
  <si>
    <r>
      <t>桂林市昌桂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</si>
  <si>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</si>
  <si>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阿福隆</t>
  </si>
  <si>
    <r>
      <t>郑</t>
    </r>
    <r>
      <rPr>
        <sz val="11"/>
        <color theme="1"/>
        <rFont val="ＭＳ Ｐゴシック"/>
        <family val="3"/>
        <charset val="128"/>
        <scheme val="minor"/>
      </rPr>
      <t>建明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</si>
  <si>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食用酒精;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</si>
  <si>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富春俏白</t>
  </si>
  <si>
    <r>
      <t>杭州臻格机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</si>
  <si>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清酒; 伏特加酒;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</si>
  <si>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曜光珠宝有限公司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</si>
  <si>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黄酒</t>
    </r>
  </si>
  <si>
    <t>新羽出品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</si>
  <si>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新羽商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</si>
  <si>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</t>
    </r>
  </si>
  <si>
    <t>京台合酒</t>
  </si>
  <si>
    <r>
      <t>白干酒（中国白酒）;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</si>
  <si>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黄棠</t>
  </si>
  <si>
    <r>
      <t xml:space="preserve">葡萄酒; 白干酒（中国白酒）; 甜酒;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</si>
  <si>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茵艾美</t>
  </si>
  <si>
    <r>
      <t>茵艾美（山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</si>
  <si>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汽酒; 含酒精的气泡水; 开胃酒; 清酒（日本米酒）</t>
    </r>
  </si>
  <si>
    <t>雍城雅韵</t>
  </si>
  <si>
    <r>
      <t>黄家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</si>
  <si>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青稞酒; 果酒（含酒精）; 白酒</t>
    </r>
  </si>
  <si>
    <r>
      <t>豪六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</si>
  <si>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</si>
  <si>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梅</t>
    </r>
  </si>
  <si>
    <t>张鹏</t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</si>
  <si>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青梅酒;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</si>
  <si>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沪滇梦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</si>
  <si>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</si>
  <si>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</si>
  <si>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菊尾</t>
  </si>
  <si>
    <r>
      <t>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</si>
  <si>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</si>
  <si>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禾岭夏</t>
  </si>
  <si>
    <r>
      <t>恩博特拉多拉阿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艾公司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</si>
  <si>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</si>
  <si>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</si>
  <si>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上海金甫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</si>
  <si>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</si>
  <si>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ERSEN 碍</t>
    </r>
    <r>
      <rPr>
        <sz val="11"/>
        <color theme="1"/>
        <rFont val="ＭＳ Ｐゴシック"/>
        <family val="3"/>
        <charset val="129"/>
        <scheme val="minor"/>
      </rPr>
      <t>堔</t>
    </r>
  </si>
  <si>
    <r>
      <t>南安市源隆石材装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</si>
  <si>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</si>
  <si>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名人小洞仙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</si>
  <si>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</si>
  <si>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青稞酒;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</si>
  <si>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八酒青天</t>
  </si>
  <si>
    <t>刘涛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</si>
  <si>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白酒; 果酒（含酒精）</t>
    </r>
  </si>
  <si>
    <r>
      <t>火水云酒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</si>
  <si>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上海火水云酒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</si>
  <si>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</si>
  <si>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乐亿</t>
    </r>
    <r>
      <rPr>
        <sz val="11"/>
        <color theme="1"/>
        <rFont val="ＭＳ Ｐゴシック"/>
        <family val="3"/>
        <charset val="128"/>
        <scheme val="minor"/>
      </rPr>
      <t>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</si>
  <si>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</si>
  <si>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朗月清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</si>
  <si>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庆东</t>
    </r>
    <r>
      <rPr>
        <sz val="11"/>
        <color theme="1"/>
        <rFont val="ＭＳ Ｐゴシック"/>
        <family val="3"/>
        <charset val="129"/>
        <scheme val="minor"/>
      </rPr>
      <t>篱</t>
    </r>
    <r>
      <rPr>
        <sz val="11"/>
        <color theme="1"/>
        <rFont val="ＭＳ Ｐゴシック"/>
        <family val="3"/>
        <charset val="128"/>
        <scheme val="minor"/>
      </rPr>
      <t>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</si>
  <si>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米酒</t>
    </r>
  </si>
  <si>
    <t>泓达堂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</si>
  <si>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市新会区泓达堂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</si>
  <si>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白酒; 汽酒; 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</si>
  <si>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梦台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</si>
  <si>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</si>
  <si>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</si>
  <si>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山西杏花鑫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</si>
  <si>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</si>
  <si>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小养</t>
    </r>
    <r>
      <rPr>
        <sz val="11"/>
        <color theme="1"/>
        <rFont val="ＭＳ Ｐゴシック"/>
        <family val="3"/>
        <charset val="134"/>
        <scheme val="minor"/>
      </rPr>
      <t>书</t>
    </r>
  </si>
  <si>
    <t>上海燃内科技有限公司</t>
  </si>
  <si>
    <r>
      <t xml:space="preserve">利口酒; 米酒; 烈酒;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</si>
  <si>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河山熊</t>
  </si>
  <si>
    <r>
      <t>江西河山医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</si>
  <si>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</si>
  <si>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黑烈</t>
  </si>
  <si>
    <t>周杰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</si>
  <si>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</si>
  <si>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侠中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</si>
  <si>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上海言中</t>
    </r>
    <r>
      <rPr>
        <sz val="11"/>
        <color theme="1"/>
        <rFont val="ＭＳ Ｐゴシック"/>
        <family val="3"/>
        <charset val="134"/>
        <scheme val="minor"/>
      </rPr>
      <t>饮贸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</si>
  <si>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伏特加酒</t>
    </r>
  </si>
  <si>
    <r>
      <t>玉露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</si>
  <si>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</si>
  <si>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美黔丞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</si>
  <si>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</t>
    </r>
  </si>
  <si>
    <r>
      <t>赫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</si>
  <si>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内蒙古赫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家食品有限公司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</si>
  <si>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清酒; 蜂蜜酒; 果酒（含酒精）</t>
    </r>
  </si>
  <si>
    <r>
      <t>卡思百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</si>
  <si>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岳峰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</si>
  <si>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</si>
  <si>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醉井池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</si>
  <si>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</si>
  <si>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晋韵江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</si>
  <si>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汾阳市老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</si>
  <si>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</si>
  <si>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倒久</t>
  </si>
  <si>
    <t>家檬(深圳)科技有限公司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</si>
  <si>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</si>
  <si>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赫酒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</si>
  <si>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海涛</t>
    </r>
  </si>
  <si>
    <r>
      <t>餐后酒（利口酒和烈酒）; 米酒;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</si>
  <si>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敬丰年</t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</si>
  <si>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</si>
  <si>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庭河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</si>
  <si>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</si>
  <si>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阅</t>
    </r>
  </si>
  <si>
    <t>付仕芬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</si>
  <si>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</si>
  <si>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</si>
  <si>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</si>
  <si>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益善窗</t>
  </si>
  <si>
    <t>叶德金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</si>
  <si>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梨酒; 青稞酒; 葡萄酒; 伏特加酒; 白酒; 果酒（含酒精）; 黄酒; 清酒</t>
    </r>
  </si>
  <si>
    <t>俏白禾</t>
  </si>
  <si>
    <r>
      <t>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高粱酒; 烈酒;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</si>
  <si>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青脯家品</t>
  </si>
  <si>
    <r>
      <t>鞍山市青草沟果</t>
    </r>
    <r>
      <rPr>
        <sz val="11"/>
        <color theme="1"/>
        <rFont val="ＭＳ Ｐゴシック"/>
        <family val="3"/>
        <charset val="134"/>
        <scheme val="minor"/>
      </rPr>
      <t>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</si>
  <si>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苹果酒;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葡萄酒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</si>
  <si>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奥克</t>
    </r>
  </si>
  <si>
    <r>
      <t>张华龙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</si>
  <si>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朗姆酒</t>
    </r>
  </si>
  <si>
    <r>
      <t>筛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</si>
  <si>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州盛世仁和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</si>
  <si>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</si>
  <si>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嬿</t>
    </r>
    <r>
      <rPr>
        <sz val="11"/>
        <color theme="1"/>
        <rFont val="ＭＳ Ｐゴシック"/>
        <family val="3"/>
        <charset val="128"/>
        <scheme val="minor"/>
      </rPr>
      <t>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</si>
  <si>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清酒（日本米酒）; 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</si>
  <si>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焙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</si>
  <si>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</si>
  <si>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</si>
  <si>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二嫂</t>
    </r>
  </si>
  <si>
    <r>
      <t>利川市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堡</t>
    </r>
    <r>
      <rPr>
        <sz val="11"/>
        <color theme="1"/>
        <rFont val="ＭＳ Ｐゴシック"/>
        <family val="3"/>
        <charset val="134"/>
        <scheme val="minor"/>
      </rPr>
      <t>镇鸿发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药专业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</si>
  <si>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</si>
  <si>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添然彩虹</t>
  </si>
  <si>
    <t>彭施杰</t>
  </si>
  <si>
    <t>清酒; 米酒; 黄酒; 白酒; 汽酒; 食用酒精; 天然汽酒; 果酒; 葡萄酒; 甜酒</t>
  </si>
  <si>
    <t>果杏福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</si>
  <si>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世祥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</si>
  <si>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</t>
    </r>
  </si>
  <si>
    <t>杏曲凰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</si>
  <si>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蒸煮提取物（利口酒和烈酒）; 食用酒精;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</si>
  <si>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壮母</t>
  </si>
  <si>
    <r>
      <t>草本型利口酒; 甜酒; 米酒;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露酒; 白酒; 蒸煮提取物（利口酒和烈酒）</t>
    </r>
  </si>
  <si>
    <t>烈醺</t>
  </si>
  <si>
    <r>
      <t>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</si>
  <si>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米百仙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</si>
  <si>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食用酒精; 高粱酒;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</si>
  <si>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太泉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</si>
  <si>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西太泉酒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</si>
  <si>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米酒; 白酒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</si>
  <si>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>八岸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</si>
  <si>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</si>
  <si>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WEYACEN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</si>
  <si>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市冬楠文化用品有限公司</t>
    </r>
  </si>
  <si>
    <r>
      <t xml:space="preserve">清酒（日本米酒）; 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苦味酒; 葡萄酒; 白酒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</si>
  <si>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</si>
  <si>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HUMAN UNBORED</t>
  </si>
  <si>
    <t>成都复品品牌管理有限公司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</si>
  <si>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含酒精的气泡水</t>
    </r>
  </si>
  <si>
    <r>
      <t>秦岭</t>
    </r>
    <r>
      <rPr>
        <sz val="11"/>
        <color theme="1"/>
        <rFont val="ＭＳ Ｐゴシック"/>
        <family val="3"/>
        <charset val="134"/>
        <scheme val="minor"/>
      </rPr>
      <t>终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</si>
  <si>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品牌集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</si>
  <si>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</si>
  <si>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</si>
  <si>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>梁孟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</si>
  <si>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</si>
  <si>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厚坑</t>
  </si>
  <si>
    <r>
      <t xml:space="preserve">葡萄酒; 伏特加酒; 黄酒;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</si>
  <si>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千樽池</t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</si>
  <si>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</si>
  <si>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马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</si>
  <si>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</si>
  <si>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佳沃黑松</t>
  </si>
  <si>
    <t>徐佳</t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</si>
  <si>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</t>
    </r>
  </si>
  <si>
    <t>DARLMOO</t>
  </si>
  <si>
    <r>
      <t>清酒（日本米酒）; 白酒;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</si>
  <si>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敬君来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</si>
  <si>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</si>
  <si>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千湘思</t>
  </si>
  <si>
    <t>龚丽纯</t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</si>
  <si>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</si>
  <si>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豪甘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</si>
  <si>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开胃酒; 果酒（含酒精）; 威士忌</t>
    </r>
  </si>
  <si>
    <t>雯韵希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</si>
  <si>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白葡萄酒; 梅酒;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</si>
  <si>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</si>
  <si>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</si>
  <si>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</si>
  <si>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</si>
  <si>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烈酒; 威士忌;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</si>
  <si>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凰小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</si>
  <si>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邓宽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</si>
  <si>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</si>
  <si>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香台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</si>
  <si>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</si>
  <si>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蜜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蜜蜜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</si>
  <si>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广西田蜜蜜酒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</si>
  <si>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清酒; 米酒; 白酒;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</si>
  <si>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尾</t>
    </r>
  </si>
  <si>
    <r>
      <t>魏金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</si>
  <si>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高粱酒; 黄酒; 伏特加酒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</si>
  <si>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</si>
  <si>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酒州冠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</si>
  <si>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</t>
    </r>
  </si>
  <si>
    <t>刘登琴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</si>
  <si>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苹果酒;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</si>
  <si>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彤珊</t>
  </si>
  <si>
    <r>
      <t>米酒; 黄酒; 白酒;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</si>
  <si>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塞</t>
    </r>
    <r>
      <rPr>
        <sz val="11"/>
        <color theme="1"/>
        <rFont val="ＭＳ Ｐゴシック"/>
        <family val="3"/>
        <charset val="134"/>
        <scheme val="minor"/>
      </rPr>
      <t>尔</t>
    </r>
  </si>
  <si>
    <t>尹猛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</si>
  <si>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威士忌; 伏特加酒; 露酒; 果酒</t>
    </r>
  </si>
  <si>
    <r>
      <t>中科曦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</si>
  <si>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船（天津）酒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</si>
  <si>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薄荷酒;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</si>
  <si>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特力</t>
    </r>
  </si>
  <si>
    <r>
      <t xml:space="preserve">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</si>
  <si>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 xml:space="preserve">色森林. 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</si>
  <si>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元一源（北京）商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</si>
  <si>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</si>
  <si>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天来福</t>
  </si>
  <si>
    <r>
      <t>陈</t>
    </r>
    <r>
      <rPr>
        <sz val="11"/>
        <color theme="1"/>
        <rFont val="ＭＳ Ｐゴシック"/>
        <family val="3"/>
        <charset val="128"/>
        <scheme val="minor"/>
      </rPr>
      <t>夏潜</t>
    </r>
  </si>
  <si>
    <r>
      <t xml:space="preserve">果酒（含酒精）; 白酒; 苦味酒;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</si>
  <si>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橱流香</t>
  </si>
  <si>
    <r>
      <t>布金科技（北京）集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</si>
  <si>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果酒（含酒精）; 米酒</t>
    </r>
  </si>
  <si>
    <t>SKMIING</t>
  </si>
  <si>
    <r>
      <t>云南滇中两</t>
    </r>
    <r>
      <rPr>
        <sz val="11"/>
        <color theme="1"/>
        <rFont val="ＭＳ Ｐゴシック"/>
        <family val="3"/>
        <charset val="134"/>
        <scheme val="minor"/>
      </rPr>
      <t>亚创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</si>
  <si>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</si>
  <si>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</t>
    </r>
  </si>
  <si>
    <r>
      <t>福禄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</si>
  <si>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</si>
  <si>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仁豫醉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</si>
  <si>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州市黔恒酒有限公司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</si>
  <si>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</si>
  <si>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遂冰城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</si>
  <si>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</si>
  <si>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墨韵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</si>
  <si>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东问</t>
    </r>
    <r>
      <rPr>
        <sz val="11"/>
        <color theme="1"/>
        <rFont val="ＭＳ Ｐゴシック"/>
        <family val="3"/>
        <charset val="128"/>
        <scheme val="minor"/>
      </rPr>
      <t>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</si>
  <si>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</si>
  <si>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HIMEIS</t>
  </si>
  <si>
    <r>
      <t xml:space="preserve">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开胃酒; 烈性干酒;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利口酒; 白酒</t>
    </r>
  </si>
  <si>
    <t>友点牛 YOLDENEW</t>
  </si>
  <si>
    <r>
      <t>北京一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前景科技有限公司</t>
    </r>
  </si>
  <si>
    <r>
      <t>葡萄酒; 米酒;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</si>
  <si>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云台</t>
    </r>
  </si>
  <si>
    <r>
      <t>佛山市禅城区聚丰鑫烟酒行（个体工商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</si>
  <si>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高粱酒; 佐餐酒; 开胃酒; 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</si>
  <si>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状酒侠</t>
  </si>
  <si>
    <r>
      <t xml:space="preserve">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</si>
  <si>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百窖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</si>
  <si>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</si>
  <si>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朕中原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</si>
  <si>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</si>
  <si>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俏白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</si>
  <si>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白酒; 开胃酒; 清酒; 伏特加酒; 黄酒;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</si>
  <si>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舌班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 xml:space="preserve"> TONGUEMONITOR</t>
    </r>
  </si>
  <si>
    <t>河南口口香食品有限公司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</si>
  <si>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杜松子酒; 威士忌; 黄酒</t>
    </r>
  </si>
  <si>
    <t>思梦台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</si>
  <si>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</si>
  <si>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铭顺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</si>
  <si>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茹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</si>
  <si>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</t>
    </r>
  </si>
  <si>
    <t>刘佳宁</t>
  </si>
  <si>
    <t>刘佳宁******************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</si>
  <si>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</si>
  <si>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仙君神</t>
  </si>
  <si>
    <r>
      <t>内蒙古蒙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之都医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</si>
  <si>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</si>
  <si>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宝坑</t>
  </si>
  <si>
    <r>
      <t>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清酒; 黄酒</t>
    </r>
  </si>
  <si>
    <t>川舌</t>
  </si>
  <si>
    <r>
      <t>川之舌酒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（四川）有限公司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</si>
  <si>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开胃酒; 清酒（日本米酒）; 高粱酒</t>
    </r>
  </si>
  <si>
    <t>薯哥</t>
  </si>
  <si>
    <r>
      <t>河北启寰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</si>
  <si>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清酒（日本米酒）; 青梅酒</t>
    </r>
  </si>
  <si>
    <t>九木得</t>
  </si>
  <si>
    <t>徐州九木得科技有限公司</t>
  </si>
  <si>
    <t>葡萄酒; 汽酒; 蒸煮提取物（利口酒和烈酒）; 伏特加酒; 米酒; 果酒; 朗姆酒; 黄酒; 白酒; 蜂蜜酒</t>
  </si>
  <si>
    <t>熊猫志煮</t>
  </si>
  <si>
    <r>
      <t>四川熊猫基地酒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</si>
  <si>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</si>
  <si>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辛巴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</si>
  <si>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混合威士忌酒; 朗姆酒;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</si>
  <si>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要臣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</si>
  <si>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高粱酒; 米酒; 果酒（含酒精）; 葡萄酒;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</si>
  <si>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州福禄</t>
    </r>
  </si>
  <si>
    <r>
      <t>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</t>
    </r>
  </si>
  <si>
    <t>俏富春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</si>
  <si>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开胃酒; 伏特加酒</t>
    </r>
  </si>
  <si>
    <t>醇小可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</si>
  <si>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</si>
  <si>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</t>
    </r>
  </si>
  <si>
    <t>丰滴</t>
  </si>
  <si>
    <r>
      <t>德阳市旌阳区天茂工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气体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</si>
  <si>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</si>
  <si>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京多</t>
    </r>
    <r>
      <rPr>
        <sz val="11"/>
        <color theme="1"/>
        <rFont val="ＭＳ Ｐゴシック"/>
        <family val="3"/>
        <charset val="134"/>
        <scheme val="minor"/>
      </rPr>
      <t>贝</t>
    </r>
  </si>
  <si>
    <t>上海三零三品牌管理有限公司</t>
  </si>
  <si>
    <r>
      <t>黄酒; 利口酒; 果酒（含酒精）;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</si>
  <si>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邻凤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</si>
  <si>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（江山）品牌运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</si>
  <si>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</si>
  <si>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味之首</t>
  </si>
  <si>
    <r>
      <t>刘曙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</si>
  <si>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黄酒; 食用酒精; 果酒; 甜酒; 汽酒; 葡萄酒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</si>
  <si>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</si>
  <si>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红盏</t>
  </si>
  <si>
    <r>
      <t>陈</t>
    </r>
    <r>
      <rPr>
        <sz val="11"/>
        <color theme="1"/>
        <rFont val="ＭＳ Ｐゴシック"/>
        <family val="3"/>
        <charset val="128"/>
        <scheme val="minor"/>
      </rPr>
      <t>善川</t>
    </r>
  </si>
  <si>
    <r>
      <t>果酒（含酒精）; 黄酒; 青梅酒;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</t>
    </r>
  </si>
  <si>
    <r>
      <t>成之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</si>
  <si>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海口美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据</t>
    </r>
    <r>
      <rPr>
        <sz val="11"/>
        <color theme="1"/>
        <rFont val="ＭＳ Ｐゴシック"/>
        <family val="3"/>
        <charset val="134"/>
        <scheme val="minor"/>
      </rPr>
      <t>垫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</si>
  <si>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威士忌</t>
    </r>
  </si>
  <si>
    <t>HONGDA TANG</t>
  </si>
  <si>
    <r>
      <t>果酒（含酒精）;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露酒;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</si>
  <si>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t>玫芳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</si>
  <si>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南魅力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展有限公司第一分公司</t>
    </r>
  </si>
  <si>
    <r>
      <t>白酒; 葡萄酒; 清酒;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</si>
  <si>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比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</si>
  <si>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</si>
  <si>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果源派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</si>
  <si>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大宇食品有限公司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</si>
  <si>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葡萄酒;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</t>
    </r>
  </si>
  <si>
    <t>封井池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</si>
  <si>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</si>
  <si>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九州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</si>
  <si>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</si>
  <si>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餐后酒（利口酒和烈酒）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</si>
  <si>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清台</t>
    </r>
  </si>
  <si>
    <r>
      <t>梁友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</si>
  <si>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</si>
  <si>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问</t>
    </r>
  </si>
  <si>
    <t>廖慧玲</t>
  </si>
  <si>
    <r>
      <t xml:space="preserve">餐后酒（利口酒和烈酒）;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</si>
  <si>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台囍酒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</si>
  <si>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</si>
  <si>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葡萄酒; 开胃酒</t>
    </r>
  </si>
  <si>
    <t>醉有境</t>
  </si>
  <si>
    <r>
      <t>林善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</si>
  <si>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甜酒</t>
    </r>
  </si>
  <si>
    <t>通名招来</t>
  </si>
  <si>
    <r>
      <t>通化市雨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</si>
  <si>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</si>
  <si>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</si>
  <si>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>宿迁市谷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</si>
  <si>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</t>
    </r>
  </si>
  <si>
    <t>沐泳森</t>
  </si>
  <si>
    <r>
      <t>沐泳森（重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</si>
  <si>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洛水惊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</si>
  <si>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</si>
  <si>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九渊有鹿</t>
  </si>
  <si>
    <r>
      <t>黄陵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</si>
  <si>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五加皮酒（中国混合烈酒）;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露酒;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</si>
  <si>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宁福世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</si>
  <si>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南京宁福世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</si>
  <si>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</si>
  <si>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宴仙</t>
    </r>
  </si>
  <si>
    <t>李雪晴</t>
  </si>
  <si>
    <r>
      <t>白干酒（中国白酒）;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黄酒</t>
    </r>
  </si>
  <si>
    <t>隆中仙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</si>
  <si>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白酒;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</si>
  <si>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阿勒嫂子</t>
  </si>
  <si>
    <r>
      <t>四川藏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</si>
  <si>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 xml:space="preserve">果酒（含酒精）; 露酒;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</si>
  <si>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忍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</si>
  <si>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果酒（含酒精）;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</si>
  <si>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厚田沙漠</t>
  </si>
  <si>
    <t>周彩霞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</si>
  <si>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</si>
  <si>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萌小信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</si>
  <si>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羽信茶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</si>
  <si>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柑香酒;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</si>
  <si>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香谷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</si>
  <si>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溪文化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</si>
  <si>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薄荷酒;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开胃酒</t>
    </r>
  </si>
  <si>
    <r>
      <t>中国石油天然气股份有限公司黑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售非油分公司</t>
    </r>
  </si>
  <si>
    <r>
      <t>葡萄酒;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</si>
  <si>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禧五福</t>
    </r>
  </si>
  <si>
    <r>
      <t>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</si>
  <si>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垣臻藏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</si>
  <si>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</si>
  <si>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混合威士忌酒;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</si>
  <si>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寓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</si>
  <si>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黄酒; 烈酒;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果酒（含酒精）; 白酒</t>
    </r>
  </si>
  <si>
    <t>HANSHENGJIUYE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</si>
  <si>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镇汉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</si>
  <si>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</t>
    </r>
  </si>
  <si>
    <t>SHARK YOO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</si>
  <si>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洋酒有限公司</t>
    </r>
  </si>
  <si>
    <r>
      <t>葡萄酒; 利口酒; 杜松子酒;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</t>
    </r>
  </si>
  <si>
    <t>幸福王国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</si>
  <si>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白干酒（中国白酒）; 白酒; 果酒（含酒精）; 米酒</t>
    </r>
  </si>
  <si>
    <t>乾鹿春</t>
  </si>
  <si>
    <r>
      <t>韩</t>
    </r>
    <r>
      <rPr>
        <sz val="11"/>
        <color theme="1"/>
        <rFont val="ＭＳ Ｐゴシック"/>
        <family val="3"/>
        <charset val="128"/>
        <scheme val="minor"/>
      </rPr>
      <t>秋梅</t>
    </r>
  </si>
  <si>
    <r>
      <t>烈酒; 果酒; 梨酒; 白酒;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</si>
  <si>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馐</t>
    </r>
    <r>
      <rPr>
        <sz val="11"/>
        <color theme="1"/>
        <rFont val="ＭＳ Ｐゴシック"/>
        <family val="3"/>
        <charset val="128"/>
        <scheme val="minor"/>
      </rPr>
      <t>正蓉耀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</si>
  <si>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馐</t>
    </r>
    <r>
      <rPr>
        <sz val="11"/>
        <color theme="1"/>
        <rFont val="ＭＳ Ｐゴシック"/>
        <family val="3"/>
        <charset val="128"/>
        <scheme val="minor"/>
      </rPr>
      <t>正食品科技有限公司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</si>
  <si>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</si>
  <si>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刘国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</si>
  <si>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</si>
  <si>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桃仙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</si>
  <si>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北京圣泓信息咨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</si>
  <si>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黄酒; 食用酒精; 蜂蜜酒;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</t>
    </r>
  </si>
  <si>
    <t>S.H.PARAMOUNT</t>
  </si>
  <si>
    <r>
      <t>上海百</t>
    </r>
    <r>
      <rPr>
        <sz val="11"/>
        <color theme="1"/>
        <rFont val="ＭＳ Ｐゴシック"/>
        <family val="3"/>
        <charset val="134"/>
        <scheme val="minor"/>
      </rPr>
      <t>乐门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</si>
  <si>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含酒精的气泡水;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</si>
  <si>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炎林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</si>
  <si>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炎林</t>
    </r>
  </si>
  <si>
    <r>
      <t xml:space="preserve">白酒; 黄酒; 蜂蜜酒;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</si>
  <si>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至府</t>
  </si>
  <si>
    <t>李毛启</t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</si>
  <si>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伏特加酒; 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</si>
  <si>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祝九辞</t>
  </si>
  <si>
    <r>
      <t>刘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</si>
  <si>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烈酒; 葡萄酒; 黄酒;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</si>
  <si>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酒大哥品牌管理（深圳）有限公司</t>
  </si>
  <si>
    <r>
      <t xml:space="preserve">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白干酒（中国白酒）; 葡萄酒;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</si>
  <si>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坤之成</t>
  </si>
  <si>
    <r>
      <t>浙江中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九洲集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</si>
  <si>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餐后酒（利口酒和烈酒）; 米酒; 食用酒精; 白酒;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</si>
  <si>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形上字本</t>
  </si>
  <si>
    <r>
      <t>三化一</t>
    </r>
    <r>
      <rPr>
        <sz val="11"/>
        <color theme="1"/>
        <rFont val="ＭＳ Ｐゴシック"/>
        <family val="3"/>
        <charset val="134"/>
        <scheme val="minor"/>
      </rPr>
      <t>权产</t>
    </r>
    <r>
      <rPr>
        <sz val="11"/>
        <color theme="1"/>
        <rFont val="ＭＳ Ｐゴシック"/>
        <family val="3"/>
        <charset val="128"/>
        <scheme val="minor"/>
      </rPr>
      <t>教技能服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</si>
  <si>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</si>
  <si>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</si>
  <si>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小流河</t>
  </si>
  <si>
    <t>姜凡</t>
  </si>
  <si>
    <r>
      <t>黄酒; 烈酒; 食用酒精; 高粱酒;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米酒; 白干酒（中国白酒）</t>
    </r>
  </si>
  <si>
    <r>
      <t>安徽亳州老井坊酒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</si>
  <si>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</si>
  <si>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慕静</t>
  </si>
  <si>
    <r>
      <t>慕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弟******************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</si>
  <si>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</si>
  <si>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VEIPOLE</t>
  </si>
  <si>
    <t>深圳世邦生物科技有限公司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</si>
  <si>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</si>
  <si>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</si>
  <si>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邵国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</si>
  <si>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威士忌; 黄酒;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</si>
  <si>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武楼</t>
  </si>
  <si>
    <r>
      <t>淮安武楼餐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</si>
  <si>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白酒; 汽酒; 米酒</t>
    </r>
  </si>
  <si>
    <t>松宝奇奇</t>
  </si>
  <si>
    <t>李世旺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</si>
  <si>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黄酒; 葡萄酒; 果酒（含酒精）; 开胃酒;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</si>
  <si>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福之本</t>
  </si>
  <si>
    <r>
      <t>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白干酒（中国白酒）; 葡萄酒; 食用酒精</t>
    </r>
  </si>
  <si>
    <t>花朝拾露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</si>
  <si>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食用酒精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</si>
  <si>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家班</t>
    </r>
  </si>
  <si>
    <r>
      <t>贾乐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</si>
  <si>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</si>
  <si>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佳泰康</t>
    </r>
    <r>
      <rPr>
        <sz val="11"/>
        <color theme="1"/>
        <rFont val="ＭＳ Ｐゴシック"/>
        <family val="3"/>
        <charset val="134"/>
        <scheme val="minor"/>
      </rPr>
      <t>购</t>
    </r>
  </si>
  <si>
    <t>朱俊</t>
  </si>
  <si>
    <r>
      <t xml:space="preserve">清酒（日本米酒）;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利口酒; 开胃酒; 白酒</t>
    </r>
  </si>
  <si>
    <t>慧粹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</si>
  <si>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高粱酒;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黄酒</t>
    </r>
  </si>
  <si>
    <t>OARC</t>
  </si>
  <si>
    <r>
      <t>陈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</si>
  <si>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清酒（日本米酒）; 朗姆酒; 青稞酒; 白酒; 葡萄酒; 米酒</t>
    </r>
  </si>
  <si>
    <r>
      <t>悟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</si>
  <si>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广州了不起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</si>
  <si>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葡萄酒; 果酒; 白酒;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</si>
  <si>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</si>
  <si>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北京摩研工</t>
    </r>
    <r>
      <rPr>
        <sz val="11"/>
        <color theme="1"/>
        <rFont val="ＭＳ Ｐゴシック"/>
        <family val="3"/>
        <charset val="134"/>
        <scheme val="minor"/>
      </rPr>
      <t>业设计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</si>
  <si>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</si>
  <si>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博斟</t>
  </si>
  <si>
    <r>
      <t>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</si>
  <si>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聚雨台</t>
  </si>
  <si>
    <r>
      <t>张</t>
    </r>
    <r>
      <rPr>
        <sz val="11"/>
        <color theme="1"/>
        <rFont val="ＭＳ Ｐゴシック"/>
        <family val="3"/>
        <charset val="128"/>
        <scheme val="minor"/>
      </rPr>
      <t>荣荣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</si>
  <si>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白酒</t>
    </r>
  </si>
  <si>
    <t>易哆哆</t>
  </si>
  <si>
    <t>任侠</t>
  </si>
  <si>
    <r>
      <t>白酒;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</si>
  <si>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琼</t>
    </r>
  </si>
  <si>
    <t>丁会娜</t>
  </si>
  <si>
    <r>
      <t>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开胃酒; 烈酒</t>
    </r>
  </si>
  <si>
    <t>搜山 淬云</t>
  </si>
  <si>
    <r>
      <t>四川搜山造米餐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</si>
  <si>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朗姆酒; 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</t>
    </r>
  </si>
  <si>
    <r>
      <t>洁</t>
    </r>
    <r>
      <rPr>
        <sz val="11"/>
        <color theme="1"/>
        <rFont val="ＭＳ Ｐゴシック"/>
        <family val="3"/>
        <charset val="128"/>
        <scheme val="minor"/>
      </rPr>
      <t>瑾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</si>
  <si>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梦晗</t>
    </r>
  </si>
  <si>
    <r>
      <t xml:space="preserve">青稞酒; 甜酒;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烈酒</t>
    </r>
  </si>
  <si>
    <r>
      <t>卓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</si>
  <si>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高粱酒; 果酒（含酒精）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</si>
  <si>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</si>
  <si>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唐云分布式存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</si>
  <si>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</si>
  <si>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朋酒</t>
    </r>
    <r>
      <rPr>
        <sz val="11"/>
        <color theme="1"/>
        <rFont val="ＭＳ Ｐゴシック"/>
        <family val="3"/>
        <charset val="134"/>
        <scheme val="minor"/>
      </rPr>
      <t>业</t>
    </r>
  </si>
  <si>
    <t>何宝童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</si>
  <si>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</si>
  <si>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潭洞天</t>
  </si>
  <si>
    <r>
      <t>赵亚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</si>
  <si>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葡萄酒;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米酒; 青稞酒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</si>
  <si>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沙州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</si>
  <si>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瑞******************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</si>
  <si>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</si>
  <si>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本遵名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</si>
  <si>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市赤巷酒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</si>
  <si>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</si>
  <si>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丁姑娘</t>
  </si>
  <si>
    <t>丁婉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</si>
  <si>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青稞酒; 白酒; 米酒; 蜂蜜酒; 汽酒; 食用酒精; 黄酒</t>
    </r>
  </si>
  <si>
    <r>
      <t>虔一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野</t>
    </r>
  </si>
  <si>
    <t>明金国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</si>
  <si>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</si>
  <si>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山晋洪</t>
  </si>
  <si>
    <r>
      <t>文水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盛世酒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</si>
  <si>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璐台醇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</si>
  <si>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莞市露台醇酒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</si>
  <si>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果酒;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高粱酒; 蒸煮提取物（利口酒和烈酒）; 米酒; 食用酒精; 白酒</t>
    </r>
  </si>
  <si>
    <t>年年云登</t>
  </si>
  <si>
    <r>
      <t>合肥小猪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翻天文化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</si>
  <si>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</si>
  <si>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信初真</t>
  </si>
  <si>
    <r>
      <t>赵树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</si>
  <si>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 xml:space="preserve">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白酒</t>
    </r>
  </si>
  <si>
    <t>柿安盈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</si>
  <si>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柿安盈食品有限公司</t>
    </r>
  </si>
  <si>
    <r>
      <t>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</si>
  <si>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喜溯源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</si>
  <si>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易好企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</si>
  <si>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</si>
  <si>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峰食味</t>
  </si>
  <si>
    <r>
      <t>五峰新合作商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</si>
  <si>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</si>
  <si>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黔坊皇</t>
  </si>
  <si>
    <r>
      <t>朱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</si>
  <si>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</si>
  <si>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梦溪源</t>
  </si>
  <si>
    <r>
      <t>赵</t>
    </r>
    <r>
      <rPr>
        <sz val="11"/>
        <color theme="1"/>
        <rFont val="ＭＳ Ｐゴシック"/>
        <family val="3"/>
        <charset val="128"/>
        <scheme val="minor"/>
      </rPr>
      <t>岐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</si>
  <si>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黄酒; 果酒; 清酒; 葡萄酒; 青稞酒; 高粱酒</t>
    </r>
  </si>
  <si>
    <t>抖小川</t>
  </si>
  <si>
    <r>
      <t>成都千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</si>
  <si>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伏特加酒; 利口酒;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</si>
  <si>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德泉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</si>
  <si>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盘锦鸿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</si>
  <si>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</si>
  <si>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禧迎</t>
    </r>
    <r>
      <rPr>
        <sz val="11"/>
        <color theme="1"/>
        <rFont val="ＭＳ Ｐゴシック"/>
        <family val="3"/>
        <charset val="134"/>
        <scheme val="minor"/>
      </rPr>
      <t>挚爱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</si>
  <si>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威士忌</t>
    </r>
  </si>
  <si>
    <t>渡河沙</t>
  </si>
  <si>
    <r>
      <t>查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</si>
  <si>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黄酒; 清酒（日本米酒）;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</si>
  <si>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r>
      <t>禾会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</si>
  <si>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</si>
  <si>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</si>
  <si>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t>EARTH TRAIL</t>
  </si>
  <si>
    <r>
      <t>李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</si>
  <si>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米酒; 汽酒; 葡萄酒; 白酒;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</si>
  <si>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岗连</t>
    </r>
    <r>
      <rPr>
        <sz val="11"/>
        <color theme="1"/>
        <rFont val="ＭＳ Ｐゴシック"/>
        <family val="3"/>
        <charset val="128"/>
        <scheme val="minor"/>
      </rPr>
      <t>紫峰特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</si>
  <si>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永泰</t>
    </r>
    <r>
      <rPr>
        <sz val="11"/>
        <color theme="1"/>
        <rFont val="ＭＳ Ｐゴシック"/>
        <family val="3"/>
        <charset val="134"/>
        <scheme val="minor"/>
      </rPr>
      <t>岗连</t>
    </r>
    <r>
      <rPr>
        <sz val="11"/>
        <color theme="1"/>
        <rFont val="ＭＳ Ｐゴシック"/>
        <family val="3"/>
        <charset val="128"/>
        <scheme val="minor"/>
      </rPr>
      <t>紫峰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</si>
  <si>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梅酒;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</t>
    </r>
  </si>
  <si>
    <t>洛邑禧</t>
  </si>
  <si>
    <r>
      <t>赵</t>
    </r>
    <r>
      <rPr>
        <sz val="11"/>
        <color theme="1"/>
        <rFont val="ＭＳ Ｐゴシック"/>
        <family val="3"/>
        <charset val="128"/>
        <scheme val="minor"/>
      </rPr>
      <t>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</si>
  <si>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</si>
  <si>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r>
      <t>成都山海悦餐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</si>
  <si>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</si>
  <si>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新疆中泰（集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</si>
  <si>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葡萄酒; 青稞酒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</si>
  <si>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</si>
  <si>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ZHONGYUAN GUONONG</t>
  </si>
  <si>
    <r>
      <t>杨</t>
    </r>
    <r>
      <rPr>
        <sz val="11"/>
        <color theme="1"/>
        <rFont val="ＭＳ Ｐゴシック"/>
        <family val="3"/>
        <charset val="128"/>
        <scheme val="minor"/>
      </rPr>
      <t>凌同源甄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</si>
  <si>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米酒; 葡萄酒; 白酒</t>
    </r>
  </si>
  <si>
    <t>桃桃喜物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</si>
  <si>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汉顺</t>
    </r>
    <r>
      <rPr>
        <sz val="11"/>
        <color theme="1"/>
        <rFont val="ＭＳ Ｐゴシック"/>
        <family val="3"/>
        <charset val="128"/>
        <scheme val="minor"/>
      </rPr>
      <t>鹿文化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</si>
  <si>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黄酒;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</si>
  <si>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</t>
    </r>
  </si>
  <si>
    <r>
      <t>晋香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</si>
  <si>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</si>
  <si>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小峰33号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</si>
  <si>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小峰</t>
    </r>
  </si>
  <si>
    <r>
      <t xml:space="preserve">黄酒; 果酒; 高粱酒; 米酒; 葡萄酒; 白酒;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</si>
  <si>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宝石青春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</si>
  <si>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</si>
  <si>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燎申智城</t>
  </si>
  <si>
    <r>
      <t>上海燎申（集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</si>
  <si>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</si>
  <si>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酿鸳鸯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</si>
  <si>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</si>
  <si>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成荣昌</t>
  </si>
  <si>
    <r>
      <t>健特生物集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</si>
  <si>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</si>
  <si>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</si>
  <si>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家口冠洋文化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</si>
  <si>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清酒（日本米酒）; 果酒;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</si>
  <si>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禾健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</si>
  <si>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禾健物流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</si>
  <si>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</si>
  <si>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</si>
  <si>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白酒;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</si>
  <si>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中和景禾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</si>
  <si>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庆鲲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</si>
  <si>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烈酒; 威士忌;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</si>
  <si>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孺子</t>
    </r>
    <r>
      <rPr>
        <sz val="11"/>
        <color theme="1"/>
        <rFont val="ＭＳ Ｐゴシック"/>
        <family val="3"/>
        <charset val="134"/>
        <scheme val="minor"/>
      </rPr>
      <t>驴</t>
    </r>
  </si>
  <si>
    <r>
      <t>杭州柒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</si>
  <si>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甜果酒;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果酒（含酒精）</t>
    </r>
  </si>
  <si>
    <t>SORV</t>
  </si>
  <si>
    <t>王太樊</t>
  </si>
  <si>
    <r>
      <t>白酒; 米酒; 黄酒; 葡萄酒; 清酒（日本米酒）; 青稞酒;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</si>
  <si>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侨乡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选营销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</si>
  <si>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含酒精蛋奶酒; 黄酒; 清酒（日本米酒）;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</si>
  <si>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乾辞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</si>
  <si>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昌市魏都区彬克百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</si>
  <si>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</si>
  <si>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白宗山</t>
  </si>
  <si>
    <r>
      <t>王小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</si>
  <si>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佐餐酒; 葡萄酒; 高粱酒; 青稞酒;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</t>
    </r>
  </si>
  <si>
    <t>斧斤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</si>
  <si>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市因好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</si>
  <si>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黄酒; 露酒;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</si>
  <si>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众容众和</t>
  </si>
  <si>
    <r>
      <t>浙江众容众合工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</si>
  <si>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开胃酒; 米酒; 高粱酒; 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</si>
  <si>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步大叔</t>
  </si>
  <si>
    <r>
      <t>步志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</si>
  <si>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清酒（日本米酒）;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</si>
  <si>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千秋</t>
    </r>
  </si>
  <si>
    <r>
      <t xml:space="preserve">青梅酒; 甜酒; 高粱酒;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</si>
  <si>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驰</t>
    </r>
    <r>
      <rPr>
        <sz val="11"/>
        <color theme="1"/>
        <rFont val="ＭＳ Ｐゴシック"/>
        <family val="3"/>
        <charset val="128"/>
        <scheme val="minor"/>
      </rPr>
      <t>旅</t>
    </r>
  </si>
  <si>
    <r>
      <t>蓝创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</si>
  <si>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葡萄酒; 高粱酒; 清酒;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</si>
  <si>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椿泰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</si>
  <si>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利口酒;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</si>
  <si>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来念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</si>
  <si>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</si>
  <si>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</si>
  <si>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江秋</t>
    </r>
  </si>
  <si>
    <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米酒; 白酒; 果酒;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</t>
    </r>
  </si>
  <si>
    <t>醉秋思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</si>
  <si>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青梅酒; 甜酒; 白酒; 葡萄酒; 清酒</t>
    </r>
  </si>
  <si>
    <t>唐城官</t>
  </si>
  <si>
    <r>
      <t>德州壹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</si>
  <si>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果酒（含酒精）; 开胃酒; 黄酒; 葡萄酒;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</si>
  <si>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牛清茗</t>
  </si>
  <si>
    <r>
      <t>防城港碳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科研中心有限公司</t>
    </r>
  </si>
  <si>
    <r>
      <t xml:space="preserve">米酒;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</si>
  <si>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羌王太</t>
  </si>
  <si>
    <r>
      <t>彭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</si>
  <si>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</si>
  <si>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苗之鹿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</si>
  <si>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毕</t>
    </r>
    <r>
      <rPr>
        <sz val="11"/>
        <color theme="1"/>
        <rFont val="ＭＳ Ｐゴシック"/>
        <family val="3"/>
        <charset val="128"/>
        <scheme val="minor"/>
      </rPr>
      <t>友鹿酒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</si>
  <si>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开胃酒; 果酒（含酒精）</t>
    </r>
  </si>
  <si>
    <r>
      <t>江南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</si>
  <si>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</si>
  <si>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</si>
  <si>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t>张伟</t>
  </si>
  <si>
    <r>
      <t xml:space="preserve">高粱酒;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食用酒精;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</si>
  <si>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酱颂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</si>
  <si>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</si>
  <si>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楚璀璨</t>
    </r>
  </si>
  <si>
    <t>余金火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</si>
  <si>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</si>
  <si>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LUIDA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</si>
  <si>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黄酒; 朗姆酒;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</si>
  <si>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t>福郝多</t>
  </si>
  <si>
    <r>
      <t>开封市天工坊酒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</si>
  <si>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开胃酒;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</si>
  <si>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</si>
  <si>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</si>
  <si>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葡萄酒; 清酒（日本米酒）;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</si>
  <si>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</si>
  <si>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东环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</si>
  <si>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</t>
    </r>
  </si>
  <si>
    <r>
      <t>海檀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</si>
  <si>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 xml:space="preserve">白酒; 米酒; 甜酒;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</si>
  <si>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幸福食粮</t>
  </si>
  <si>
    <t>幸福食粮（成都）科技有限公司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</si>
  <si>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葡萄酒; 苹果酒;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</si>
  <si>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广水市福达生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</si>
  <si>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食用酒精; 白酒; 果酒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</si>
  <si>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学园（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越城）文化科技有限公司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</si>
  <si>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黄酒;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</si>
  <si>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山湖永泉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</si>
  <si>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美景源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</si>
  <si>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食用酒精; 日式甜米酒; 烈性干酒;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</si>
  <si>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初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</si>
  <si>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</si>
  <si>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白干酒（中国白酒）; 高粱酒;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</si>
  <si>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雪如歌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</si>
  <si>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</si>
  <si>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VACR</t>
  </si>
  <si>
    <r>
      <t>刘加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</si>
  <si>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葡萄酒; 青稞酒</t>
    </r>
  </si>
  <si>
    <t>臣健功</t>
  </si>
  <si>
    <t>北京安徒文化有限公司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</si>
  <si>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</si>
  <si>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云南花淼蜂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</si>
  <si>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开胃酒; 黄酒; 汽酒; 果酒</t>
    </r>
  </si>
  <si>
    <t>QXHT</t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</si>
  <si>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</si>
  <si>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米酒; 白酒; 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</si>
  <si>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</si>
  <si>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白葡萄酒; 高粱酒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</si>
  <si>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</si>
  <si>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国瑞</t>
    </r>
  </si>
  <si>
    <r>
      <t>高粱酒; 黄酒; 甜酒;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</si>
  <si>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恰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</si>
  <si>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</si>
  <si>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梅酒; 果酒（含酒精）</t>
    </r>
  </si>
  <si>
    <r>
      <t>华兴</t>
    </r>
    <r>
      <rPr>
        <sz val="11"/>
        <color theme="1"/>
        <rFont val="ＭＳ Ｐゴシック"/>
        <family val="3"/>
        <charset val="128"/>
        <scheme val="minor"/>
      </rPr>
      <t>·中科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</si>
  <si>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</si>
  <si>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懒</t>
    </r>
    <r>
      <rPr>
        <sz val="11"/>
        <color theme="1"/>
        <rFont val="ＭＳ Ｐゴシック"/>
        <family val="3"/>
        <charset val="128"/>
        <scheme val="minor"/>
      </rPr>
      <t>鹿</t>
    </r>
  </si>
  <si>
    <r>
      <t>成都云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</si>
  <si>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</si>
  <si>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池籞鹿</t>
  </si>
  <si>
    <r>
      <t>延安旺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</si>
  <si>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白酒; 黄酒</t>
    </r>
  </si>
  <si>
    <t>君之戚</t>
  </si>
  <si>
    <r>
      <t>戚酒(山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</si>
  <si>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开胃酒</t>
    </r>
  </si>
  <si>
    <t>伊妃莱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</si>
  <si>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东谦圆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</si>
  <si>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混合威士忌酒;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烈酒; 利口酒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</si>
  <si>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斛仙</t>
    </r>
  </si>
  <si>
    <t>惠州市弘聚科技有限公司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</si>
  <si>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</si>
  <si>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鹿妙医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</si>
  <si>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边鉴选</t>
    </r>
    <r>
      <rPr>
        <sz val="11"/>
        <color theme="1"/>
        <rFont val="ＭＳ Ｐゴシック"/>
        <family val="3"/>
        <charset val="128"/>
        <scheme val="minor"/>
      </rPr>
      <t>奢侈品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</si>
  <si>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果酒（含酒精）; 蜂蜜酒; 葡萄酒</t>
    </r>
  </si>
  <si>
    <r>
      <t>懒鲸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</si>
  <si>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会超</t>
    </r>
  </si>
  <si>
    <r>
      <t xml:space="preserve">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</si>
  <si>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仙果庭</t>
  </si>
  <si>
    <r>
      <t>广州金因源美中生物科技集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</si>
  <si>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苹果酒</t>
    </r>
  </si>
  <si>
    <t>鑫森霖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</si>
  <si>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州鑫森霖塑胶日化有限公司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</si>
  <si>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食用酒精; 威士忌;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</si>
  <si>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甡恒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</si>
  <si>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成都捷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</si>
  <si>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</t>
    </r>
  </si>
  <si>
    <t>昆洛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</si>
  <si>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玉国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</si>
  <si>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</si>
  <si>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稚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</si>
  <si>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上海智元新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</si>
  <si>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米酒;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</si>
  <si>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臻香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农</t>
    </r>
  </si>
  <si>
    <t>徐宏波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</si>
  <si>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</si>
  <si>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</si>
  <si>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广西广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</si>
  <si>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白酒; 米酒; 食用酒精; 威士忌</t>
    </r>
  </si>
  <si>
    <t>延晟川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</si>
  <si>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朝晟商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</si>
  <si>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蒸煮提取物（利口酒和烈酒）;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</si>
  <si>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清酲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</si>
  <si>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白酒;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</si>
  <si>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清知晋</t>
  </si>
  <si>
    <r>
      <t>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</t>
    </r>
  </si>
  <si>
    <t>潘多拉梦幻 PANDUOLA DREAM</t>
  </si>
  <si>
    <r>
      <t>广州志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</si>
  <si>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威士忌; 果酒（含酒精）; 葡萄酒; 黄酒; 开胃酒;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</si>
  <si>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伊黑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</si>
  <si>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成都初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秘匠酒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</si>
  <si>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</si>
  <si>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t>双坡</t>
  </si>
  <si>
    <r>
      <t xml:space="preserve">食用酒精;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</si>
  <si>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</si>
  <si>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</t>
    </r>
  </si>
  <si>
    <t>玄愈</t>
  </si>
  <si>
    <r>
      <t>以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（深圳）科技有限公司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</si>
  <si>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</si>
  <si>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野花威威</t>
  </si>
  <si>
    <r>
      <t>广州野山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</si>
  <si>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</si>
  <si>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才</t>
    </r>
    <r>
      <rPr>
        <sz val="11"/>
        <color theme="1"/>
        <rFont val="ＭＳ Ｐゴシック"/>
        <family val="3"/>
        <charset val="134"/>
        <scheme val="minor"/>
      </rPr>
      <t>顾</t>
    </r>
  </si>
  <si>
    <r>
      <t>才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沙）有限公司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</si>
  <si>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</t>
    </r>
  </si>
  <si>
    <r>
      <t>秘境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</si>
  <si>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万源市天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文旅投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</si>
  <si>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</si>
  <si>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变</t>
    </r>
    <r>
      <rPr>
        <sz val="11"/>
        <color theme="1"/>
        <rFont val="ＭＳ Ｐゴシック"/>
        <family val="3"/>
        <charset val="128"/>
        <scheme val="minor"/>
      </rPr>
      <t>囍</t>
    </r>
  </si>
  <si>
    <r>
      <t>广州商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</si>
  <si>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汽酒;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</si>
  <si>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</si>
  <si>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于光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</si>
  <si>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果酒（含酒精）</t>
    </r>
  </si>
  <si>
    <t>金慈澧号</t>
  </si>
  <si>
    <r>
      <t>慈利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</si>
  <si>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葡萄酒; 果酒（含酒精）</t>
    </r>
  </si>
  <si>
    <r>
      <t>成都蓉味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</si>
  <si>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清酒（日本米酒）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</si>
</sst>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95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1928</v>
      </c>
      <c r="D2" s="10">
        <v>45736</v>
      </c>
      <c r="E2" s="11" t="str">
        <f>+HYPERLINK("http://trademark.i-assist.jp/data/china/image_1928th/56246827.pdf","56246827")</f>
        <v>56246827</v>
      </c>
      <c r="F2" s="9" t="s">
        <v>104</v>
      </c>
      <c r="G2" s="9" t="s">
        <v>105</v>
      </c>
      <c r="H2" s="9" t="s">
        <v>106</v>
      </c>
      <c r="I2" s="10">
        <v>44337</v>
      </c>
    </row>
    <row r="3" spans="1:9" x14ac:dyDescent="0.15">
      <c r="A3" s="9">
        <v>2</v>
      </c>
      <c r="B3" s="9" t="s">
        <v>9</v>
      </c>
      <c r="C3" s="9">
        <v>1928</v>
      </c>
      <c r="D3" s="10">
        <v>45736</v>
      </c>
      <c r="E3" s="11" t="str">
        <f>+HYPERLINK("http://trademark.i-assist.jp/data/china/image_1928th/56592241.pdf","56592241")</f>
        <v>56592241</v>
      </c>
      <c r="F3" s="9" t="s">
        <v>107</v>
      </c>
      <c r="G3" s="12" t="s">
        <v>108</v>
      </c>
      <c r="H3" s="9" t="s">
        <v>109</v>
      </c>
      <c r="I3" s="10">
        <v>44349</v>
      </c>
    </row>
    <row r="4" spans="1:9" x14ac:dyDescent="0.15">
      <c r="A4" s="9">
        <v>3</v>
      </c>
      <c r="B4" s="9" t="s">
        <v>9</v>
      </c>
      <c r="C4" s="9">
        <v>1928</v>
      </c>
      <c r="D4" s="10">
        <v>45736</v>
      </c>
      <c r="E4" s="11" t="str">
        <f>+HYPERLINK("http://trademark.i-assist.jp/data/china/image_1928th/56604102.pdf","56604102")</f>
        <v>56604102</v>
      </c>
      <c r="F4" s="9" t="s">
        <v>110</v>
      </c>
      <c r="G4" s="12" t="s">
        <v>108</v>
      </c>
      <c r="H4" s="9" t="s">
        <v>109</v>
      </c>
      <c r="I4" s="10">
        <v>44349</v>
      </c>
    </row>
    <row r="5" spans="1:9" x14ac:dyDescent="0.15">
      <c r="A5" s="9">
        <v>4</v>
      </c>
      <c r="B5" s="9" t="s">
        <v>9</v>
      </c>
      <c r="C5" s="9">
        <v>1928</v>
      </c>
      <c r="D5" s="10">
        <v>45736</v>
      </c>
      <c r="E5" s="11" t="str">
        <f>+HYPERLINK("http://trademark.i-assist.jp/data/china/image_1928th/57153259.pdf","57153259")</f>
        <v>57153259</v>
      </c>
      <c r="F5" s="9" t="s">
        <v>111</v>
      </c>
      <c r="G5" s="9" t="s">
        <v>112</v>
      </c>
      <c r="H5" s="9" t="s">
        <v>113</v>
      </c>
      <c r="I5" s="10">
        <v>44370</v>
      </c>
    </row>
    <row r="6" spans="1:9" x14ac:dyDescent="0.15">
      <c r="A6" s="9">
        <v>5</v>
      </c>
      <c r="B6" s="9" t="s">
        <v>9</v>
      </c>
      <c r="C6" s="9">
        <v>1928</v>
      </c>
      <c r="D6" s="10">
        <v>45736</v>
      </c>
      <c r="E6" s="11" t="str">
        <f>+HYPERLINK("http://trademark.i-assist.jp/data/china/image_1928th/60324106.pdf","60324106")</f>
        <v>60324106</v>
      </c>
      <c r="F6" s="9" t="s">
        <v>114</v>
      </c>
      <c r="G6" s="9" t="s">
        <v>115</v>
      </c>
      <c r="H6" s="12" t="s">
        <v>116</v>
      </c>
      <c r="I6" s="10">
        <v>44503</v>
      </c>
    </row>
    <row r="7" spans="1:9" x14ac:dyDescent="0.15">
      <c r="A7" s="9">
        <v>6</v>
      </c>
      <c r="B7" s="9" t="s">
        <v>9</v>
      </c>
      <c r="C7" s="9">
        <v>1928</v>
      </c>
      <c r="D7" s="10">
        <v>45736</v>
      </c>
      <c r="E7" s="11" t="str">
        <f>+HYPERLINK("http://trademark.i-assist.jp/data/china/image_1928th/61187391.pdf","61187391")</f>
        <v>61187391</v>
      </c>
      <c r="F7" s="9" t="s">
        <v>117</v>
      </c>
      <c r="G7" s="12" t="s">
        <v>118</v>
      </c>
      <c r="H7" s="9" t="s">
        <v>119</v>
      </c>
      <c r="I7" s="10">
        <v>44537</v>
      </c>
    </row>
    <row r="8" spans="1:9" x14ac:dyDescent="0.15">
      <c r="A8" s="9">
        <v>7</v>
      </c>
      <c r="B8" s="9" t="s">
        <v>9</v>
      </c>
      <c r="C8" s="9">
        <v>1928</v>
      </c>
      <c r="D8" s="10">
        <v>45736</v>
      </c>
      <c r="E8" s="11" t="str">
        <f>+HYPERLINK("http://trademark.i-assist.jp/data/china/image_1928th/62032272.pdf","62032272")</f>
        <v>62032272</v>
      </c>
      <c r="F8" s="9" t="s">
        <v>120</v>
      </c>
      <c r="G8" s="12" t="s">
        <v>121</v>
      </c>
      <c r="H8" s="9" t="s">
        <v>122</v>
      </c>
      <c r="I8" s="10">
        <v>44571</v>
      </c>
    </row>
    <row r="9" spans="1:9" x14ac:dyDescent="0.15">
      <c r="A9" s="9">
        <v>8</v>
      </c>
      <c r="B9" s="9" t="s">
        <v>9</v>
      </c>
      <c r="C9" s="9">
        <v>1928</v>
      </c>
      <c r="D9" s="10">
        <v>45736</v>
      </c>
      <c r="E9" s="11" t="str">
        <f>+HYPERLINK("http://trademark.i-assist.jp/data/china/image_1928th/62584521.pdf","62584521")</f>
        <v>62584521</v>
      </c>
      <c r="F9" s="9" t="s">
        <v>123</v>
      </c>
      <c r="G9" s="9" t="s">
        <v>124</v>
      </c>
      <c r="H9" s="9" t="s">
        <v>125</v>
      </c>
      <c r="I9" s="10">
        <v>44606</v>
      </c>
    </row>
    <row r="10" spans="1:9" x14ac:dyDescent="0.15">
      <c r="A10" s="9">
        <v>9</v>
      </c>
      <c r="B10" s="9" t="s">
        <v>9</v>
      </c>
      <c r="C10" s="9">
        <v>1928</v>
      </c>
      <c r="D10" s="10">
        <v>45736</v>
      </c>
      <c r="E10" s="11" t="str">
        <f>+HYPERLINK("http://trademark.i-assist.jp/data/china/image_1928th/64537026.pdf","64537026")</f>
        <v>64537026</v>
      </c>
      <c r="F10" s="9" t="s">
        <v>126</v>
      </c>
      <c r="G10" s="12" t="s">
        <v>127</v>
      </c>
      <c r="H10" s="12" t="s">
        <v>128</v>
      </c>
      <c r="I10" s="10">
        <v>44692</v>
      </c>
    </row>
    <row r="11" spans="1:9" x14ac:dyDescent="0.15">
      <c r="A11" s="9">
        <v>10</v>
      </c>
      <c r="B11" s="9" t="s">
        <v>9</v>
      </c>
      <c r="C11" s="9">
        <v>1928</v>
      </c>
      <c r="D11" s="10">
        <v>45736</v>
      </c>
      <c r="E11" s="11" t="str">
        <f>+HYPERLINK("http://trademark.i-assist.jp/data/china/image_1928th/65586163.pdf","65586163")</f>
        <v>65586163</v>
      </c>
      <c r="F11" s="9" t="s">
        <v>129</v>
      </c>
      <c r="G11" s="9" t="s">
        <v>130</v>
      </c>
      <c r="H11" s="9" t="s">
        <v>131</v>
      </c>
      <c r="I11" s="10">
        <v>44739</v>
      </c>
    </row>
    <row r="12" spans="1:9" x14ac:dyDescent="0.15">
      <c r="A12" s="9">
        <v>11</v>
      </c>
      <c r="B12" s="9" t="s">
        <v>9</v>
      </c>
      <c r="C12" s="9">
        <v>1928</v>
      </c>
      <c r="D12" s="10">
        <v>45736</v>
      </c>
      <c r="E12" s="11" t="str">
        <f>+HYPERLINK("http://trademark.i-assist.jp/data/china/image_1928th/66402065.pdf","66402065")</f>
        <v>66402065</v>
      </c>
      <c r="F12" s="9" t="s">
        <v>132</v>
      </c>
      <c r="G12" s="9" t="s">
        <v>133</v>
      </c>
      <c r="H12" s="9" t="s">
        <v>134</v>
      </c>
      <c r="I12" s="10">
        <v>44777</v>
      </c>
    </row>
    <row r="13" spans="1:9" x14ac:dyDescent="0.15">
      <c r="A13" s="9">
        <v>12</v>
      </c>
      <c r="B13" s="9" t="s">
        <v>9</v>
      </c>
      <c r="C13" s="9">
        <v>1928</v>
      </c>
      <c r="D13" s="10">
        <v>45736</v>
      </c>
      <c r="E13" s="11" t="str">
        <f>+HYPERLINK("http://trademark.i-assist.jp/data/china/image_1928th/66490997.pdf","66490997")</f>
        <v>66490997</v>
      </c>
      <c r="F13" s="9" t="s">
        <v>135</v>
      </c>
      <c r="G13" s="12" t="s">
        <v>136</v>
      </c>
      <c r="H13" s="9" t="s">
        <v>137</v>
      </c>
      <c r="I13" s="10">
        <v>44782</v>
      </c>
    </row>
    <row r="14" spans="1:9" x14ac:dyDescent="0.15">
      <c r="A14" s="9">
        <v>13</v>
      </c>
      <c r="B14" s="9" t="s">
        <v>9</v>
      </c>
      <c r="C14" s="9">
        <v>1928</v>
      </c>
      <c r="D14" s="10">
        <v>45736</v>
      </c>
      <c r="E14" s="11" t="str">
        <f>+HYPERLINK("http://trademark.i-assist.jp/data/china/image_1928th/66650251.pdf","66650251")</f>
        <v>66650251</v>
      </c>
      <c r="F14" s="9" t="s">
        <v>138</v>
      </c>
      <c r="G14" s="12" t="s">
        <v>139</v>
      </c>
      <c r="H14" s="9" t="s">
        <v>140</v>
      </c>
      <c r="I14" s="10">
        <v>44790</v>
      </c>
    </row>
    <row r="15" spans="1:9" x14ac:dyDescent="0.15">
      <c r="A15" s="9">
        <v>14</v>
      </c>
      <c r="B15" s="9" t="s">
        <v>9</v>
      </c>
      <c r="C15" s="9">
        <v>1928</v>
      </c>
      <c r="D15" s="10">
        <v>45736</v>
      </c>
      <c r="E15" s="11" t="str">
        <f>+HYPERLINK("http://trademark.i-assist.jp/data/china/image_1928th/66675433.pdf","66675433")</f>
        <v>66675433</v>
      </c>
      <c r="F15" s="9" t="s">
        <v>141</v>
      </c>
      <c r="G15" s="9" t="s">
        <v>142</v>
      </c>
      <c r="H15" s="9" t="s">
        <v>143</v>
      </c>
      <c r="I15" s="10">
        <v>44791</v>
      </c>
    </row>
    <row r="16" spans="1:9" x14ac:dyDescent="0.15">
      <c r="A16" s="9">
        <v>15</v>
      </c>
      <c r="B16" s="9" t="s">
        <v>9</v>
      </c>
      <c r="C16" s="9">
        <v>1928</v>
      </c>
      <c r="D16" s="10">
        <v>45736</v>
      </c>
      <c r="E16" s="11" t="str">
        <f>+HYPERLINK("http://trademark.i-assist.jp/data/china/image_1928th/66824576.pdf","66824576")</f>
        <v>66824576</v>
      </c>
      <c r="F16" s="9" t="s">
        <v>144</v>
      </c>
      <c r="G16" s="9" t="s">
        <v>145</v>
      </c>
      <c r="H16" s="9" t="s">
        <v>146</v>
      </c>
      <c r="I16" s="10">
        <v>44798</v>
      </c>
    </row>
    <row r="17" spans="1:9" x14ac:dyDescent="0.15">
      <c r="A17" s="9">
        <v>16</v>
      </c>
      <c r="B17" s="9" t="s">
        <v>9</v>
      </c>
      <c r="C17" s="9">
        <v>1928</v>
      </c>
      <c r="D17" s="10">
        <v>45736</v>
      </c>
      <c r="E17" s="11" t="str">
        <f>+HYPERLINK("http://trademark.i-assist.jp/data/china/image_1928th/66907220.pdf","66907220")</f>
        <v>66907220</v>
      </c>
      <c r="F17" s="9" t="s">
        <v>147</v>
      </c>
      <c r="G17" s="9" t="s">
        <v>148</v>
      </c>
      <c r="H17" s="9" t="s">
        <v>149</v>
      </c>
      <c r="I17" s="10">
        <v>44803</v>
      </c>
    </row>
    <row r="18" spans="1:9" x14ac:dyDescent="0.15">
      <c r="A18" s="9">
        <v>17</v>
      </c>
      <c r="B18" s="9" t="s">
        <v>9</v>
      </c>
      <c r="C18" s="9">
        <v>1928</v>
      </c>
      <c r="D18" s="10">
        <v>45736</v>
      </c>
      <c r="E18" s="11" t="str">
        <f>+HYPERLINK("http://trademark.i-assist.jp/data/china/image_1928th/67085763.pdf","67085763")</f>
        <v>67085763</v>
      </c>
      <c r="F18" s="12" t="s">
        <v>150</v>
      </c>
      <c r="G18" s="12" t="s">
        <v>151</v>
      </c>
      <c r="H18" s="9" t="s">
        <v>152</v>
      </c>
      <c r="I18" s="10">
        <v>44811</v>
      </c>
    </row>
    <row r="19" spans="1:9" x14ac:dyDescent="0.15">
      <c r="A19" s="9">
        <v>18</v>
      </c>
      <c r="B19" s="9" t="s">
        <v>9</v>
      </c>
      <c r="C19" s="9">
        <v>1928</v>
      </c>
      <c r="D19" s="10">
        <v>45736</v>
      </c>
      <c r="E19" s="11" t="str">
        <f>+HYPERLINK("http://trademark.i-assist.jp/data/china/image_1928th/67087240.pdf","67087240")</f>
        <v>67087240</v>
      </c>
      <c r="F19" s="12" t="s">
        <v>150</v>
      </c>
      <c r="G19" s="12" t="s">
        <v>151</v>
      </c>
      <c r="H19" s="9" t="s">
        <v>153</v>
      </c>
      <c r="I19" s="10">
        <v>44811</v>
      </c>
    </row>
    <row r="20" spans="1:9" x14ac:dyDescent="0.15">
      <c r="A20" s="9">
        <v>19</v>
      </c>
      <c r="B20" s="9" t="s">
        <v>9</v>
      </c>
      <c r="C20" s="9">
        <v>1928</v>
      </c>
      <c r="D20" s="10">
        <v>45736</v>
      </c>
      <c r="E20" s="11" t="str">
        <f>+HYPERLINK("http://trademark.i-assist.jp/data/china/image_1928th/67095252.pdf","67095252")</f>
        <v>67095252</v>
      </c>
      <c r="F20" s="9" t="s">
        <v>154</v>
      </c>
      <c r="G20" s="9" t="s">
        <v>155</v>
      </c>
      <c r="H20" s="9" t="s">
        <v>156</v>
      </c>
      <c r="I20" s="10">
        <v>44812</v>
      </c>
    </row>
    <row r="21" spans="1:9" x14ac:dyDescent="0.15">
      <c r="A21" s="9">
        <v>20</v>
      </c>
      <c r="B21" s="9" t="s">
        <v>9</v>
      </c>
      <c r="C21" s="9">
        <v>1928</v>
      </c>
      <c r="D21" s="10">
        <v>45736</v>
      </c>
      <c r="E21" s="11" t="str">
        <f>+HYPERLINK("http://trademark.i-assist.jp/data/china/image_1928th/67354559.pdf","67354559")</f>
        <v>67354559</v>
      </c>
      <c r="F21" s="9" t="s">
        <v>157</v>
      </c>
      <c r="G21" s="9" t="s">
        <v>158</v>
      </c>
      <c r="H21" s="9" t="s">
        <v>159</v>
      </c>
      <c r="I21" s="10">
        <v>44826</v>
      </c>
    </row>
    <row r="22" spans="1:9" x14ac:dyDescent="0.15">
      <c r="A22" s="9">
        <v>21</v>
      </c>
      <c r="B22" s="9" t="s">
        <v>9</v>
      </c>
      <c r="C22" s="9">
        <v>1928</v>
      </c>
      <c r="D22" s="10">
        <v>45736</v>
      </c>
      <c r="E22" s="11" t="str">
        <f>+HYPERLINK("http://trademark.i-assist.jp/data/china/image_1928th/67356309.pdf","67356309")</f>
        <v>67356309</v>
      </c>
      <c r="F22" s="9" t="s">
        <v>160</v>
      </c>
      <c r="G22" s="9" t="s">
        <v>161</v>
      </c>
      <c r="H22" s="9" t="s">
        <v>162</v>
      </c>
      <c r="I22" s="10">
        <v>44826</v>
      </c>
    </row>
    <row r="23" spans="1:9" x14ac:dyDescent="0.15">
      <c r="A23" s="9">
        <v>22</v>
      </c>
      <c r="B23" s="9" t="s">
        <v>9</v>
      </c>
      <c r="C23" s="9">
        <v>1928</v>
      </c>
      <c r="D23" s="10">
        <v>45736</v>
      </c>
      <c r="E23" s="11" t="str">
        <f>+HYPERLINK("http://trademark.i-assist.jp/data/china/image_1928th/68729540.pdf","68729540")</f>
        <v>68729540</v>
      </c>
      <c r="F23" s="9" t="s">
        <v>163</v>
      </c>
      <c r="G23" s="12" t="s">
        <v>139</v>
      </c>
      <c r="H23" s="9" t="s">
        <v>164</v>
      </c>
      <c r="I23" s="10">
        <v>44901</v>
      </c>
    </row>
    <row r="24" spans="1:9" x14ac:dyDescent="0.15">
      <c r="A24" s="9">
        <v>23</v>
      </c>
      <c r="B24" s="9" t="s">
        <v>9</v>
      </c>
      <c r="C24" s="9">
        <v>1928</v>
      </c>
      <c r="D24" s="10">
        <v>45736</v>
      </c>
      <c r="E24" s="11" t="str">
        <f>+HYPERLINK("http://trademark.i-assist.jp/data/china/image_1928th/68977504.pdf","68977504")</f>
        <v>68977504</v>
      </c>
      <c r="F24" s="12" t="s">
        <v>165</v>
      </c>
      <c r="G24" s="9" t="s">
        <v>166</v>
      </c>
      <c r="H24" s="9" t="s">
        <v>167</v>
      </c>
      <c r="I24" s="10">
        <v>44918</v>
      </c>
    </row>
    <row r="25" spans="1:9" x14ac:dyDescent="0.15">
      <c r="A25" s="9">
        <v>24</v>
      </c>
      <c r="B25" s="9" t="s">
        <v>9</v>
      </c>
      <c r="C25" s="9">
        <v>1928</v>
      </c>
      <c r="D25" s="10">
        <v>45736</v>
      </c>
      <c r="E25" s="11" t="str">
        <f>+HYPERLINK("http://trademark.i-assist.jp/data/china/image_1928th/69044973.pdf","69044973")</f>
        <v>69044973</v>
      </c>
      <c r="F25" s="9" t="s">
        <v>168</v>
      </c>
      <c r="G25" s="9" t="s">
        <v>169</v>
      </c>
      <c r="H25" s="9" t="s">
        <v>170</v>
      </c>
      <c r="I25" s="10">
        <v>44924</v>
      </c>
    </row>
    <row r="26" spans="1:9" x14ac:dyDescent="0.15">
      <c r="A26" s="9">
        <v>25</v>
      </c>
      <c r="B26" s="9" t="s">
        <v>9</v>
      </c>
      <c r="C26" s="9">
        <v>1928</v>
      </c>
      <c r="D26" s="10">
        <v>45736</v>
      </c>
      <c r="E26" s="11" t="str">
        <f>+HYPERLINK("http://trademark.i-assist.jp/data/china/image_1928th/69775657.pdf","69775657")</f>
        <v>69775657</v>
      </c>
      <c r="F26" s="12" t="s">
        <v>171</v>
      </c>
      <c r="G26" s="12" t="s">
        <v>139</v>
      </c>
      <c r="H26" s="9" t="s">
        <v>172</v>
      </c>
      <c r="I26" s="10">
        <v>44980</v>
      </c>
    </row>
    <row r="27" spans="1:9" x14ac:dyDescent="0.15">
      <c r="A27" s="9">
        <v>26</v>
      </c>
      <c r="B27" s="9" t="s">
        <v>9</v>
      </c>
      <c r="C27" s="9">
        <v>1928</v>
      </c>
      <c r="D27" s="10">
        <v>45736</v>
      </c>
      <c r="E27" s="11" t="str">
        <f>+HYPERLINK("http://trademark.i-assist.jp/data/china/image_1928th/70001595.pdf","70001595")</f>
        <v>70001595</v>
      </c>
      <c r="F27" s="9" t="s">
        <v>173</v>
      </c>
      <c r="G27" s="9" t="s">
        <v>174</v>
      </c>
      <c r="H27" s="9" t="s">
        <v>175</v>
      </c>
      <c r="I27" s="10">
        <v>44992</v>
      </c>
    </row>
    <row r="28" spans="1:9" x14ac:dyDescent="0.15">
      <c r="A28" s="9">
        <v>27</v>
      </c>
      <c r="B28" s="9" t="s">
        <v>9</v>
      </c>
      <c r="C28" s="9">
        <v>1928</v>
      </c>
      <c r="D28" s="10">
        <v>45736</v>
      </c>
      <c r="E28" s="11" t="str">
        <f>+HYPERLINK("http://trademark.i-assist.jp/data/china/image_1928th/70002942.pdf","70002942")</f>
        <v>70002942</v>
      </c>
      <c r="F28" s="9" t="s">
        <v>176</v>
      </c>
      <c r="G28" s="12" t="s">
        <v>177</v>
      </c>
      <c r="H28" s="9" t="s">
        <v>178</v>
      </c>
      <c r="I28" s="10">
        <v>44992</v>
      </c>
    </row>
    <row r="29" spans="1:9" x14ac:dyDescent="0.15">
      <c r="A29" s="9">
        <v>28</v>
      </c>
      <c r="B29" s="9" t="s">
        <v>9</v>
      </c>
      <c r="C29" s="9">
        <v>1928</v>
      </c>
      <c r="D29" s="10">
        <v>45736</v>
      </c>
      <c r="E29" s="11" t="str">
        <f>+HYPERLINK("http://trademark.i-assist.jp/data/china/image_1928th/70262317.pdf","70262317")</f>
        <v>70262317</v>
      </c>
      <c r="F29" s="9" t="s">
        <v>179</v>
      </c>
      <c r="G29" s="9" t="s">
        <v>180</v>
      </c>
      <c r="H29" s="9" t="s">
        <v>181</v>
      </c>
      <c r="I29" s="10">
        <v>45002</v>
      </c>
    </row>
    <row r="30" spans="1:9" x14ac:dyDescent="0.15">
      <c r="A30" s="9">
        <v>29</v>
      </c>
      <c r="B30" s="9" t="s">
        <v>9</v>
      </c>
      <c r="C30" s="9">
        <v>1928</v>
      </c>
      <c r="D30" s="10">
        <v>45736</v>
      </c>
      <c r="E30" s="11" t="str">
        <f>+HYPERLINK("http://trademark.i-assist.jp/data/china/image_1928th/70275685.pdf","70275685")</f>
        <v>70275685</v>
      </c>
      <c r="F30" s="9" t="s">
        <v>182</v>
      </c>
      <c r="G30" s="12" t="s">
        <v>183</v>
      </c>
      <c r="H30" s="9" t="s">
        <v>184</v>
      </c>
      <c r="I30" s="10">
        <v>45002</v>
      </c>
    </row>
    <row r="31" spans="1:9" x14ac:dyDescent="0.15">
      <c r="A31" s="9">
        <v>30</v>
      </c>
      <c r="B31" s="9" t="s">
        <v>9</v>
      </c>
      <c r="C31" s="9">
        <v>1928</v>
      </c>
      <c r="D31" s="10">
        <v>45736</v>
      </c>
      <c r="E31" s="11" t="str">
        <f>+HYPERLINK("http://trademark.i-assist.jp/data/china/image_1928th/70294540.pdf","70294540")</f>
        <v>70294540</v>
      </c>
      <c r="F31" s="12" t="s">
        <v>18</v>
      </c>
      <c r="G31" s="9" t="s">
        <v>185</v>
      </c>
      <c r="H31" s="12" t="s">
        <v>186</v>
      </c>
      <c r="I31" s="10">
        <v>45004</v>
      </c>
    </row>
    <row r="32" spans="1:9" x14ac:dyDescent="0.15">
      <c r="A32" s="9">
        <v>31</v>
      </c>
      <c r="B32" s="9" t="s">
        <v>9</v>
      </c>
      <c r="C32" s="9">
        <v>1928</v>
      </c>
      <c r="D32" s="10">
        <v>45736</v>
      </c>
      <c r="E32" s="11" t="str">
        <f>+HYPERLINK("http://trademark.i-assist.jp/data/china/image_1928th/70718356.pdf","70718356")</f>
        <v>70718356</v>
      </c>
      <c r="F32" s="9" t="s">
        <v>187</v>
      </c>
      <c r="G32" s="9" t="s">
        <v>188</v>
      </c>
      <c r="H32" s="9" t="s">
        <v>189</v>
      </c>
      <c r="I32" s="10">
        <v>45022</v>
      </c>
    </row>
    <row r="33" spans="1:9" x14ac:dyDescent="0.15">
      <c r="A33" s="9">
        <v>32</v>
      </c>
      <c r="B33" s="9" t="s">
        <v>9</v>
      </c>
      <c r="C33" s="9">
        <v>1928</v>
      </c>
      <c r="D33" s="10">
        <v>45736</v>
      </c>
      <c r="E33" s="11" t="str">
        <f>+HYPERLINK("http://trademark.i-assist.jp/data/china/image_1928th/71138622.pdf","71138622")</f>
        <v>71138622</v>
      </c>
      <c r="F33" s="12" t="s">
        <v>190</v>
      </c>
      <c r="G33" s="9" t="s">
        <v>191</v>
      </c>
      <c r="H33" s="9" t="s">
        <v>192</v>
      </c>
      <c r="I33" s="10">
        <v>45040</v>
      </c>
    </row>
    <row r="34" spans="1:9" x14ac:dyDescent="0.15">
      <c r="A34" s="9">
        <v>33</v>
      </c>
      <c r="B34" s="9" t="s">
        <v>9</v>
      </c>
      <c r="C34" s="9">
        <v>1928</v>
      </c>
      <c r="D34" s="10">
        <v>45736</v>
      </c>
      <c r="E34" s="11" t="str">
        <f>+HYPERLINK("http://trademark.i-assist.jp/data/china/image_1928th/71462318.pdf","71462318")</f>
        <v>71462318</v>
      </c>
      <c r="F34" s="12" t="s">
        <v>193</v>
      </c>
      <c r="G34" s="9" t="s">
        <v>194</v>
      </c>
      <c r="H34" s="9" t="s">
        <v>195</v>
      </c>
      <c r="I34" s="10">
        <v>45056</v>
      </c>
    </row>
    <row r="35" spans="1:9" x14ac:dyDescent="0.15">
      <c r="A35" s="9">
        <v>34</v>
      </c>
      <c r="B35" s="9" t="s">
        <v>9</v>
      </c>
      <c r="C35" s="9">
        <v>1928</v>
      </c>
      <c r="D35" s="10">
        <v>45736</v>
      </c>
      <c r="E35" s="11" t="str">
        <f>+HYPERLINK("http://trademark.i-assist.jp/data/china/image_1928th/74293150.pdf","74293150")</f>
        <v>74293150</v>
      </c>
      <c r="F35" s="9" t="s">
        <v>196</v>
      </c>
      <c r="G35" s="9" t="s">
        <v>197</v>
      </c>
      <c r="H35" s="9" t="s">
        <v>198</v>
      </c>
      <c r="I35" s="10">
        <v>45194</v>
      </c>
    </row>
    <row r="36" spans="1:9" x14ac:dyDescent="0.15">
      <c r="A36" s="9">
        <v>35</v>
      </c>
      <c r="B36" s="9" t="s">
        <v>9</v>
      </c>
      <c r="C36" s="9">
        <v>1928</v>
      </c>
      <c r="D36" s="10">
        <v>45736</v>
      </c>
      <c r="E36" s="11" t="str">
        <f>+HYPERLINK("http://trademark.i-assist.jp/data/china/image_1928th/74364833.pdf","74364833")</f>
        <v>74364833</v>
      </c>
      <c r="F36" s="9" t="s">
        <v>199</v>
      </c>
      <c r="G36" s="12" t="s">
        <v>200</v>
      </c>
      <c r="H36" s="9" t="s">
        <v>201</v>
      </c>
      <c r="I36" s="10">
        <v>45197</v>
      </c>
    </row>
    <row r="37" spans="1:9" x14ac:dyDescent="0.15">
      <c r="A37" s="9">
        <v>36</v>
      </c>
      <c r="B37" s="9" t="s">
        <v>9</v>
      </c>
      <c r="C37" s="9">
        <v>1928</v>
      </c>
      <c r="D37" s="10">
        <v>45736</v>
      </c>
      <c r="E37" s="11" t="str">
        <f>+HYPERLINK("http://trademark.i-assist.jp/data/china/image_1928th/74979378.pdf","74979378")</f>
        <v>74979378</v>
      </c>
      <c r="F37" s="12" t="s">
        <v>202</v>
      </c>
      <c r="G37" s="12" t="s">
        <v>21</v>
      </c>
      <c r="H37" s="9" t="s">
        <v>203</v>
      </c>
      <c r="I37" s="10">
        <v>45234</v>
      </c>
    </row>
    <row r="38" spans="1:9" x14ac:dyDescent="0.15">
      <c r="A38" s="9">
        <v>37</v>
      </c>
      <c r="B38" s="9" t="s">
        <v>9</v>
      </c>
      <c r="C38" s="9">
        <v>1928</v>
      </c>
      <c r="D38" s="10">
        <v>45736</v>
      </c>
      <c r="E38" s="11" t="str">
        <f>+HYPERLINK("http://trademark.i-assist.jp/data/china/image_1928th/75037079.pdf","75037079")</f>
        <v>75037079</v>
      </c>
      <c r="F38" s="9" t="s">
        <v>204</v>
      </c>
      <c r="G38" s="9" t="s">
        <v>205</v>
      </c>
      <c r="H38" s="9" t="s">
        <v>206</v>
      </c>
      <c r="I38" s="10">
        <v>45237</v>
      </c>
    </row>
    <row r="39" spans="1:9" x14ac:dyDescent="0.15">
      <c r="A39" s="9">
        <v>38</v>
      </c>
      <c r="B39" s="9" t="s">
        <v>9</v>
      </c>
      <c r="C39" s="9">
        <v>1928</v>
      </c>
      <c r="D39" s="10">
        <v>45736</v>
      </c>
      <c r="E39" s="11" t="str">
        <f>+HYPERLINK("http://trademark.i-assist.jp/data/china/image_1928th/75044336.pdf","75044336")</f>
        <v>75044336</v>
      </c>
      <c r="F39" s="9" t="s">
        <v>207</v>
      </c>
      <c r="G39" s="9" t="s">
        <v>208</v>
      </c>
      <c r="H39" s="9" t="s">
        <v>209</v>
      </c>
      <c r="I39" s="10">
        <v>45238</v>
      </c>
    </row>
    <row r="40" spans="1:9" x14ac:dyDescent="0.15">
      <c r="A40" s="9">
        <v>39</v>
      </c>
      <c r="B40" s="9" t="s">
        <v>9</v>
      </c>
      <c r="C40" s="9">
        <v>1928</v>
      </c>
      <c r="D40" s="10">
        <v>45736</v>
      </c>
      <c r="E40" s="11" t="str">
        <f>+HYPERLINK("http://trademark.i-assist.jp/data/china/image_1928th/75046453.pdf","75046453")</f>
        <v>75046453</v>
      </c>
      <c r="F40" s="9" t="s">
        <v>210</v>
      </c>
      <c r="G40" s="9" t="s">
        <v>208</v>
      </c>
      <c r="H40" s="9" t="s">
        <v>211</v>
      </c>
      <c r="I40" s="10">
        <v>45238</v>
      </c>
    </row>
    <row r="41" spans="1:9" x14ac:dyDescent="0.15">
      <c r="A41" s="9">
        <v>40</v>
      </c>
      <c r="B41" s="9" t="s">
        <v>9</v>
      </c>
      <c r="C41" s="9">
        <v>1928</v>
      </c>
      <c r="D41" s="10">
        <v>45736</v>
      </c>
      <c r="E41" s="11" t="str">
        <f>+HYPERLINK("http://trademark.i-assist.jp/data/china/image_1928th/75048487.pdf","75048487")</f>
        <v>75048487</v>
      </c>
      <c r="F41" s="12" t="s">
        <v>212</v>
      </c>
      <c r="G41" s="9" t="s">
        <v>208</v>
      </c>
      <c r="H41" s="9" t="s">
        <v>213</v>
      </c>
      <c r="I41" s="10">
        <v>45238</v>
      </c>
    </row>
    <row r="42" spans="1:9" x14ac:dyDescent="0.15">
      <c r="A42" s="9">
        <v>41</v>
      </c>
      <c r="B42" s="9" t="s">
        <v>9</v>
      </c>
      <c r="C42" s="9">
        <v>1928</v>
      </c>
      <c r="D42" s="10">
        <v>45736</v>
      </c>
      <c r="E42" s="11" t="str">
        <f>+HYPERLINK("http://trademark.i-assist.jp/data/china/image_1928th/75067675.pdf","75067675")</f>
        <v>75067675</v>
      </c>
      <c r="F42" s="9" t="s">
        <v>214</v>
      </c>
      <c r="G42" s="12" t="s">
        <v>215</v>
      </c>
      <c r="H42" s="9" t="s">
        <v>216</v>
      </c>
      <c r="I42" s="10">
        <v>45239</v>
      </c>
    </row>
    <row r="43" spans="1:9" x14ac:dyDescent="0.15">
      <c r="A43" s="9">
        <v>42</v>
      </c>
      <c r="B43" s="9" t="s">
        <v>9</v>
      </c>
      <c r="C43" s="9">
        <v>1928</v>
      </c>
      <c r="D43" s="10">
        <v>45736</v>
      </c>
      <c r="E43" s="11" t="str">
        <f>+HYPERLINK("http://trademark.i-assist.jp/data/china/image_1928th/75078298.pdf","75078298")</f>
        <v>75078298</v>
      </c>
      <c r="F43" s="9" t="s">
        <v>217</v>
      </c>
      <c r="G43" s="9" t="s">
        <v>208</v>
      </c>
      <c r="H43" s="9" t="s">
        <v>218</v>
      </c>
      <c r="I43" s="10">
        <v>45239</v>
      </c>
    </row>
    <row r="44" spans="1:9" x14ac:dyDescent="0.15">
      <c r="A44" s="9">
        <v>43</v>
      </c>
      <c r="B44" s="9" t="s">
        <v>9</v>
      </c>
      <c r="C44" s="9">
        <v>1928</v>
      </c>
      <c r="D44" s="10">
        <v>45736</v>
      </c>
      <c r="E44" s="11" t="str">
        <f>+HYPERLINK("http://trademark.i-assist.jp/data/china/image_1928th/75101836.pdf","75101836")</f>
        <v>75101836</v>
      </c>
      <c r="F44" s="9" t="s">
        <v>219</v>
      </c>
      <c r="G44" s="9" t="s">
        <v>20</v>
      </c>
      <c r="H44" s="12" t="s">
        <v>220</v>
      </c>
      <c r="I44" s="10">
        <v>45240</v>
      </c>
    </row>
    <row r="45" spans="1:9" x14ac:dyDescent="0.15">
      <c r="A45" s="9">
        <v>44</v>
      </c>
      <c r="B45" s="9" t="s">
        <v>9</v>
      </c>
      <c r="C45" s="9">
        <v>1928</v>
      </c>
      <c r="D45" s="10">
        <v>45736</v>
      </c>
      <c r="E45" s="11" t="str">
        <f>+HYPERLINK("http://trademark.i-assist.jp/data/china/image_1928th/75106289.pdf","75106289")</f>
        <v>75106289</v>
      </c>
      <c r="F45" s="12" t="s">
        <v>221</v>
      </c>
      <c r="G45" s="12" t="s">
        <v>222</v>
      </c>
      <c r="H45" s="9" t="s">
        <v>223</v>
      </c>
      <c r="I45" s="10">
        <v>45240</v>
      </c>
    </row>
    <row r="46" spans="1:9" x14ac:dyDescent="0.15">
      <c r="A46" s="9">
        <v>45</v>
      </c>
      <c r="B46" s="9" t="s">
        <v>9</v>
      </c>
      <c r="C46" s="9">
        <v>1928</v>
      </c>
      <c r="D46" s="10">
        <v>45736</v>
      </c>
      <c r="E46" s="11" t="str">
        <f>+HYPERLINK("http://trademark.i-assist.jp/data/china/image_1928th/75133887.pdf","75133887")</f>
        <v>75133887</v>
      </c>
      <c r="F46" s="9" t="s">
        <v>224</v>
      </c>
      <c r="G46" s="9" t="s">
        <v>225</v>
      </c>
      <c r="H46" s="12" t="s">
        <v>226</v>
      </c>
      <c r="I46" s="10">
        <v>45243</v>
      </c>
    </row>
    <row r="47" spans="1:9" x14ac:dyDescent="0.15">
      <c r="A47" s="9">
        <v>46</v>
      </c>
      <c r="B47" s="9" t="s">
        <v>9</v>
      </c>
      <c r="C47" s="9">
        <v>1928</v>
      </c>
      <c r="D47" s="10">
        <v>45736</v>
      </c>
      <c r="E47" s="11" t="str">
        <f>+HYPERLINK("http://trademark.i-assist.jp/data/china/image_1928th/75139319.pdf","75139319")</f>
        <v>75139319</v>
      </c>
      <c r="F47" s="9" t="s">
        <v>227</v>
      </c>
      <c r="G47" s="9" t="s">
        <v>228</v>
      </c>
      <c r="H47" s="9" t="s">
        <v>229</v>
      </c>
      <c r="I47" s="10">
        <v>45243</v>
      </c>
    </row>
    <row r="48" spans="1:9" x14ac:dyDescent="0.15">
      <c r="A48" s="9">
        <v>47</v>
      </c>
      <c r="B48" s="9" t="s">
        <v>9</v>
      </c>
      <c r="C48" s="9">
        <v>1928</v>
      </c>
      <c r="D48" s="10">
        <v>45736</v>
      </c>
      <c r="E48" s="11" t="str">
        <f>+HYPERLINK("http://trademark.i-assist.jp/data/china/image_1928th/75341267.pdf","75341267")</f>
        <v>75341267</v>
      </c>
      <c r="F48" s="9" t="s">
        <v>230</v>
      </c>
      <c r="G48" s="9" t="s">
        <v>231</v>
      </c>
      <c r="H48" s="9" t="s">
        <v>232</v>
      </c>
      <c r="I48" s="10">
        <v>45252</v>
      </c>
    </row>
    <row r="49" spans="1:9" x14ac:dyDescent="0.15">
      <c r="A49" s="9">
        <v>48</v>
      </c>
      <c r="B49" s="9" t="s">
        <v>9</v>
      </c>
      <c r="C49" s="9">
        <v>1928</v>
      </c>
      <c r="D49" s="10">
        <v>45736</v>
      </c>
      <c r="E49" s="11" t="str">
        <f>+HYPERLINK("http://trademark.i-assist.jp/data/china/image_1928th/75398447.pdf","75398447")</f>
        <v>75398447</v>
      </c>
      <c r="F49" s="9" t="s">
        <v>233</v>
      </c>
      <c r="G49" s="9" t="s">
        <v>234</v>
      </c>
      <c r="H49" s="9" t="s">
        <v>235</v>
      </c>
      <c r="I49" s="10">
        <v>45254</v>
      </c>
    </row>
    <row r="50" spans="1:9" x14ac:dyDescent="0.15">
      <c r="A50" s="9">
        <v>49</v>
      </c>
      <c r="B50" s="9" t="s">
        <v>9</v>
      </c>
      <c r="C50" s="9">
        <v>1928</v>
      </c>
      <c r="D50" s="10">
        <v>45736</v>
      </c>
      <c r="E50" s="11" t="str">
        <f>+HYPERLINK("http://trademark.i-assist.jp/data/china/image_1928th/75770899.pdf","75770899")</f>
        <v>75770899</v>
      </c>
      <c r="F50" s="9" t="s">
        <v>236</v>
      </c>
      <c r="G50" s="9" t="s">
        <v>237</v>
      </c>
      <c r="H50" s="9" t="s">
        <v>238</v>
      </c>
      <c r="I50" s="10">
        <v>45273</v>
      </c>
    </row>
    <row r="51" spans="1:9" x14ac:dyDescent="0.15">
      <c r="A51" s="9">
        <v>50</v>
      </c>
      <c r="B51" s="9" t="s">
        <v>9</v>
      </c>
      <c r="C51" s="9">
        <v>1928</v>
      </c>
      <c r="D51" s="10">
        <v>45736</v>
      </c>
      <c r="E51" s="11" t="str">
        <f>+HYPERLINK("http://trademark.i-assist.jp/data/china/image_1928th/75775840.pdf","75775840")</f>
        <v>75775840</v>
      </c>
      <c r="F51" s="9" t="s">
        <v>239</v>
      </c>
      <c r="G51" s="12" t="s">
        <v>240</v>
      </c>
      <c r="H51" s="9" t="s">
        <v>241</v>
      </c>
      <c r="I51" s="10">
        <v>45273</v>
      </c>
    </row>
    <row r="52" spans="1:9" x14ac:dyDescent="0.15">
      <c r="A52" s="9">
        <v>51</v>
      </c>
      <c r="B52" s="9" t="s">
        <v>9</v>
      </c>
      <c r="C52" s="9">
        <v>1928</v>
      </c>
      <c r="D52" s="10">
        <v>45736</v>
      </c>
      <c r="E52" s="11" t="str">
        <f>+HYPERLINK("http://trademark.i-assist.jp/data/china/image_1928th/75800201.pdf","75800201")</f>
        <v>75800201</v>
      </c>
      <c r="F52" s="9" t="s">
        <v>242</v>
      </c>
      <c r="G52" s="9" t="s">
        <v>243</v>
      </c>
      <c r="H52" s="9" t="s">
        <v>244</v>
      </c>
      <c r="I52" s="10">
        <v>45274</v>
      </c>
    </row>
    <row r="53" spans="1:9" x14ac:dyDescent="0.15">
      <c r="A53" s="9">
        <v>52</v>
      </c>
      <c r="B53" s="9" t="s">
        <v>9</v>
      </c>
      <c r="C53" s="9">
        <v>1928</v>
      </c>
      <c r="D53" s="10">
        <v>45736</v>
      </c>
      <c r="E53" s="11" t="str">
        <f>+HYPERLINK("http://trademark.i-assist.jp/data/china/image_1928th/75889622.pdf","75889622")</f>
        <v>75889622</v>
      </c>
      <c r="F53" s="9" t="s">
        <v>245</v>
      </c>
      <c r="G53" s="12" t="s">
        <v>246</v>
      </c>
      <c r="H53" s="9" t="s">
        <v>247</v>
      </c>
      <c r="I53" s="10">
        <v>45279</v>
      </c>
    </row>
    <row r="54" spans="1:9" x14ac:dyDescent="0.15">
      <c r="A54" s="9">
        <v>53</v>
      </c>
      <c r="B54" s="9" t="s">
        <v>9</v>
      </c>
      <c r="C54" s="9">
        <v>1928</v>
      </c>
      <c r="D54" s="10">
        <v>45736</v>
      </c>
      <c r="E54" s="11" t="str">
        <f>+HYPERLINK("http://trademark.i-assist.jp/data/china/image_1928th/75907834.pdf","75907834")</f>
        <v>75907834</v>
      </c>
      <c r="F54" s="9" t="s">
        <v>248</v>
      </c>
      <c r="G54" s="9" t="s">
        <v>249</v>
      </c>
      <c r="H54" s="9" t="s">
        <v>250</v>
      </c>
      <c r="I54" s="10">
        <v>45280</v>
      </c>
    </row>
    <row r="55" spans="1:9" x14ac:dyDescent="0.15">
      <c r="A55" s="9">
        <v>54</v>
      </c>
      <c r="B55" s="9" t="s">
        <v>9</v>
      </c>
      <c r="C55" s="9">
        <v>1928</v>
      </c>
      <c r="D55" s="10">
        <v>45736</v>
      </c>
      <c r="E55" s="11" t="str">
        <f>+HYPERLINK("http://trademark.i-assist.jp/data/china/image_1928th/75953757.pdf","75953757")</f>
        <v>75953757</v>
      </c>
      <c r="F55" s="9" t="s">
        <v>251</v>
      </c>
      <c r="G55" s="9" t="s">
        <v>252</v>
      </c>
      <c r="H55" s="9" t="s">
        <v>253</v>
      </c>
      <c r="I55" s="10">
        <v>45282</v>
      </c>
    </row>
    <row r="56" spans="1:9" x14ac:dyDescent="0.15">
      <c r="A56" s="9">
        <v>55</v>
      </c>
      <c r="B56" s="9" t="s">
        <v>9</v>
      </c>
      <c r="C56" s="9">
        <v>1928</v>
      </c>
      <c r="D56" s="10">
        <v>45736</v>
      </c>
      <c r="E56" s="11" t="str">
        <f>+HYPERLINK("http://trademark.i-assist.jp/data/china/image_1928th/76103572.pdf","76103572")</f>
        <v>76103572</v>
      </c>
      <c r="F56" s="12" t="s">
        <v>254</v>
      </c>
      <c r="G56" s="9" t="s">
        <v>191</v>
      </c>
      <c r="H56" s="9" t="s">
        <v>255</v>
      </c>
      <c r="I56" s="10">
        <v>45289</v>
      </c>
    </row>
    <row r="57" spans="1:9" x14ac:dyDescent="0.15">
      <c r="A57" s="9">
        <v>56</v>
      </c>
      <c r="B57" s="9" t="s">
        <v>9</v>
      </c>
      <c r="C57" s="9">
        <v>1928</v>
      </c>
      <c r="D57" s="10">
        <v>45736</v>
      </c>
      <c r="E57" s="11" t="str">
        <f>+HYPERLINK("http://trademark.i-assist.jp/data/china/image_1928th/76113381.pdf","76113381")</f>
        <v>76113381</v>
      </c>
      <c r="F57" s="12" t="s">
        <v>256</v>
      </c>
      <c r="G57" s="9" t="s">
        <v>191</v>
      </c>
      <c r="H57" s="9" t="s">
        <v>257</v>
      </c>
      <c r="I57" s="10">
        <v>45289</v>
      </c>
    </row>
    <row r="58" spans="1:9" x14ac:dyDescent="0.15">
      <c r="A58" s="9">
        <v>57</v>
      </c>
      <c r="B58" s="9" t="s">
        <v>9</v>
      </c>
      <c r="C58" s="9">
        <v>1928</v>
      </c>
      <c r="D58" s="10">
        <v>45736</v>
      </c>
      <c r="E58" s="11" t="str">
        <f>+HYPERLINK("http://trademark.i-assist.jp/data/china/image_1928th/76158631.pdf","76158631")</f>
        <v>76158631</v>
      </c>
      <c r="F58" s="9" t="s">
        <v>258</v>
      </c>
      <c r="G58" s="9" t="s">
        <v>259</v>
      </c>
      <c r="H58" s="12" t="s">
        <v>260</v>
      </c>
      <c r="I58" s="10">
        <v>45294</v>
      </c>
    </row>
    <row r="59" spans="1:9" x14ac:dyDescent="0.15">
      <c r="A59" s="9">
        <v>58</v>
      </c>
      <c r="B59" s="9" t="s">
        <v>9</v>
      </c>
      <c r="C59" s="9">
        <v>1928</v>
      </c>
      <c r="D59" s="10">
        <v>45736</v>
      </c>
      <c r="E59" s="11" t="str">
        <f>+HYPERLINK("http://trademark.i-assist.jp/data/china/image_1928th/76331714.pdf","76331714")</f>
        <v>76331714</v>
      </c>
      <c r="F59" s="9" t="s">
        <v>261</v>
      </c>
      <c r="G59" s="9" t="s">
        <v>262</v>
      </c>
      <c r="H59" s="12" t="s">
        <v>263</v>
      </c>
      <c r="I59" s="10">
        <v>45302</v>
      </c>
    </row>
    <row r="60" spans="1:9" x14ac:dyDescent="0.15">
      <c r="A60" s="9">
        <v>59</v>
      </c>
      <c r="B60" s="9" t="s">
        <v>9</v>
      </c>
      <c r="C60" s="9">
        <v>1928</v>
      </c>
      <c r="D60" s="10">
        <v>45736</v>
      </c>
      <c r="E60" s="11" t="str">
        <f>+HYPERLINK("http://trademark.i-assist.jp/data/china/image_1928th/76334675.pdf","76334675")</f>
        <v>76334675</v>
      </c>
      <c r="F60" s="9" t="s">
        <v>264</v>
      </c>
      <c r="G60" s="9" t="s">
        <v>265</v>
      </c>
      <c r="H60" s="9" t="s">
        <v>266</v>
      </c>
      <c r="I60" s="10">
        <v>45302</v>
      </c>
    </row>
    <row r="61" spans="1:9" x14ac:dyDescent="0.15">
      <c r="A61" s="9">
        <v>60</v>
      </c>
      <c r="B61" s="9" t="s">
        <v>9</v>
      </c>
      <c r="C61" s="9">
        <v>1928</v>
      </c>
      <c r="D61" s="10">
        <v>45736</v>
      </c>
      <c r="E61" s="11" t="str">
        <f>+HYPERLINK("http://trademark.i-assist.jp/data/china/image_1928th/76373642.pdf","76373642")</f>
        <v>76373642</v>
      </c>
      <c r="F61" s="9" t="s">
        <v>267</v>
      </c>
      <c r="G61" s="9" t="s">
        <v>268</v>
      </c>
      <c r="H61" s="12" t="s">
        <v>269</v>
      </c>
      <c r="I61" s="10">
        <v>45304</v>
      </c>
    </row>
    <row r="62" spans="1:9" x14ac:dyDescent="0.15">
      <c r="A62" s="9">
        <v>61</v>
      </c>
      <c r="B62" s="9" t="s">
        <v>9</v>
      </c>
      <c r="C62" s="9">
        <v>1928</v>
      </c>
      <c r="D62" s="10">
        <v>45736</v>
      </c>
      <c r="E62" s="11" t="str">
        <f>+HYPERLINK("http://trademark.i-assist.jp/data/china/image_1928th/76483505.pdf","76483505")</f>
        <v>76483505</v>
      </c>
      <c r="F62" s="9" t="s">
        <v>270</v>
      </c>
      <c r="G62" s="9" t="s">
        <v>271</v>
      </c>
      <c r="H62" s="9" t="s">
        <v>272</v>
      </c>
      <c r="I62" s="10">
        <v>45310</v>
      </c>
    </row>
    <row r="63" spans="1:9" x14ac:dyDescent="0.15">
      <c r="A63" s="9">
        <v>62</v>
      </c>
      <c r="B63" s="9" t="s">
        <v>9</v>
      </c>
      <c r="C63" s="9">
        <v>1928</v>
      </c>
      <c r="D63" s="10">
        <v>45736</v>
      </c>
      <c r="E63" s="11" t="str">
        <f>+HYPERLINK("http://trademark.i-assist.jp/data/china/image_1928th/76622728.pdf","76622728")</f>
        <v>76622728</v>
      </c>
      <c r="F63" s="12" t="s">
        <v>273</v>
      </c>
      <c r="G63" s="12" t="s">
        <v>274</v>
      </c>
      <c r="H63" s="12" t="s">
        <v>275</v>
      </c>
      <c r="I63" s="10">
        <v>45317</v>
      </c>
    </row>
    <row r="64" spans="1:9" x14ac:dyDescent="0.15">
      <c r="A64" s="9">
        <v>63</v>
      </c>
      <c r="B64" s="9" t="s">
        <v>9</v>
      </c>
      <c r="C64" s="9">
        <v>1928</v>
      </c>
      <c r="D64" s="10">
        <v>45736</v>
      </c>
      <c r="E64" s="11" t="str">
        <f>+HYPERLINK("http://trademark.i-assist.jp/data/china/image_1928th/76675273.pdf","76675273")</f>
        <v>76675273</v>
      </c>
      <c r="F64" s="12" t="s">
        <v>276</v>
      </c>
      <c r="G64" s="9" t="s">
        <v>277</v>
      </c>
      <c r="H64" s="9" t="s">
        <v>278</v>
      </c>
      <c r="I64" s="10">
        <v>45321</v>
      </c>
    </row>
    <row r="65" spans="1:9" x14ac:dyDescent="0.15">
      <c r="A65" s="9">
        <v>64</v>
      </c>
      <c r="B65" s="9" t="s">
        <v>9</v>
      </c>
      <c r="C65" s="9">
        <v>1928</v>
      </c>
      <c r="D65" s="10">
        <v>45736</v>
      </c>
      <c r="E65" s="11" t="str">
        <f>+HYPERLINK("http://trademark.i-assist.jp/data/china/image_1928th/76688711.pdf","76688711")</f>
        <v>76688711</v>
      </c>
      <c r="F65" s="9" t="s">
        <v>279</v>
      </c>
      <c r="G65" s="12" t="s">
        <v>280</v>
      </c>
      <c r="H65" s="9" t="s">
        <v>278</v>
      </c>
      <c r="I65" s="10">
        <v>45321</v>
      </c>
    </row>
    <row r="66" spans="1:9" x14ac:dyDescent="0.15">
      <c r="A66" s="9">
        <v>65</v>
      </c>
      <c r="B66" s="9" t="s">
        <v>9</v>
      </c>
      <c r="C66" s="9">
        <v>1928</v>
      </c>
      <c r="D66" s="10">
        <v>45736</v>
      </c>
      <c r="E66" s="11" t="str">
        <f>+HYPERLINK("http://trademark.i-assist.jp/data/china/image_1928th/76763791.pdf","76763791")</f>
        <v>76763791</v>
      </c>
      <c r="F66" s="9" t="s">
        <v>281</v>
      </c>
      <c r="G66" s="12" t="s">
        <v>282</v>
      </c>
      <c r="H66" s="9" t="s">
        <v>283</v>
      </c>
      <c r="I66" s="10">
        <v>45325</v>
      </c>
    </row>
    <row r="67" spans="1:9" x14ac:dyDescent="0.15">
      <c r="A67" s="9">
        <v>66</v>
      </c>
      <c r="B67" s="9" t="s">
        <v>9</v>
      </c>
      <c r="C67" s="9">
        <v>1928</v>
      </c>
      <c r="D67" s="10">
        <v>45736</v>
      </c>
      <c r="E67" s="11" t="str">
        <f>+HYPERLINK("http://trademark.i-assist.jp/data/china/image_1928th/76939722.pdf","76939722")</f>
        <v>76939722</v>
      </c>
      <c r="F67" s="12" t="s">
        <v>284</v>
      </c>
      <c r="G67" s="9" t="s">
        <v>285</v>
      </c>
      <c r="H67" s="9" t="s">
        <v>286</v>
      </c>
      <c r="I67" s="10">
        <v>45345</v>
      </c>
    </row>
    <row r="68" spans="1:9" x14ac:dyDescent="0.15">
      <c r="A68" s="9">
        <v>67</v>
      </c>
      <c r="B68" s="9" t="s">
        <v>9</v>
      </c>
      <c r="C68" s="9">
        <v>1928</v>
      </c>
      <c r="D68" s="10">
        <v>45736</v>
      </c>
      <c r="E68" s="11" t="str">
        <f>+HYPERLINK("http://trademark.i-assist.jp/data/china/image_1928th/76988131.pdf","76988131")</f>
        <v>76988131</v>
      </c>
      <c r="F68" s="12" t="s">
        <v>287</v>
      </c>
      <c r="G68" s="9" t="s">
        <v>288</v>
      </c>
      <c r="H68" s="9" t="s">
        <v>289</v>
      </c>
      <c r="I68" s="10">
        <v>45349</v>
      </c>
    </row>
    <row r="69" spans="1:9" x14ac:dyDescent="0.15">
      <c r="A69" s="9">
        <v>68</v>
      </c>
      <c r="B69" s="9" t="s">
        <v>9</v>
      </c>
      <c r="C69" s="9">
        <v>1928</v>
      </c>
      <c r="D69" s="10">
        <v>45736</v>
      </c>
      <c r="E69" s="11" t="str">
        <f>+HYPERLINK("http://trademark.i-assist.jp/data/china/image_1928th/76992141.pdf","76992141")</f>
        <v>76992141</v>
      </c>
      <c r="F69" s="9" t="s">
        <v>290</v>
      </c>
      <c r="G69" s="12" t="s">
        <v>291</v>
      </c>
      <c r="H69" s="9" t="s">
        <v>292</v>
      </c>
      <c r="I69" s="10">
        <v>45349</v>
      </c>
    </row>
    <row r="70" spans="1:9" x14ac:dyDescent="0.15">
      <c r="A70" s="9">
        <v>69</v>
      </c>
      <c r="B70" s="9" t="s">
        <v>9</v>
      </c>
      <c r="C70" s="9">
        <v>1928</v>
      </c>
      <c r="D70" s="10">
        <v>45736</v>
      </c>
      <c r="E70" s="11" t="str">
        <f>+HYPERLINK("http://trademark.i-assist.jp/data/china/image_1928th/77016527.pdf","77016527")</f>
        <v>77016527</v>
      </c>
      <c r="F70" s="9" t="s">
        <v>293</v>
      </c>
      <c r="G70" s="12" t="s">
        <v>294</v>
      </c>
      <c r="H70" s="9" t="s">
        <v>295</v>
      </c>
      <c r="I70" s="10">
        <v>45351</v>
      </c>
    </row>
    <row r="71" spans="1:9" x14ac:dyDescent="0.15">
      <c r="A71" s="9">
        <v>70</v>
      </c>
      <c r="B71" s="9" t="s">
        <v>9</v>
      </c>
      <c r="C71" s="9">
        <v>1928</v>
      </c>
      <c r="D71" s="10">
        <v>45736</v>
      </c>
      <c r="E71" s="11" t="str">
        <f>+HYPERLINK("http://trademark.i-assist.jp/data/china/image_1928th/77330496.pdf","77330496")</f>
        <v>77330496</v>
      </c>
      <c r="F71" s="9" t="s">
        <v>296</v>
      </c>
      <c r="G71" s="9" t="s">
        <v>297</v>
      </c>
      <c r="H71" s="9" t="s">
        <v>298</v>
      </c>
      <c r="I71" s="10">
        <v>45366</v>
      </c>
    </row>
    <row r="72" spans="1:9" x14ac:dyDescent="0.15">
      <c r="A72" s="9">
        <v>71</v>
      </c>
      <c r="B72" s="9" t="s">
        <v>9</v>
      </c>
      <c r="C72" s="9">
        <v>1928</v>
      </c>
      <c r="D72" s="10">
        <v>45736</v>
      </c>
      <c r="E72" s="11" t="str">
        <f>+HYPERLINK("http://trademark.i-assist.jp/data/china/image_1928th/77338010.pdf","77338010")</f>
        <v>77338010</v>
      </c>
      <c r="F72" s="9" t="s">
        <v>299</v>
      </c>
      <c r="G72" s="9" t="s">
        <v>300</v>
      </c>
      <c r="H72" s="9" t="s">
        <v>301</v>
      </c>
      <c r="I72" s="10">
        <v>45366</v>
      </c>
    </row>
    <row r="73" spans="1:9" x14ac:dyDescent="0.15">
      <c r="A73" s="9">
        <v>72</v>
      </c>
      <c r="B73" s="9" t="s">
        <v>9</v>
      </c>
      <c r="C73" s="9">
        <v>1928</v>
      </c>
      <c r="D73" s="10">
        <v>45736</v>
      </c>
      <c r="E73" s="11" t="str">
        <f>+HYPERLINK("http://trademark.i-assist.jp/data/china/image_1928th/77540932.pdf","77540932")</f>
        <v>77540932</v>
      </c>
      <c r="F73" s="12" t="s">
        <v>302</v>
      </c>
      <c r="G73" s="9" t="s">
        <v>303</v>
      </c>
      <c r="H73" s="9" t="s">
        <v>304</v>
      </c>
      <c r="I73" s="10">
        <v>45377</v>
      </c>
    </row>
    <row r="74" spans="1:9" x14ac:dyDescent="0.15">
      <c r="A74" s="9">
        <v>73</v>
      </c>
      <c r="B74" s="9" t="s">
        <v>9</v>
      </c>
      <c r="C74" s="9">
        <v>1928</v>
      </c>
      <c r="D74" s="10">
        <v>45736</v>
      </c>
      <c r="E74" s="11" t="str">
        <f>+HYPERLINK("http://trademark.i-assist.jp/data/china/image_1928th/77587590.pdf","77587590")</f>
        <v>77587590</v>
      </c>
      <c r="F74" s="9" t="s">
        <v>305</v>
      </c>
      <c r="G74" s="12" t="s">
        <v>306</v>
      </c>
      <c r="H74" s="9" t="s">
        <v>307</v>
      </c>
      <c r="I74" s="10">
        <v>45378</v>
      </c>
    </row>
    <row r="75" spans="1:9" x14ac:dyDescent="0.15">
      <c r="A75" s="9">
        <v>74</v>
      </c>
      <c r="B75" s="9" t="s">
        <v>9</v>
      </c>
      <c r="C75" s="9">
        <v>1928</v>
      </c>
      <c r="D75" s="10">
        <v>45736</v>
      </c>
      <c r="E75" s="11" t="str">
        <f>+HYPERLINK("http://trademark.i-assist.jp/data/china/image_1928th/77717862.pdf","77717862")</f>
        <v>77717862</v>
      </c>
      <c r="F75" s="12" t="s">
        <v>18</v>
      </c>
      <c r="G75" s="9" t="s">
        <v>308</v>
      </c>
      <c r="H75" s="12" t="s">
        <v>309</v>
      </c>
      <c r="I75" s="10">
        <v>45384</v>
      </c>
    </row>
    <row r="76" spans="1:9" x14ac:dyDescent="0.15">
      <c r="A76" s="9">
        <v>75</v>
      </c>
      <c r="B76" s="9" t="s">
        <v>9</v>
      </c>
      <c r="C76" s="9">
        <v>1928</v>
      </c>
      <c r="D76" s="10">
        <v>45736</v>
      </c>
      <c r="E76" s="11" t="str">
        <f>+HYPERLINK("http://trademark.i-assist.jp/data/china/image_1928th/77862839.pdf","77862839")</f>
        <v>77862839</v>
      </c>
      <c r="F76" s="9" t="s">
        <v>310</v>
      </c>
      <c r="G76" s="9" t="s">
        <v>311</v>
      </c>
      <c r="H76" s="9" t="s">
        <v>312</v>
      </c>
      <c r="I76" s="10">
        <v>45392</v>
      </c>
    </row>
    <row r="77" spans="1:9" x14ac:dyDescent="0.15">
      <c r="A77" s="9">
        <v>76</v>
      </c>
      <c r="B77" s="9" t="s">
        <v>9</v>
      </c>
      <c r="C77" s="9">
        <v>1928</v>
      </c>
      <c r="D77" s="10">
        <v>45736</v>
      </c>
      <c r="E77" s="11" t="str">
        <f>+HYPERLINK("http://trademark.i-assist.jp/data/china/image_1928th/77863113.pdf","77863113")</f>
        <v>77863113</v>
      </c>
      <c r="F77" s="9" t="s">
        <v>313</v>
      </c>
      <c r="G77" s="9" t="s">
        <v>314</v>
      </c>
      <c r="H77" s="9" t="s">
        <v>315</v>
      </c>
      <c r="I77" s="10">
        <v>45392</v>
      </c>
    </row>
    <row r="78" spans="1:9" x14ac:dyDescent="0.15">
      <c r="A78" s="9">
        <v>77</v>
      </c>
      <c r="B78" s="9" t="s">
        <v>9</v>
      </c>
      <c r="C78" s="9">
        <v>1928</v>
      </c>
      <c r="D78" s="10">
        <v>45736</v>
      </c>
      <c r="E78" s="11" t="str">
        <f>+HYPERLINK("http://trademark.i-assist.jp/data/china/image_1928th/77890621.pdf","77890621")</f>
        <v>77890621</v>
      </c>
      <c r="F78" s="12" t="s">
        <v>316</v>
      </c>
      <c r="G78" s="9" t="s">
        <v>317</v>
      </c>
      <c r="H78" s="9" t="s">
        <v>318</v>
      </c>
      <c r="I78" s="10">
        <v>45393</v>
      </c>
    </row>
    <row r="79" spans="1:9" x14ac:dyDescent="0.15">
      <c r="A79" s="9">
        <v>78</v>
      </c>
      <c r="B79" s="9" t="s">
        <v>9</v>
      </c>
      <c r="C79" s="9">
        <v>1928</v>
      </c>
      <c r="D79" s="10">
        <v>45736</v>
      </c>
      <c r="E79" s="11" t="str">
        <f>+HYPERLINK("http://trademark.i-assist.jp/data/china/image_1928th/77963377.pdf","77963377")</f>
        <v>77963377</v>
      </c>
      <c r="F79" s="9" t="s">
        <v>319</v>
      </c>
      <c r="G79" s="12" t="s">
        <v>320</v>
      </c>
      <c r="H79" s="9" t="s">
        <v>321</v>
      </c>
      <c r="I79" s="10">
        <v>45397</v>
      </c>
    </row>
    <row r="80" spans="1:9" x14ac:dyDescent="0.15">
      <c r="A80" s="9">
        <v>79</v>
      </c>
      <c r="B80" s="9" t="s">
        <v>9</v>
      </c>
      <c r="C80" s="9">
        <v>1928</v>
      </c>
      <c r="D80" s="10">
        <v>45736</v>
      </c>
      <c r="E80" s="11" t="str">
        <f>+HYPERLINK("http://trademark.i-assist.jp/data/china/image_1928th/77994159.pdf","77994159")</f>
        <v>77994159</v>
      </c>
      <c r="F80" s="9" t="s">
        <v>322</v>
      </c>
      <c r="G80" s="12" t="s">
        <v>323</v>
      </c>
      <c r="H80" s="9" t="s">
        <v>324</v>
      </c>
      <c r="I80" s="10">
        <v>45398</v>
      </c>
    </row>
    <row r="81" spans="1:9" x14ac:dyDescent="0.15">
      <c r="A81" s="9">
        <v>80</v>
      </c>
      <c r="B81" s="9" t="s">
        <v>9</v>
      </c>
      <c r="C81" s="9">
        <v>1928</v>
      </c>
      <c r="D81" s="10">
        <v>45736</v>
      </c>
      <c r="E81" s="11" t="str">
        <f>+HYPERLINK("http://trademark.i-assist.jp/data/china/image_1928th/78001598.pdf","78001598")</f>
        <v>78001598</v>
      </c>
      <c r="F81" s="9" t="s">
        <v>325</v>
      </c>
      <c r="G81" s="9" t="s">
        <v>326</v>
      </c>
      <c r="H81" s="9" t="s">
        <v>327</v>
      </c>
      <c r="I81" s="10">
        <v>45398</v>
      </c>
    </row>
    <row r="82" spans="1:9" x14ac:dyDescent="0.15">
      <c r="A82" s="9">
        <v>81</v>
      </c>
      <c r="B82" s="9" t="s">
        <v>9</v>
      </c>
      <c r="C82" s="9">
        <v>1928</v>
      </c>
      <c r="D82" s="10">
        <v>45736</v>
      </c>
      <c r="E82" s="11" t="str">
        <f>+HYPERLINK("http://trademark.i-assist.jp/data/china/image_1928th/78002964.pdf","78002964")</f>
        <v>78002964</v>
      </c>
      <c r="F82" s="9" t="s">
        <v>328</v>
      </c>
      <c r="G82" s="9" t="s">
        <v>329</v>
      </c>
      <c r="H82" s="9" t="s">
        <v>330</v>
      </c>
      <c r="I82" s="10">
        <v>45398</v>
      </c>
    </row>
    <row r="83" spans="1:9" x14ac:dyDescent="0.15">
      <c r="A83" s="9">
        <v>82</v>
      </c>
      <c r="B83" s="9" t="s">
        <v>9</v>
      </c>
      <c r="C83" s="9">
        <v>1928</v>
      </c>
      <c r="D83" s="10">
        <v>45736</v>
      </c>
      <c r="E83" s="11" t="str">
        <f>+HYPERLINK("http://trademark.i-assist.jp/data/china/image_1928th/78036254.pdf","78036254")</f>
        <v>78036254</v>
      </c>
      <c r="F83" s="9" t="s">
        <v>331</v>
      </c>
      <c r="G83" s="9" t="s">
        <v>332</v>
      </c>
      <c r="H83" s="9" t="s">
        <v>333</v>
      </c>
      <c r="I83" s="10">
        <v>45399</v>
      </c>
    </row>
    <row r="84" spans="1:9" x14ac:dyDescent="0.15">
      <c r="A84" s="9">
        <v>83</v>
      </c>
      <c r="B84" s="9" t="s">
        <v>9</v>
      </c>
      <c r="C84" s="9">
        <v>1928</v>
      </c>
      <c r="D84" s="10">
        <v>45736</v>
      </c>
      <c r="E84" s="11" t="str">
        <f>+HYPERLINK("http://trademark.i-assist.jp/data/china/image_1928th/78038749.pdf","78038749")</f>
        <v>78038749</v>
      </c>
      <c r="F84" s="9" t="s">
        <v>334</v>
      </c>
      <c r="G84" s="12" t="s">
        <v>335</v>
      </c>
      <c r="H84" s="12" t="s">
        <v>336</v>
      </c>
      <c r="I84" s="10">
        <v>45399</v>
      </c>
    </row>
    <row r="85" spans="1:9" x14ac:dyDescent="0.15">
      <c r="A85" s="9">
        <v>84</v>
      </c>
      <c r="B85" s="9" t="s">
        <v>9</v>
      </c>
      <c r="C85" s="9">
        <v>1928</v>
      </c>
      <c r="D85" s="10">
        <v>45736</v>
      </c>
      <c r="E85" s="11" t="str">
        <f>+HYPERLINK("http://trademark.i-assist.jp/data/china/image_1928th/78118702.pdf","78118702")</f>
        <v>78118702</v>
      </c>
      <c r="F85" s="9" t="s">
        <v>337</v>
      </c>
      <c r="G85" s="9" t="s">
        <v>338</v>
      </c>
      <c r="H85" s="9" t="s">
        <v>339</v>
      </c>
      <c r="I85" s="10">
        <v>45403</v>
      </c>
    </row>
    <row r="86" spans="1:9" x14ac:dyDescent="0.15">
      <c r="A86" s="9">
        <v>85</v>
      </c>
      <c r="B86" s="9" t="s">
        <v>9</v>
      </c>
      <c r="C86" s="9">
        <v>1928</v>
      </c>
      <c r="D86" s="10">
        <v>45736</v>
      </c>
      <c r="E86" s="11" t="str">
        <f>+HYPERLINK("http://trademark.i-assist.jp/data/china/image_1928th/78157834.pdf","78157834")</f>
        <v>78157834</v>
      </c>
      <c r="F86" s="9" t="s">
        <v>340</v>
      </c>
      <c r="G86" s="12" t="s">
        <v>341</v>
      </c>
      <c r="H86" s="9" t="s">
        <v>342</v>
      </c>
      <c r="I86" s="10">
        <v>45405</v>
      </c>
    </row>
    <row r="87" spans="1:9" x14ac:dyDescent="0.15">
      <c r="A87" s="9">
        <v>86</v>
      </c>
      <c r="B87" s="9" t="s">
        <v>9</v>
      </c>
      <c r="C87" s="9">
        <v>1928</v>
      </c>
      <c r="D87" s="10">
        <v>45736</v>
      </c>
      <c r="E87" s="11" t="str">
        <f>+HYPERLINK("http://trademark.i-assist.jp/data/china/image_1928th/78162276.pdf","78162276")</f>
        <v>78162276</v>
      </c>
      <c r="F87" s="9" t="s">
        <v>343</v>
      </c>
      <c r="G87" s="9" t="s">
        <v>344</v>
      </c>
      <c r="H87" s="9" t="s">
        <v>345</v>
      </c>
      <c r="I87" s="10">
        <v>45405</v>
      </c>
    </row>
    <row r="88" spans="1:9" x14ac:dyDescent="0.15">
      <c r="A88" s="9">
        <v>87</v>
      </c>
      <c r="B88" s="9" t="s">
        <v>9</v>
      </c>
      <c r="C88" s="9">
        <v>1928</v>
      </c>
      <c r="D88" s="10">
        <v>45736</v>
      </c>
      <c r="E88" s="11" t="str">
        <f>+HYPERLINK("http://trademark.i-assist.jp/data/china/image_1928th/78213372.pdf","78213372")</f>
        <v>78213372</v>
      </c>
      <c r="F88" s="9" t="s">
        <v>346</v>
      </c>
      <c r="G88" s="9" t="s">
        <v>347</v>
      </c>
      <c r="H88" s="9" t="s">
        <v>348</v>
      </c>
      <c r="I88" s="10">
        <v>45406</v>
      </c>
    </row>
    <row r="89" spans="1:9" x14ac:dyDescent="0.15">
      <c r="A89" s="9">
        <v>88</v>
      </c>
      <c r="B89" s="9" t="s">
        <v>9</v>
      </c>
      <c r="C89" s="9">
        <v>1928</v>
      </c>
      <c r="D89" s="10">
        <v>45736</v>
      </c>
      <c r="E89" s="11" t="str">
        <f>+HYPERLINK("http://trademark.i-assist.jp/data/china/image_1928th/78309363.pdf","78309363")</f>
        <v>78309363</v>
      </c>
      <c r="F89" s="9" t="s">
        <v>349</v>
      </c>
      <c r="G89" s="9" t="s">
        <v>350</v>
      </c>
      <c r="H89" s="9" t="s">
        <v>351</v>
      </c>
      <c r="I89" s="10">
        <v>45410</v>
      </c>
    </row>
    <row r="90" spans="1:9" x14ac:dyDescent="0.15">
      <c r="A90" s="9">
        <v>89</v>
      </c>
      <c r="B90" s="9" t="s">
        <v>9</v>
      </c>
      <c r="C90" s="9">
        <v>1928</v>
      </c>
      <c r="D90" s="10">
        <v>45736</v>
      </c>
      <c r="E90" s="11" t="str">
        <f>+HYPERLINK("http://trademark.i-assist.jp/data/china/image_1928th/78322422.pdf","78322422")</f>
        <v>78322422</v>
      </c>
      <c r="F90" s="9" t="s">
        <v>352</v>
      </c>
      <c r="G90" s="9" t="s">
        <v>353</v>
      </c>
      <c r="H90" s="9" t="s">
        <v>354</v>
      </c>
      <c r="I90" s="10">
        <v>45411</v>
      </c>
    </row>
    <row r="91" spans="1:9" x14ac:dyDescent="0.15">
      <c r="A91" s="9">
        <v>90</v>
      </c>
      <c r="B91" s="9" t="s">
        <v>9</v>
      </c>
      <c r="C91" s="9">
        <v>1928</v>
      </c>
      <c r="D91" s="10">
        <v>45736</v>
      </c>
      <c r="E91" s="11" t="str">
        <f>+HYPERLINK("http://trademark.i-assist.jp/data/china/image_1928th/78420700.pdf","78420700")</f>
        <v>78420700</v>
      </c>
      <c r="F91" s="12" t="s">
        <v>355</v>
      </c>
      <c r="G91" s="12" t="s">
        <v>356</v>
      </c>
      <c r="H91" s="9" t="s">
        <v>357</v>
      </c>
      <c r="I91" s="10">
        <v>45420</v>
      </c>
    </row>
    <row r="92" spans="1:9" x14ac:dyDescent="0.15">
      <c r="A92" s="9">
        <v>91</v>
      </c>
      <c r="B92" s="9" t="s">
        <v>9</v>
      </c>
      <c r="C92" s="9">
        <v>1928</v>
      </c>
      <c r="D92" s="10">
        <v>45736</v>
      </c>
      <c r="E92" s="11" t="str">
        <f>+HYPERLINK("http://trademark.i-assist.jp/data/china/image_1928th/78507751.pdf","78507751")</f>
        <v>78507751</v>
      </c>
      <c r="F92" s="12" t="s">
        <v>358</v>
      </c>
      <c r="G92" s="9" t="s">
        <v>359</v>
      </c>
      <c r="H92" s="12" t="s">
        <v>360</v>
      </c>
      <c r="I92" s="10">
        <v>45422</v>
      </c>
    </row>
    <row r="93" spans="1:9" x14ac:dyDescent="0.15">
      <c r="A93" s="9">
        <v>92</v>
      </c>
      <c r="B93" s="9" t="s">
        <v>9</v>
      </c>
      <c r="C93" s="9">
        <v>1928</v>
      </c>
      <c r="D93" s="10">
        <v>45736</v>
      </c>
      <c r="E93" s="11" t="str">
        <f>+HYPERLINK("http://trademark.i-assist.jp/data/china/image_1928th/78517855.pdf","78517855")</f>
        <v>78517855</v>
      </c>
      <c r="F93" s="9" t="s">
        <v>361</v>
      </c>
      <c r="G93" s="9" t="s">
        <v>362</v>
      </c>
      <c r="H93" s="9" t="s">
        <v>363</v>
      </c>
      <c r="I93" s="10">
        <v>45423</v>
      </c>
    </row>
    <row r="94" spans="1:9" x14ac:dyDescent="0.15">
      <c r="A94" s="9">
        <v>93</v>
      </c>
      <c r="B94" s="9" t="s">
        <v>9</v>
      </c>
      <c r="C94" s="9">
        <v>1928</v>
      </c>
      <c r="D94" s="10">
        <v>45736</v>
      </c>
      <c r="E94" s="11" t="str">
        <f>+HYPERLINK("http://trademark.i-assist.jp/data/china/image_1928th/78908205.pdf","78908205")</f>
        <v>78908205</v>
      </c>
      <c r="F94" s="9" t="s">
        <v>364</v>
      </c>
      <c r="G94" s="9" t="s">
        <v>365</v>
      </c>
      <c r="H94" s="9" t="s">
        <v>366</v>
      </c>
      <c r="I94" s="10">
        <v>45441</v>
      </c>
    </row>
    <row r="95" spans="1:9" x14ac:dyDescent="0.15">
      <c r="A95" s="9">
        <v>94</v>
      </c>
      <c r="B95" s="9" t="s">
        <v>9</v>
      </c>
      <c r="C95" s="9">
        <v>1928</v>
      </c>
      <c r="D95" s="10">
        <v>45736</v>
      </c>
      <c r="E95" s="11" t="str">
        <f>+HYPERLINK("http://trademark.i-assist.jp/data/china/image_1928th/78947472.pdf","78947472")</f>
        <v>78947472</v>
      </c>
      <c r="F95" s="9" t="s">
        <v>367</v>
      </c>
      <c r="G95" s="9" t="s">
        <v>368</v>
      </c>
      <c r="H95" s="12" t="s">
        <v>369</v>
      </c>
      <c r="I95" s="10">
        <v>45442</v>
      </c>
    </row>
    <row r="96" spans="1:9" x14ac:dyDescent="0.15">
      <c r="A96" s="9">
        <v>95</v>
      </c>
      <c r="B96" s="9" t="s">
        <v>9</v>
      </c>
      <c r="C96" s="9">
        <v>1928</v>
      </c>
      <c r="D96" s="10">
        <v>45736</v>
      </c>
      <c r="E96" s="11" t="str">
        <f>+HYPERLINK("http://trademark.i-assist.jp/data/china/image_1928th/79032851.pdf","79032851")</f>
        <v>79032851</v>
      </c>
      <c r="F96" s="12" t="s">
        <v>370</v>
      </c>
      <c r="G96" s="9" t="s">
        <v>371</v>
      </c>
      <c r="H96" s="9" t="s">
        <v>372</v>
      </c>
      <c r="I96" s="10">
        <v>45447</v>
      </c>
    </row>
    <row r="97" spans="1:9" x14ac:dyDescent="0.15">
      <c r="A97" s="9">
        <v>96</v>
      </c>
      <c r="B97" s="9" t="s">
        <v>9</v>
      </c>
      <c r="C97" s="9">
        <v>1928</v>
      </c>
      <c r="D97" s="10">
        <v>45736</v>
      </c>
      <c r="E97" s="11" t="str">
        <f>+HYPERLINK("http://trademark.i-assist.jp/data/china/image_1928th/79050626.pdf","79050626")</f>
        <v>79050626</v>
      </c>
      <c r="F97" s="12" t="s">
        <v>373</v>
      </c>
      <c r="G97" s="9" t="s">
        <v>374</v>
      </c>
      <c r="H97" s="9" t="s">
        <v>375</v>
      </c>
      <c r="I97" s="10">
        <v>45448</v>
      </c>
    </row>
    <row r="98" spans="1:9" x14ac:dyDescent="0.15">
      <c r="A98" s="9">
        <v>97</v>
      </c>
      <c r="B98" s="9" t="s">
        <v>9</v>
      </c>
      <c r="C98" s="9">
        <v>1928</v>
      </c>
      <c r="D98" s="10">
        <v>45736</v>
      </c>
      <c r="E98" s="11" t="str">
        <f>+HYPERLINK("http://trademark.i-assist.jp/data/china/image_1928th/79065332.pdf","79065332")</f>
        <v>79065332</v>
      </c>
      <c r="F98" s="9">
        <v>62580</v>
      </c>
      <c r="G98" s="9" t="s">
        <v>376</v>
      </c>
      <c r="H98" s="12" t="s">
        <v>377</v>
      </c>
      <c r="I98" s="10">
        <v>45449</v>
      </c>
    </row>
    <row r="99" spans="1:9" x14ac:dyDescent="0.15">
      <c r="A99" s="9">
        <v>98</v>
      </c>
      <c r="B99" s="9" t="s">
        <v>9</v>
      </c>
      <c r="C99" s="9">
        <v>1928</v>
      </c>
      <c r="D99" s="10">
        <v>45736</v>
      </c>
      <c r="E99" s="11" t="str">
        <f>+HYPERLINK("http://trademark.i-assist.jp/data/china/image_1928th/79069109.pdf","79069109")</f>
        <v>79069109</v>
      </c>
      <c r="F99" s="9">
        <v>62580</v>
      </c>
      <c r="G99" s="9" t="s">
        <v>376</v>
      </c>
      <c r="H99" s="9" t="s">
        <v>378</v>
      </c>
      <c r="I99" s="10">
        <v>45449</v>
      </c>
    </row>
    <row r="100" spans="1:9" x14ac:dyDescent="0.15">
      <c r="A100" s="9">
        <v>99</v>
      </c>
      <c r="B100" s="9" t="s">
        <v>9</v>
      </c>
      <c r="C100" s="9">
        <v>1928</v>
      </c>
      <c r="D100" s="10">
        <v>45736</v>
      </c>
      <c r="E100" s="11" t="str">
        <f>+HYPERLINK("http://trademark.i-assist.jp/data/china/image_1928th/79076813.pdf","79076813")</f>
        <v>79076813</v>
      </c>
      <c r="F100" s="9">
        <v>62580</v>
      </c>
      <c r="G100" s="9" t="s">
        <v>376</v>
      </c>
      <c r="H100" s="9" t="s">
        <v>379</v>
      </c>
      <c r="I100" s="10">
        <v>45449</v>
      </c>
    </row>
    <row r="101" spans="1:9" x14ac:dyDescent="0.15">
      <c r="A101" s="9">
        <v>100</v>
      </c>
      <c r="B101" s="9" t="s">
        <v>9</v>
      </c>
      <c r="C101" s="9">
        <v>1928</v>
      </c>
      <c r="D101" s="10">
        <v>45736</v>
      </c>
      <c r="E101" s="11" t="str">
        <f>+HYPERLINK("http://trademark.i-assist.jp/data/china/image_1928th/79087023.pdf","79087023")</f>
        <v>79087023</v>
      </c>
      <c r="F101" s="9">
        <v>62580</v>
      </c>
      <c r="G101" s="9" t="s">
        <v>376</v>
      </c>
      <c r="H101" s="9" t="s">
        <v>380</v>
      </c>
      <c r="I101" s="10">
        <v>45449</v>
      </c>
    </row>
    <row r="102" spans="1:9" x14ac:dyDescent="0.15">
      <c r="A102" s="9">
        <v>101</v>
      </c>
      <c r="B102" s="9" t="s">
        <v>9</v>
      </c>
      <c r="C102" s="9">
        <v>1928</v>
      </c>
      <c r="D102" s="10">
        <v>45736</v>
      </c>
      <c r="E102" s="11" t="str">
        <f>+HYPERLINK("http://trademark.i-assist.jp/data/china/image_1928th/79153265.pdf","79153265")</f>
        <v>79153265</v>
      </c>
      <c r="F102" s="9" t="s">
        <v>381</v>
      </c>
      <c r="G102" s="12" t="s">
        <v>382</v>
      </c>
      <c r="H102" s="9" t="s">
        <v>383</v>
      </c>
      <c r="I102" s="10">
        <v>45454</v>
      </c>
    </row>
    <row r="103" spans="1:9" x14ac:dyDescent="0.15">
      <c r="A103" s="9">
        <v>102</v>
      </c>
      <c r="B103" s="9" t="s">
        <v>9</v>
      </c>
      <c r="C103" s="9">
        <v>1928</v>
      </c>
      <c r="D103" s="10">
        <v>45736</v>
      </c>
      <c r="E103" s="11" t="str">
        <f>+HYPERLINK("http://trademark.i-assist.jp/data/china/image_1928th/79471969.pdf","79471969")</f>
        <v>79471969</v>
      </c>
      <c r="F103" s="9" t="s">
        <v>384</v>
      </c>
      <c r="G103" s="9" t="s">
        <v>385</v>
      </c>
      <c r="H103" s="9" t="s">
        <v>386</v>
      </c>
      <c r="I103" s="10">
        <v>45470</v>
      </c>
    </row>
    <row r="104" spans="1:9" x14ac:dyDescent="0.15">
      <c r="A104" s="9">
        <v>103</v>
      </c>
      <c r="B104" s="9" t="s">
        <v>9</v>
      </c>
      <c r="C104" s="9">
        <v>1928</v>
      </c>
      <c r="D104" s="10">
        <v>45736</v>
      </c>
      <c r="E104" s="11" t="str">
        <f>+HYPERLINK("http://trademark.i-assist.jp/data/china/image_1928th/79578691.pdf","79578691")</f>
        <v>79578691</v>
      </c>
      <c r="F104" s="9" t="s">
        <v>387</v>
      </c>
      <c r="G104" s="9" t="s">
        <v>388</v>
      </c>
      <c r="H104" s="9" t="s">
        <v>389</v>
      </c>
      <c r="I104" s="10">
        <v>45476</v>
      </c>
    </row>
    <row r="105" spans="1:9" x14ac:dyDescent="0.15">
      <c r="A105" s="9">
        <v>104</v>
      </c>
      <c r="B105" s="9" t="s">
        <v>9</v>
      </c>
      <c r="C105" s="9">
        <v>1928</v>
      </c>
      <c r="D105" s="10">
        <v>45736</v>
      </c>
      <c r="E105" s="11" t="str">
        <f>+HYPERLINK("http://trademark.i-assist.jp/data/china/image_1928th/79586159.pdf","79586159")</f>
        <v>79586159</v>
      </c>
      <c r="F105" s="9" t="s">
        <v>390</v>
      </c>
      <c r="G105" s="9" t="s">
        <v>388</v>
      </c>
      <c r="H105" s="9" t="s">
        <v>391</v>
      </c>
      <c r="I105" s="10">
        <v>45476</v>
      </c>
    </row>
    <row r="106" spans="1:9" x14ac:dyDescent="0.15">
      <c r="A106" s="9">
        <v>105</v>
      </c>
      <c r="B106" s="9" t="s">
        <v>9</v>
      </c>
      <c r="C106" s="9">
        <v>1928</v>
      </c>
      <c r="D106" s="10">
        <v>45736</v>
      </c>
      <c r="E106" s="11" t="str">
        <f>+HYPERLINK("http://trademark.i-assist.jp/data/china/image_1928th/79778641.pdf","79778641")</f>
        <v>79778641</v>
      </c>
      <c r="F106" s="9" t="s">
        <v>32</v>
      </c>
      <c r="G106" s="9" t="s">
        <v>392</v>
      </c>
      <c r="H106" s="9" t="s">
        <v>393</v>
      </c>
      <c r="I106" s="10">
        <v>45486</v>
      </c>
    </row>
    <row r="107" spans="1:9" x14ac:dyDescent="0.15">
      <c r="A107" s="9">
        <v>106</v>
      </c>
      <c r="B107" s="9" t="s">
        <v>9</v>
      </c>
      <c r="C107" s="9">
        <v>1928</v>
      </c>
      <c r="D107" s="10">
        <v>45736</v>
      </c>
      <c r="E107" s="11" t="str">
        <f>+HYPERLINK("http://trademark.i-assist.jp/data/china/image_1928th/80134566.pdf","80134566")</f>
        <v>80134566</v>
      </c>
      <c r="F107" s="12" t="s">
        <v>394</v>
      </c>
      <c r="G107" s="9" t="s">
        <v>395</v>
      </c>
      <c r="H107" s="9" t="s">
        <v>396</v>
      </c>
      <c r="I107" s="10">
        <v>45505</v>
      </c>
    </row>
    <row r="108" spans="1:9" x14ac:dyDescent="0.15">
      <c r="A108" s="9">
        <v>107</v>
      </c>
      <c r="B108" s="9" t="s">
        <v>9</v>
      </c>
      <c r="C108" s="9">
        <v>1928</v>
      </c>
      <c r="D108" s="10">
        <v>45736</v>
      </c>
      <c r="E108" s="11" t="str">
        <f>+HYPERLINK("http://trademark.i-assist.jp/data/china/image_1928th/80135528.pdf","80135528")</f>
        <v>80135528</v>
      </c>
      <c r="F108" s="9" t="s">
        <v>397</v>
      </c>
      <c r="G108" s="9" t="s">
        <v>395</v>
      </c>
      <c r="H108" s="9" t="s">
        <v>398</v>
      </c>
      <c r="I108" s="10">
        <v>45505</v>
      </c>
    </row>
    <row r="109" spans="1:9" x14ac:dyDescent="0.15">
      <c r="A109" s="9">
        <v>108</v>
      </c>
      <c r="B109" s="9" t="s">
        <v>9</v>
      </c>
      <c r="C109" s="9">
        <v>1928</v>
      </c>
      <c r="D109" s="10">
        <v>45736</v>
      </c>
      <c r="E109" s="11" t="str">
        <f>+HYPERLINK("http://trademark.i-assist.jp/data/china/image_1928th/80268691.pdf","80268691")</f>
        <v>80268691</v>
      </c>
      <c r="F109" s="9" t="s">
        <v>399</v>
      </c>
      <c r="G109" s="9" t="s">
        <v>400</v>
      </c>
      <c r="H109" s="9" t="s">
        <v>401</v>
      </c>
      <c r="I109" s="10">
        <v>45513</v>
      </c>
    </row>
    <row r="110" spans="1:9" x14ac:dyDescent="0.15">
      <c r="A110" s="9">
        <v>109</v>
      </c>
      <c r="B110" s="9" t="s">
        <v>9</v>
      </c>
      <c r="C110" s="9">
        <v>1928</v>
      </c>
      <c r="D110" s="10">
        <v>45736</v>
      </c>
      <c r="E110" s="11" t="str">
        <f>+HYPERLINK("http://trademark.i-assist.jp/data/china/image_1928th/80268898.pdf","80268898")</f>
        <v>80268898</v>
      </c>
      <c r="F110" s="9" t="s">
        <v>402</v>
      </c>
      <c r="G110" s="9" t="s">
        <v>400</v>
      </c>
      <c r="H110" s="9" t="s">
        <v>403</v>
      </c>
      <c r="I110" s="10">
        <v>45513</v>
      </c>
    </row>
    <row r="111" spans="1:9" x14ac:dyDescent="0.15">
      <c r="A111" s="9">
        <v>110</v>
      </c>
      <c r="B111" s="9" t="s">
        <v>9</v>
      </c>
      <c r="C111" s="9">
        <v>1928</v>
      </c>
      <c r="D111" s="10">
        <v>45736</v>
      </c>
      <c r="E111" s="11" t="str">
        <f>+HYPERLINK("http://trademark.i-assist.jp/data/china/image_1928th/80274308.pdf","80274308")</f>
        <v>80274308</v>
      </c>
      <c r="F111" s="9" t="s">
        <v>404</v>
      </c>
      <c r="G111" s="9" t="s">
        <v>400</v>
      </c>
      <c r="H111" s="9" t="s">
        <v>405</v>
      </c>
      <c r="I111" s="10">
        <v>45513</v>
      </c>
    </row>
    <row r="112" spans="1:9" x14ac:dyDescent="0.15">
      <c r="A112" s="9">
        <v>111</v>
      </c>
      <c r="B112" s="9" t="s">
        <v>9</v>
      </c>
      <c r="C112" s="9">
        <v>1928</v>
      </c>
      <c r="D112" s="10">
        <v>45736</v>
      </c>
      <c r="E112" s="11" t="str">
        <f>+HYPERLINK("http://trademark.i-assist.jp/data/china/image_1928th/80561675.pdf","80561675")</f>
        <v>80561675</v>
      </c>
      <c r="F112" s="9" t="s">
        <v>406</v>
      </c>
      <c r="G112" s="9" t="s">
        <v>400</v>
      </c>
      <c r="H112" s="9" t="s">
        <v>407</v>
      </c>
      <c r="I112" s="10">
        <v>45530</v>
      </c>
    </row>
    <row r="113" spans="1:9" x14ac:dyDescent="0.15">
      <c r="A113" s="9">
        <v>112</v>
      </c>
      <c r="B113" s="9" t="s">
        <v>9</v>
      </c>
      <c r="C113" s="9">
        <v>1928</v>
      </c>
      <c r="D113" s="10">
        <v>45736</v>
      </c>
      <c r="E113" s="11" t="str">
        <f>+HYPERLINK("http://trademark.i-assist.jp/data/china/image_1928th/80637598.pdf","80637598")</f>
        <v>80637598</v>
      </c>
      <c r="F113" s="9" t="s">
        <v>408</v>
      </c>
      <c r="G113" s="9" t="s">
        <v>409</v>
      </c>
      <c r="H113" s="9" t="s">
        <v>10</v>
      </c>
      <c r="I113" s="10">
        <v>45533</v>
      </c>
    </row>
    <row r="114" spans="1:9" x14ac:dyDescent="0.15">
      <c r="A114" s="9">
        <v>113</v>
      </c>
      <c r="B114" s="9" t="s">
        <v>9</v>
      </c>
      <c r="C114" s="9">
        <v>1928</v>
      </c>
      <c r="D114" s="10">
        <v>45736</v>
      </c>
      <c r="E114" s="11" t="str">
        <f>+HYPERLINK("http://trademark.i-assist.jp/data/china/image_1928th/80687039.pdf","80687039")</f>
        <v>80687039</v>
      </c>
      <c r="F114" s="12" t="s">
        <v>410</v>
      </c>
      <c r="G114" s="9" t="s">
        <v>411</v>
      </c>
      <c r="H114" s="9" t="s">
        <v>412</v>
      </c>
      <c r="I114" s="10">
        <v>45537</v>
      </c>
    </row>
    <row r="115" spans="1:9" x14ac:dyDescent="0.15">
      <c r="A115" s="9">
        <v>114</v>
      </c>
      <c r="B115" s="9" t="s">
        <v>9</v>
      </c>
      <c r="C115" s="9">
        <v>1928</v>
      </c>
      <c r="D115" s="10">
        <v>45736</v>
      </c>
      <c r="E115" s="11" t="str">
        <f>+HYPERLINK("http://trademark.i-assist.jp/data/china/image_1928th/80706113.pdf","80706113")</f>
        <v>80706113</v>
      </c>
      <c r="F115" s="9" t="s">
        <v>413</v>
      </c>
      <c r="G115" s="9" t="s">
        <v>414</v>
      </c>
      <c r="H115" s="9" t="s">
        <v>415</v>
      </c>
      <c r="I115" s="10">
        <v>45537</v>
      </c>
    </row>
    <row r="116" spans="1:9" x14ac:dyDescent="0.15">
      <c r="A116" s="9">
        <v>115</v>
      </c>
      <c r="B116" s="9" t="s">
        <v>9</v>
      </c>
      <c r="C116" s="9">
        <v>1928</v>
      </c>
      <c r="D116" s="10">
        <v>45736</v>
      </c>
      <c r="E116" s="11" t="str">
        <f>+HYPERLINK("http://trademark.i-assist.jp/data/china/image_1928th/80707939.pdf","80707939")</f>
        <v>80707939</v>
      </c>
      <c r="F116" s="9" t="s">
        <v>416</v>
      </c>
      <c r="G116" s="9" t="s">
        <v>417</v>
      </c>
      <c r="H116" s="9" t="s">
        <v>418</v>
      </c>
      <c r="I116" s="10">
        <v>45538</v>
      </c>
    </row>
    <row r="117" spans="1:9" x14ac:dyDescent="0.15">
      <c r="A117" s="9">
        <v>116</v>
      </c>
      <c r="B117" s="9" t="s">
        <v>9</v>
      </c>
      <c r="C117" s="9">
        <v>1928</v>
      </c>
      <c r="D117" s="10">
        <v>45736</v>
      </c>
      <c r="E117" s="11" t="str">
        <f>+HYPERLINK("http://trademark.i-assist.jp/data/china/image_1928th/80730477.pdf","80730477")</f>
        <v>80730477</v>
      </c>
      <c r="F117" s="9" t="s">
        <v>419</v>
      </c>
      <c r="G117" s="9" t="s">
        <v>417</v>
      </c>
      <c r="H117" s="9" t="s">
        <v>420</v>
      </c>
      <c r="I117" s="10">
        <v>45539</v>
      </c>
    </row>
    <row r="118" spans="1:9" x14ac:dyDescent="0.15">
      <c r="A118" s="9">
        <v>117</v>
      </c>
      <c r="B118" s="9" t="s">
        <v>9</v>
      </c>
      <c r="C118" s="9">
        <v>1928</v>
      </c>
      <c r="D118" s="10">
        <v>45736</v>
      </c>
      <c r="E118" s="11" t="str">
        <f>+HYPERLINK("http://trademark.i-assist.jp/data/china/image_1928th/80779138.pdf","80779138")</f>
        <v>80779138</v>
      </c>
      <c r="F118" s="12" t="s">
        <v>18</v>
      </c>
      <c r="G118" s="9" t="s">
        <v>421</v>
      </c>
      <c r="H118" s="9" t="s">
        <v>422</v>
      </c>
      <c r="I118" s="10">
        <v>45541</v>
      </c>
    </row>
    <row r="119" spans="1:9" x14ac:dyDescent="0.15">
      <c r="A119" s="9">
        <v>118</v>
      </c>
      <c r="B119" s="9" t="s">
        <v>9</v>
      </c>
      <c r="C119" s="9">
        <v>1928</v>
      </c>
      <c r="D119" s="10">
        <v>45736</v>
      </c>
      <c r="E119" s="11" t="str">
        <f>+HYPERLINK("http://trademark.i-assist.jp/data/china/image_1928th/80968296.pdf","80968296")</f>
        <v>80968296</v>
      </c>
      <c r="F119" s="9" t="s">
        <v>423</v>
      </c>
      <c r="G119" s="9" t="s">
        <v>424</v>
      </c>
      <c r="H119" s="9" t="s">
        <v>425</v>
      </c>
      <c r="I119" s="10">
        <v>45553</v>
      </c>
    </row>
    <row r="120" spans="1:9" x14ac:dyDescent="0.15">
      <c r="A120" s="9">
        <v>119</v>
      </c>
      <c r="B120" s="9" t="s">
        <v>9</v>
      </c>
      <c r="C120" s="9">
        <v>1928</v>
      </c>
      <c r="D120" s="10">
        <v>45736</v>
      </c>
      <c r="E120" s="11" t="str">
        <f>+HYPERLINK("http://trademark.i-assist.jp/data/china/image_1928th/81006744.pdf","81006744")</f>
        <v>81006744</v>
      </c>
      <c r="F120" s="9" t="s">
        <v>426</v>
      </c>
      <c r="G120" s="9" t="s">
        <v>427</v>
      </c>
      <c r="H120" s="9" t="s">
        <v>428</v>
      </c>
      <c r="I120" s="10">
        <v>45555</v>
      </c>
    </row>
    <row r="121" spans="1:9" x14ac:dyDescent="0.15">
      <c r="A121" s="9">
        <v>120</v>
      </c>
      <c r="B121" s="9" t="s">
        <v>9</v>
      </c>
      <c r="C121" s="9">
        <v>1928</v>
      </c>
      <c r="D121" s="10">
        <v>45736</v>
      </c>
      <c r="E121" s="11" t="str">
        <f>+HYPERLINK("http://trademark.i-assist.jp/data/china/image_1928th/81015087.pdf","81015087")</f>
        <v>81015087</v>
      </c>
      <c r="F121" s="9" t="s">
        <v>429</v>
      </c>
      <c r="G121" s="9" t="s">
        <v>430</v>
      </c>
      <c r="H121" s="9" t="s">
        <v>431</v>
      </c>
      <c r="I121" s="10">
        <v>45555</v>
      </c>
    </row>
    <row r="122" spans="1:9" x14ac:dyDescent="0.15">
      <c r="A122" s="9">
        <v>121</v>
      </c>
      <c r="B122" s="9" t="s">
        <v>9</v>
      </c>
      <c r="C122" s="9">
        <v>1928</v>
      </c>
      <c r="D122" s="10">
        <v>45736</v>
      </c>
      <c r="E122" s="11" t="str">
        <f>+HYPERLINK("http://trademark.i-assist.jp/data/china/image_1928th/81025463.pdf","81025463")</f>
        <v>81025463</v>
      </c>
      <c r="F122" s="9" t="s">
        <v>432</v>
      </c>
      <c r="G122" s="9" t="s">
        <v>433</v>
      </c>
      <c r="H122" s="9" t="s">
        <v>434</v>
      </c>
      <c r="I122" s="10">
        <v>45555</v>
      </c>
    </row>
    <row r="123" spans="1:9" x14ac:dyDescent="0.15">
      <c r="A123" s="9">
        <v>122</v>
      </c>
      <c r="B123" s="9" t="s">
        <v>9</v>
      </c>
      <c r="C123" s="9">
        <v>1928</v>
      </c>
      <c r="D123" s="10">
        <v>45736</v>
      </c>
      <c r="E123" s="11" t="str">
        <f>+HYPERLINK("http://trademark.i-assist.jp/data/china/image_1928th/81082412.pdf","81082412")</f>
        <v>81082412</v>
      </c>
      <c r="F123" s="9" t="s">
        <v>435</v>
      </c>
      <c r="G123" s="12" t="s">
        <v>436</v>
      </c>
      <c r="H123" s="9" t="s">
        <v>437</v>
      </c>
      <c r="I123" s="10">
        <v>45559</v>
      </c>
    </row>
    <row r="124" spans="1:9" x14ac:dyDescent="0.15">
      <c r="A124" s="9">
        <v>123</v>
      </c>
      <c r="B124" s="9" t="s">
        <v>9</v>
      </c>
      <c r="C124" s="9">
        <v>1928</v>
      </c>
      <c r="D124" s="10">
        <v>45736</v>
      </c>
      <c r="E124" s="11" t="str">
        <f>+HYPERLINK("http://trademark.i-assist.jp/data/china/image_1928th/81112012.pdf","81112012")</f>
        <v>81112012</v>
      </c>
      <c r="F124" s="9" t="s">
        <v>438</v>
      </c>
      <c r="G124" s="9" t="s">
        <v>439</v>
      </c>
      <c r="H124" s="9" t="s">
        <v>440</v>
      </c>
      <c r="I124" s="10">
        <v>45560</v>
      </c>
    </row>
    <row r="125" spans="1:9" x14ac:dyDescent="0.15">
      <c r="A125" s="9">
        <v>124</v>
      </c>
      <c r="B125" s="9" t="s">
        <v>9</v>
      </c>
      <c r="C125" s="9">
        <v>1928</v>
      </c>
      <c r="D125" s="10">
        <v>45736</v>
      </c>
      <c r="E125" s="11" t="str">
        <f>+HYPERLINK("http://trademark.i-assist.jp/data/china/image_1928th/81138759.pdf","81138759")</f>
        <v>81138759</v>
      </c>
      <c r="F125" s="12" t="s">
        <v>441</v>
      </c>
      <c r="G125" s="12" t="s">
        <v>442</v>
      </c>
      <c r="H125" s="9" t="s">
        <v>443</v>
      </c>
      <c r="I125" s="10">
        <v>45561</v>
      </c>
    </row>
    <row r="126" spans="1:9" x14ac:dyDescent="0.15">
      <c r="A126" s="9">
        <v>125</v>
      </c>
      <c r="B126" s="9" t="s">
        <v>9</v>
      </c>
      <c r="C126" s="9">
        <v>1928</v>
      </c>
      <c r="D126" s="10">
        <v>45736</v>
      </c>
      <c r="E126" s="11" t="str">
        <f>+HYPERLINK("http://trademark.i-assist.jp/data/china/image_1928th/81155697.pdf","81155697")</f>
        <v>81155697</v>
      </c>
      <c r="F126" s="9" t="s">
        <v>444</v>
      </c>
      <c r="G126" s="9" t="s">
        <v>445</v>
      </c>
      <c r="H126" s="9" t="s">
        <v>446</v>
      </c>
      <c r="I126" s="10">
        <v>45562</v>
      </c>
    </row>
    <row r="127" spans="1:9" x14ac:dyDescent="0.15">
      <c r="A127" s="9">
        <v>126</v>
      </c>
      <c r="B127" s="9" t="s">
        <v>9</v>
      </c>
      <c r="C127" s="9">
        <v>1928</v>
      </c>
      <c r="D127" s="10">
        <v>45736</v>
      </c>
      <c r="E127" s="11" t="str">
        <f>+HYPERLINK("http://trademark.i-assist.jp/data/china/image_1928th/81224584.pdf","81224584")</f>
        <v>81224584</v>
      </c>
      <c r="F127" s="9" t="s">
        <v>447</v>
      </c>
      <c r="G127" s="12" t="s">
        <v>448</v>
      </c>
      <c r="H127" s="9" t="s">
        <v>449</v>
      </c>
      <c r="I127" s="10">
        <v>45565</v>
      </c>
    </row>
    <row r="128" spans="1:9" x14ac:dyDescent="0.15">
      <c r="A128" s="9">
        <v>127</v>
      </c>
      <c r="B128" s="9" t="s">
        <v>9</v>
      </c>
      <c r="C128" s="9">
        <v>1928</v>
      </c>
      <c r="D128" s="10">
        <v>45736</v>
      </c>
      <c r="E128" s="11" t="str">
        <f>+HYPERLINK("http://trademark.i-assist.jp/data/china/image_1928th/81281026.pdf","81281026")</f>
        <v>81281026</v>
      </c>
      <c r="F128" s="12" t="s">
        <v>450</v>
      </c>
      <c r="G128" s="9" t="s">
        <v>451</v>
      </c>
      <c r="H128" s="9" t="s">
        <v>452</v>
      </c>
      <c r="I128" s="10">
        <v>45574</v>
      </c>
    </row>
    <row r="129" spans="1:9" x14ac:dyDescent="0.15">
      <c r="A129" s="9">
        <v>128</v>
      </c>
      <c r="B129" s="9" t="s">
        <v>9</v>
      </c>
      <c r="C129" s="9">
        <v>1928</v>
      </c>
      <c r="D129" s="10">
        <v>45736</v>
      </c>
      <c r="E129" s="11" t="str">
        <f>+HYPERLINK("http://trademark.i-assist.jp/data/china/image_1928th/81299140.pdf","81299140")</f>
        <v>81299140</v>
      </c>
      <c r="F129" s="9" t="s">
        <v>453</v>
      </c>
      <c r="G129" s="9" t="s">
        <v>454</v>
      </c>
      <c r="H129" s="9" t="s">
        <v>455</v>
      </c>
      <c r="I129" s="10">
        <v>45575</v>
      </c>
    </row>
    <row r="130" spans="1:9" x14ac:dyDescent="0.15">
      <c r="A130" s="9">
        <v>129</v>
      </c>
      <c r="B130" s="9" t="s">
        <v>9</v>
      </c>
      <c r="C130" s="9">
        <v>1928</v>
      </c>
      <c r="D130" s="10">
        <v>45736</v>
      </c>
      <c r="E130" s="11" t="str">
        <f>+HYPERLINK("http://trademark.i-assist.jp/data/china/image_1928th/81307885.pdf","81307885")</f>
        <v>81307885</v>
      </c>
      <c r="F130" s="9" t="s">
        <v>456</v>
      </c>
      <c r="G130" s="9" t="s">
        <v>457</v>
      </c>
      <c r="H130" s="9" t="s">
        <v>458</v>
      </c>
      <c r="I130" s="10">
        <v>45575</v>
      </c>
    </row>
    <row r="131" spans="1:9" x14ac:dyDescent="0.15">
      <c r="A131" s="9">
        <v>130</v>
      </c>
      <c r="B131" s="9" t="s">
        <v>9</v>
      </c>
      <c r="C131" s="9">
        <v>1928</v>
      </c>
      <c r="D131" s="10">
        <v>45736</v>
      </c>
      <c r="E131" s="11" t="str">
        <f>+HYPERLINK("http://trademark.i-assist.jp/data/china/image_1928th/81316421.pdf","81316421")</f>
        <v>81316421</v>
      </c>
      <c r="F131" s="12" t="s">
        <v>459</v>
      </c>
      <c r="G131" s="9" t="s">
        <v>460</v>
      </c>
      <c r="H131" s="9" t="s">
        <v>461</v>
      </c>
      <c r="I131" s="10">
        <v>45576</v>
      </c>
    </row>
    <row r="132" spans="1:9" x14ac:dyDescent="0.15">
      <c r="A132" s="9">
        <v>131</v>
      </c>
      <c r="B132" s="9" t="s">
        <v>9</v>
      </c>
      <c r="C132" s="9">
        <v>1928</v>
      </c>
      <c r="D132" s="10">
        <v>45736</v>
      </c>
      <c r="E132" s="11" t="str">
        <f>+HYPERLINK("http://trademark.i-assist.jp/data/china/image_1928th/81328338.pdf","81328338")</f>
        <v>81328338</v>
      </c>
      <c r="F132" s="9" t="s">
        <v>462</v>
      </c>
      <c r="G132" s="12" t="s">
        <v>463</v>
      </c>
      <c r="H132" s="9" t="s">
        <v>464</v>
      </c>
      <c r="I132" s="10">
        <v>45576</v>
      </c>
    </row>
    <row r="133" spans="1:9" x14ac:dyDescent="0.15">
      <c r="A133" s="9">
        <v>132</v>
      </c>
      <c r="B133" s="9" t="s">
        <v>9</v>
      </c>
      <c r="C133" s="9">
        <v>1928</v>
      </c>
      <c r="D133" s="10">
        <v>45736</v>
      </c>
      <c r="E133" s="11" t="str">
        <f>+HYPERLINK("http://trademark.i-assist.jp/data/china/image_1928th/81349979.pdf","81349979")</f>
        <v>81349979</v>
      </c>
      <c r="F133" s="9" t="s">
        <v>465</v>
      </c>
      <c r="G133" s="9" t="s">
        <v>466</v>
      </c>
      <c r="H133" s="12" t="s">
        <v>467</v>
      </c>
      <c r="I133" s="10">
        <v>45577</v>
      </c>
    </row>
    <row r="134" spans="1:9" x14ac:dyDescent="0.15">
      <c r="A134" s="9">
        <v>133</v>
      </c>
      <c r="B134" s="9" t="s">
        <v>9</v>
      </c>
      <c r="C134" s="9">
        <v>1928</v>
      </c>
      <c r="D134" s="10">
        <v>45736</v>
      </c>
      <c r="E134" s="11" t="str">
        <f>+HYPERLINK("http://trademark.i-assist.jp/data/china/image_1928th/81374638.pdf","81374638")</f>
        <v>81374638</v>
      </c>
      <c r="F134" s="9" t="s">
        <v>468</v>
      </c>
      <c r="G134" s="9" t="s">
        <v>469</v>
      </c>
      <c r="H134" s="9" t="s">
        <v>470</v>
      </c>
      <c r="I134" s="10">
        <v>45579</v>
      </c>
    </row>
    <row r="135" spans="1:9" x14ac:dyDescent="0.15">
      <c r="A135" s="9">
        <v>134</v>
      </c>
      <c r="B135" s="9" t="s">
        <v>9</v>
      </c>
      <c r="C135" s="9">
        <v>1928</v>
      </c>
      <c r="D135" s="10">
        <v>45736</v>
      </c>
      <c r="E135" s="11" t="str">
        <f>+HYPERLINK("http://trademark.i-assist.jp/data/china/image_1928th/81393593.pdf","81393593")</f>
        <v>81393593</v>
      </c>
      <c r="F135" s="9" t="s">
        <v>471</v>
      </c>
      <c r="G135" s="12" t="s">
        <v>472</v>
      </c>
      <c r="H135" s="9" t="s">
        <v>473</v>
      </c>
      <c r="I135" s="10">
        <v>45580</v>
      </c>
    </row>
    <row r="136" spans="1:9" x14ac:dyDescent="0.15">
      <c r="A136" s="9">
        <v>135</v>
      </c>
      <c r="B136" s="9" t="s">
        <v>9</v>
      </c>
      <c r="C136" s="9">
        <v>1928</v>
      </c>
      <c r="D136" s="10">
        <v>45736</v>
      </c>
      <c r="E136" s="11" t="str">
        <f>+HYPERLINK("http://trademark.i-assist.jp/data/china/image_1928th/81415307.pdf","81415307")</f>
        <v>81415307</v>
      </c>
      <c r="F136" s="9" t="s">
        <v>474</v>
      </c>
      <c r="G136" s="9" t="s">
        <v>475</v>
      </c>
      <c r="H136" s="9" t="s">
        <v>476</v>
      </c>
      <c r="I136" s="10">
        <v>45581</v>
      </c>
    </row>
    <row r="137" spans="1:9" x14ac:dyDescent="0.15">
      <c r="A137" s="9">
        <v>136</v>
      </c>
      <c r="B137" s="9" t="s">
        <v>9</v>
      </c>
      <c r="C137" s="9">
        <v>1928</v>
      </c>
      <c r="D137" s="10">
        <v>45736</v>
      </c>
      <c r="E137" s="11" t="str">
        <f>+HYPERLINK("http://trademark.i-assist.jp/data/china/image_1928th/81430727.pdf","81430727")</f>
        <v>81430727</v>
      </c>
      <c r="F137" s="9" t="s">
        <v>477</v>
      </c>
      <c r="G137" s="12" t="s">
        <v>478</v>
      </c>
      <c r="H137" s="9" t="s">
        <v>479</v>
      </c>
      <c r="I137" s="10">
        <v>45583</v>
      </c>
    </row>
    <row r="138" spans="1:9" x14ac:dyDescent="0.15">
      <c r="A138" s="9">
        <v>137</v>
      </c>
      <c r="B138" s="9" t="s">
        <v>9</v>
      </c>
      <c r="C138" s="9">
        <v>1928</v>
      </c>
      <c r="D138" s="10">
        <v>45736</v>
      </c>
      <c r="E138" s="11" t="str">
        <f>+HYPERLINK("http://trademark.i-assist.jp/data/china/image_1928th/81438806.pdf","81438806")</f>
        <v>81438806</v>
      </c>
      <c r="F138" s="13" t="s">
        <v>480</v>
      </c>
      <c r="G138" s="12" t="s">
        <v>44</v>
      </c>
      <c r="H138" s="9" t="s">
        <v>481</v>
      </c>
      <c r="I138" s="10">
        <v>45582</v>
      </c>
    </row>
    <row r="139" spans="1:9" x14ac:dyDescent="0.15">
      <c r="A139" s="9">
        <v>138</v>
      </c>
      <c r="B139" s="9" t="s">
        <v>9</v>
      </c>
      <c r="C139" s="9">
        <v>1928</v>
      </c>
      <c r="D139" s="10">
        <v>45736</v>
      </c>
      <c r="E139" s="11" t="str">
        <f>+HYPERLINK("http://trademark.i-assist.jp/data/china/image_1928th/81454585.pdf","81454585")</f>
        <v>81454585</v>
      </c>
      <c r="F139" s="9" t="s">
        <v>482</v>
      </c>
      <c r="G139" s="9" t="s">
        <v>483</v>
      </c>
      <c r="H139" s="9" t="s">
        <v>484</v>
      </c>
      <c r="I139" s="10">
        <v>45583</v>
      </c>
    </row>
    <row r="140" spans="1:9" x14ac:dyDescent="0.15">
      <c r="A140" s="9">
        <v>139</v>
      </c>
      <c r="B140" s="9" t="s">
        <v>9</v>
      </c>
      <c r="C140" s="9">
        <v>1928</v>
      </c>
      <c r="D140" s="10">
        <v>45736</v>
      </c>
      <c r="E140" s="11" t="str">
        <f>+HYPERLINK("http://trademark.i-assist.jp/data/china/image_1928th/81456336.pdf","81456336")</f>
        <v>81456336</v>
      </c>
      <c r="F140" s="9" t="s">
        <v>485</v>
      </c>
      <c r="G140" s="9" t="s">
        <v>486</v>
      </c>
      <c r="H140" s="9" t="s">
        <v>487</v>
      </c>
      <c r="I140" s="10">
        <v>45583</v>
      </c>
    </row>
    <row r="141" spans="1:9" x14ac:dyDescent="0.15">
      <c r="A141" s="9">
        <v>140</v>
      </c>
      <c r="B141" s="9" t="s">
        <v>9</v>
      </c>
      <c r="C141" s="9">
        <v>1928</v>
      </c>
      <c r="D141" s="10">
        <v>45736</v>
      </c>
      <c r="E141" s="11" t="str">
        <f>+HYPERLINK("http://trademark.i-assist.jp/data/china/image_1928th/81464985.pdf","81464985")</f>
        <v>81464985</v>
      </c>
      <c r="F141" s="9" t="s">
        <v>488</v>
      </c>
      <c r="G141" s="9" t="s">
        <v>489</v>
      </c>
      <c r="H141" s="12" t="s">
        <v>490</v>
      </c>
      <c r="I141" s="10">
        <v>45583</v>
      </c>
    </row>
    <row r="142" spans="1:9" x14ac:dyDescent="0.15">
      <c r="A142" s="9">
        <v>141</v>
      </c>
      <c r="B142" s="9" t="s">
        <v>9</v>
      </c>
      <c r="C142" s="9">
        <v>1928</v>
      </c>
      <c r="D142" s="10">
        <v>45736</v>
      </c>
      <c r="E142" s="11" t="str">
        <f>+HYPERLINK("http://trademark.i-assist.jp/data/china/image_1928th/81468397.pdf","81468397")</f>
        <v>81468397</v>
      </c>
      <c r="F142" s="12" t="s">
        <v>18</v>
      </c>
      <c r="G142" s="9" t="s">
        <v>491</v>
      </c>
      <c r="H142" s="9" t="s">
        <v>492</v>
      </c>
      <c r="I142" s="10">
        <v>45583</v>
      </c>
    </row>
    <row r="143" spans="1:9" x14ac:dyDescent="0.15">
      <c r="A143" s="9">
        <v>142</v>
      </c>
      <c r="B143" s="9" t="s">
        <v>9</v>
      </c>
      <c r="C143" s="9">
        <v>1928</v>
      </c>
      <c r="D143" s="10">
        <v>45736</v>
      </c>
      <c r="E143" s="11" t="str">
        <f>+HYPERLINK("http://trademark.i-assist.jp/data/china/image_1928th/81509046.pdf","81509046")</f>
        <v>81509046</v>
      </c>
      <c r="F143" s="9" t="s">
        <v>493</v>
      </c>
      <c r="G143" s="9" t="s">
        <v>494</v>
      </c>
      <c r="H143" s="9" t="s">
        <v>495</v>
      </c>
      <c r="I143" s="10">
        <v>45587</v>
      </c>
    </row>
    <row r="144" spans="1:9" x14ac:dyDescent="0.15">
      <c r="A144" s="9">
        <v>143</v>
      </c>
      <c r="B144" s="9" t="s">
        <v>9</v>
      </c>
      <c r="C144" s="9">
        <v>1928</v>
      </c>
      <c r="D144" s="10">
        <v>45736</v>
      </c>
      <c r="E144" s="11" t="str">
        <f>+HYPERLINK("http://trademark.i-assist.jp/data/china/image_1928th/81528275.pdf","81528275")</f>
        <v>81528275</v>
      </c>
      <c r="F144" s="9" t="s">
        <v>496</v>
      </c>
      <c r="G144" s="9" t="s">
        <v>494</v>
      </c>
      <c r="H144" s="9" t="s">
        <v>497</v>
      </c>
      <c r="I144" s="10">
        <v>45587</v>
      </c>
    </row>
    <row r="145" spans="1:9" x14ac:dyDescent="0.15">
      <c r="A145" s="9">
        <v>144</v>
      </c>
      <c r="B145" s="9" t="s">
        <v>9</v>
      </c>
      <c r="C145" s="9">
        <v>1928</v>
      </c>
      <c r="D145" s="10">
        <v>45736</v>
      </c>
      <c r="E145" s="11" t="str">
        <f>+HYPERLINK("http://trademark.i-assist.jp/data/china/image_1928th/81550405.pdf","81550405")</f>
        <v>81550405</v>
      </c>
      <c r="F145" s="12" t="s">
        <v>498</v>
      </c>
      <c r="G145" s="12" t="s">
        <v>499</v>
      </c>
      <c r="H145" s="12" t="s">
        <v>500</v>
      </c>
      <c r="I145" s="10">
        <v>45588</v>
      </c>
    </row>
    <row r="146" spans="1:9" x14ac:dyDescent="0.15">
      <c r="A146" s="9">
        <v>145</v>
      </c>
      <c r="B146" s="9" t="s">
        <v>9</v>
      </c>
      <c r="C146" s="9">
        <v>1928</v>
      </c>
      <c r="D146" s="10">
        <v>45736</v>
      </c>
      <c r="E146" s="11" t="str">
        <f>+HYPERLINK("http://trademark.i-assist.jp/data/china/image_1928th/81559577.pdf","81559577")</f>
        <v>81559577</v>
      </c>
      <c r="F146" s="9" t="s">
        <v>501</v>
      </c>
      <c r="G146" s="9" t="s">
        <v>30</v>
      </c>
      <c r="H146" s="12" t="s">
        <v>502</v>
      </c>
      <c r="I146" s="10">
        <v>45589</v>
      </c>
    </row>
    <row r="147" spans="1:9" x14ac:dyDescent="0.15">
      <c r="A147" s="9">
        <v>146</v>
      </c>
      <c r="B147" s="9" t="s">
        <v>9</v>
      </c>
      <c r="C147" s="9">
        <v>1928</v>
      </c>
      <c r="D147" s="10">
        <v>45736</v>
      </c>
      <c r="E147" s="11" t="str">
        <f>+HYPERLINK("http://trademark.i-assist.jp/data/china/image_1928th/81560181.pdf","81560181")</f>
        <v>81560181</v>
      </c>
      <c r="F147" s="12" t="s">
        <v>18</v>
      </c>
      <c r="G147" s="9" t="s">
        <v>503</v>
      </c>
      <c r="H147" s="9" t="s">
        <v>504</v>
      </c>
      <c r="I147" s="10">
        <v>45589</v>
      </c>
    </row>
    <row r="148" spans="1:9" x14ac:dyDescent="0.15">
      <c r="A148" s="9">
        <v>147</v>
      </c>
      <c r="B148" s="9" t="s">
        <v>9</v>
      </c>
      <c r="C148" s="9">
        <v>1928</v>
      </c>
      <c r="D148" s="10">
        <v>45736</v>
      </c>
      <c r="E148" s="11" t="str">
        <f>+HYPERLINK("http://trademark.i-assist.jp/data/china/image_1928th/81561574.pdf","81561574")</f>
        <v>81561574</v>
      </c>
      <c r="F148" s="9" t="s">
        <v>505</v>
      </c>
      <c r="G148" s="12" t="s">
        <v>506</v>
      </c>
      <c r="H148" s="9" t="s">
        <v>507</v>
      </c>
      <c r="I148" s="10">
        <v>45589</v>
      </c>
    </row>
    <row r="149" spans="1:9" x14ac:dyDescent="0.15">
      <c r="A149" s="9">
        <v>148</v>
      </c>
      <c r="B149" s="9" t="s">
        <v>9</v>
      </c>
      <c r="C149" s="9">
        <v>1928</v>
      </c>
      <c r="D149" s="10">
        <v>45736</v>
      </c>
      <c r="E149" s="11" t="str">
        <f>+HYPERLINK("http://trademark.i-assist.jp/data/china/image_1928th/81562976.pdf","81562976")</f>
        <v>81562976</v>
      </c>
      <c r="F149" s="9" t="s">
        <v>508</v>
      </c>
      <c r="G149" s="9" t="s">
        <v>509</v>
      </c>
      <c r="H149" s="9" t="s">
        <v>510</v>
      </c>
      <c r="I149" s="10">
        <v>45589</v>
      </c>
    </row>
    <row r="150" spans="1:9" x14ac:dyDescent="0.15">
      <c r="A150" s="9">
        <v>149</v>
      </c>
      <c r="B150" s="9" t="s">
        <v>9</v>
      </c>
      <c r="C150" s="9">
        <v>1928</v>
      </c>
      <c r="D150" s="10">
        <v>45736</v>
      </c>
      <c r="E150" s="11" t="str">
        <f>+HYPERLINK("http://trademark.i-assist.jp/data/china/image_1928th/81568660.pdf","81568660")</f>
        <v>81568660</v>
      </c>
      <c r="F150" s="9" t="s">
        <v>511</v>
      </c>
      <c r="G150" s="9" t="s">
        <v>511</v>
      </c>
      <c r="H150" s="9" t="s">
        <v>512</v>
      </c>
      <c r="I150" s="10">
        <v>45589</v>
      </c>
    </row>
    <row r="151" spans="1:9" x14ac:dyDescent="0.15">
      <c r="A151" s="9">
        <v>150</v>
      </c>
      <c r="B151" s="9" t="s">
        <v>9</v>
      </c>
      <c r="C151" s="9">
        <v>1928</v>
      </c>
      <c r="D151" s="10">
        <v>45736</v>
      </c>
      <c r="E151" s="11" t="str">
        <f>+HYPERLINK("http://trademark.i-assist.jp/data/china/image_1928th/81575537.pdf","81575537")</f>
        <v>81575537</v>
      </c>
      <c r="F151" s="9" t="s">
        <v>513</v>
      </c>
      <c r="G151" s="9" t="s">
        <v>511</v>
      </c>
      <c r="H151" s="9" t="s">
        <v>514</v>
      </c>
      <c r="I151" s="10">
        <v>45589</v>
      </c>
    </row>
    <row r="152" spans="1:9" x14ac:dyDescent="0.15">
      <c r="A152" s="9">
        <v>151</v>
      </c>
      <c r="B152" s="9" t="s">
        <v>9</v>
      </c>
      <c r="C152" s="9">
        <v>1928</v>
      </c>
      <c r="D152" s="10">
        <v>45736</v>
      </c>
      <c r="E152" s="11" t="str">
        <f>+HYPERLINK("http://trademark.i-assist.jp/data/china/image_1928th/81586918A.pdf","81586918A")</f>
        <v>81586918A</v>
      </c>
      <c r="F152" s="9" t="s">
        <v>515</v>
      </c>
      <c r="G152" s="9" t="s">
        <v>516</v>
      </c>
      <c r="H152" s="12" t="s">
        <v>517</v>
      </c>
      <c r="I152" s="10">
        <v>45590</v>
      </c>
    </row>
    <row r="153" spans="1:9" x14ac:dyDescent="0.15">
      <c r="A153" s="9">
        <v>152</v>
      </c>
      <c r="B153" s="9" t="s">
        <v>9</v>
      </c>
      <c r="C153" s="9">
        <v>1928</v>
      </c>
      <c r="D153" s="10">
        <v>45736</v>
      </c>
      <c r="E153" s="11" t="str">
        <f>+HYPERLINK("http://trademark.i-assist.jp/data/china/image_1928th/81599462.pdf","81599462")</f>
        <v>81599462</v>
      </c>
      <c r="F153" s="9" t="s">
        <v>518</v>
      </c>
      <c r="G153" s="9" t="s">
        <v>519</v>
      </c>
      <c r="H153" s="9" t="s">
        <v>520</v>
      </c>
      <c r="I153" s="10">
        <v>45590</v>
      </c>
    </row>
    <row r="154" spans="1:9" x14ac:dyDescent="0.15">
      <c r="A154" s="9">
        <v>153</v>
      </c>
      <c r="B154" s="9" t="s">
        <v>9</v>
      </c>
      <c r="C154" s="9">
        <v>1928</v>
      </c>
      <c r="D154" s="10">
        <v>45736</v>
      </c>
      <c r="E154" s="11" t="str">
        <f>+HYPERLINK("http://trademark.i-assist.jp/data/china/image_1928th/81606012.pdf","81606012")</f>
        <v>81606012</v>
      </c>
      <c r="F154" s="9" t="s">
        <v>521</v>
      </c>
      <c r="G154" s="9" t="s">
        <v>522</v>
      </c>
      <c r="H154" s="9" t="s">
        <v>523</v>
      </c>
      <c r="I154" s="10">
        <v>45591</v>
      </c>
    </row>
    <row r="155" spans="1:9" x14ac:dyDescent="0.15">
      <c r="A155" s="9">
        <v>154</v>
      </c>
      <c r="B155" s="9" t="s">
        <v>9</v>
      </c>
      <c r="C155" s="9">
        <v>1928</v>
      </c>
      <c r="D155" s="10">
        <v>45736</v>
      </c>
      <c r="E155" s="11" t="str">
        <f>+HYPERLINK("http://trademark.i-assist.jp/data/china/image_1928th/81617760.pdf","81617760")</f>
        <v>81617760</v>
      </c>
      <c r="F155" s="13" t="s">
        <v>524</v>
      </c>
      <c r="G155" s="12" t="s">
        <v>525</v>
      </c>
      <c r="H155" s="9" t="s">
        <v>526</v>
      </c>
      <c r="I155" s="10">
        <v>45593</v>
      </c>
    </row>
    <row r="156" spans="1:9" x14ac:dyDescent="0.15">
      <c r="A156" s="9">
        <v>155</v>
      </c>
      <c r="B156" s="9" t="s">
        <v>9</v>
      </c>
      <c r="C156" s="9">
        <v>1928</v>
      </c>
      <c r="D156" s="10">
        <v>45736</v>
      </c>
      <c r="E156" s="11" t="str">
        <f>+HYPERLINK("http://trademark.i-assist.jp/data/china/image_1928th/81623185.pdf","81623185")</f>
        <v>81623185</v>
      </c>
      <c r="F156" s="9" t="s">
        <v>527</v>
      </c>
      <c r="G156" s="9" t="s">
        <v>528</v>
      </c>
      <c r="H156" s="9" t="s">
        <v>529</v>
      </c>
      <c r="I156" s="10">
        <v>45593</v>
      </c>
    </row>
    <row r="157" spans="1:9" x14ac:dyDescent="0.15">
      <c r="A157" s="9">
        <v>156</v>
      </c>
      <c r="B157" s="9" t="s">
        <v>9</v>
      </c>
      <c r="C157" s="9">
        <v>1928</v>
      </c>
      <c r="D157" s="10">
        <v>45736</v>
      </c>
      <c r="E157" s="11" t="str">
        <f>+HYPERLINK("http://trademark.i-assist.jp/data/china/image_1928th/81625172.pdf","81625172")</f>
        <v>81625172</v>
      </c>
      <c r="F157" s="12" t="s">
        <v>530</v>
      </c>
      <c r="G157" s="9" t="s">
        <v>531</v>
      </c>
      <c r="H157" s="9" t="s">
        <v>532</v>
      </c>
      <c r="I157" s="10">
        <v>45593</v>
      </c>
    </row>
    <row r="158" spans="1:9" x14ac:dyDescent="0.15">
      <c r="A158" s="9">
        <v>157</v>
      </c>
      <c r="B158" s="9" t="s">
        <v>9</v>
      </c>
      <c r="C158" s="9">
        <v>1928</v>
      </c>
      <c r="D158" s="10">
        <v>45736</v>
      </c>
      <c r="E158" s="11" t="str">
        <f>+HYPERLINK("http://trademark.i-assist.jp/data/china/image_1928th/81646624.pdf","81646624")</f>
        <v>81646624</v>
      </c>
      <c r="F158" s="9" t="s">
        <v>533</v>
      </c>
      <c r="G158" s="9" t="s">
        <v>534</v>
      </c>
      <c r="H158" s="9" t="s">
        <v>535</v>
      </c>
      <c r="I158" s="10">
        <v>45594</v>
      </c>
    </row>
    <row r="159" spans="1:9" x14ac:dyDescent="0.15">
      <c r="A159" s="9">
        <v>158</v>
      </c>
      <c r="B159" s="9" t="s">
        <v>9</v>
      </c>
      <c r="C159" s="9">
        <v>1928</v>
      </c>
      <c r="D159" s="10">
        <v>45736</v>
      </c>
      <c r="E159" s="11" t="str">
        <f>+HYPERLINK("http://trademark.i-assist.jp/data/china/image_1928th/81647315.pdf","81647315")</f>
        <v>81647315</v>
      </c>
      <c r="F159" s="9" t="s">
        <v>536</v>
      </c>
      <c r="G159" s="9" t="s">
        <v>537</v>
      </c>
      <c r="H159" s="9" t="s">
        <v>538</v>
      </c>
      <c r="I159" s="10">
        <v>45594</v>
      </c>
    </row>
    <row r="160" spans="1:9" x14ac:dyDescent="0.15">
      <c r="A160" s="9">
        <v>159</v>
      </c>
      <c r="B160" s="9" t="s">
        <v>9</v>
      </c>
      <c r="C160" s="9">
        <v>1928</v>
      </c>
      <c r="D160" s="10">
        <v>45736</v>
      </c>
      <c r="E160" s="11" t="str">
        <f>+HYPERLINK("http://trademark.i-assist.jp/data/china/image_1928th/81659631.pdf","81659631")</f>
        <v>81659631</v>
      </c>
      <c r="F160" s="9" t="s">
        <v>536</v>
      </c>
      <c r="G160" s="9" t="s">
        <v>537</v>
      </c>
      <c r="H160" s="9" t="s">
        <v>539</v>
      </c>
      <c r="I160" s="10">
        <v>45594</v>
      </c>
    </row>
    <row r="161" spans="1:9" x14ac:dyDescent="0.15">
      <c r="A161" s="9">
        <v>160</v>
      </c>
      <c r="B161" s="9" t="s">
        <v>9</v>
      </c>
      <c r="C161" s="9">
        <v>1928</v>
      </c>
      <c r="D161" s="10">
        <v>45736</v>
      </c>
      <c r="E161" s="11" t="str">
        <f>+HYPERLINK("http://trademark.i-assist.jp/data/china/image_1928th/81671126.pdf","81671126")</f>
        <v>81671126</v>
      </c>
      <c r="F161" s="12" t="s">
        <v>540</v>
      </c>
      <c r="G161" s="9" t="s">
        <v>541</v>
      </c>
      <c r="H161" s="9" t="s">
        <v>542</v>
      </c>
      <c r="I161" s="10">
        <v>45595</v>
      </c>
    </row>
    <row r="162" spans="1:9" x14ac:dyDescent="0.15">
      <c r="A162" s="9">
        <v>161</v>
      </c>
      <c r="B162" s="9" t="s">
        <v>9</v>
      </c>
      <c r="C162" s="9">
        <v>1928</v>
      </c>
      <c r="D162" s="10">
        <v>45736</v>
      </c>
      <c r="E162" s="11" t="str">
        <f>+HYPERLINK("http://trademark.i-assist.jp/data/china/image_1928th/81679435.pdf","81679435")</f>
        <v>81679435</v>
      </c>
      <c r="F162" s="9" t="s">
        <v>543</v>
      </c>
      <c r="G162" s="9" t="s">
        <v>400</v>
      </c>
      <c r="H162" s="9" t="s">
        <v>544</v>
      </c>
      <c r="I162" s="10">
        <v>45595</v>
      </c>
    </row>
    <row r="163" spans="1:9" x14ac:dyDescent="0.15">
      <c r="A163" s="9">
        <v>162</v>
      </c>
      <c r="B163" s="9" t="s">
        <v>9</v>
      </c>
      <c r="C163" s="9">
        <v>1928</v>
      </c>
      <c r="D163" s="10">
        <v>45736</v>
      </c>
      <c r="E163" s="11" t="str">
        <f>+HYPERLINK("http://trademark.i-assist.jp/data/china/image_1928th/81704006.pdf","81704006")</f>
        <v>81704006</v>
      </c>
      <c r="F163" s="9" t="s">
        <v>545</v>
      </c>
      <c r="G163" s="9" t="s">
        <v>546</v>
      </c>
      <c r="H163" s="9" t="s">
        <v>547</v>
      </c>
      <c r="I163" s="10">
        <v>45596</v>
      </c>
    </row>
    <row r="164" spans="1:9" x14ac:dyDescent="0.15">
      <c r="A164" s="9">
        <v>163</v>
      </c>
      <c r="B164" s="9" t="s">
        <v>9</v>
      </c>
      <c r="C164" s="9">
        <v>1928</v>
      </c>
      <c r="D164" s="10">
        <v>45736</v>
      </c>
      <c r="E164" s="11" t="str">
        <f>+HYPERLINK("http://trademark.i-assist.jp/data/china/image_1928th/81704243.pdf","81704243")</f>
        <v>81704243</v>
      </c>
      <c r="F164" s="9" t="s">
        <v>548</v>
      </c>
      <c r="G164" s="9" t="s">
        <v>549</v>
      </c>
      <c r="H164" s="9" t="s">
        <v>550</v>
      </c>
      <c r="I164" s="10">
        <v>45596</v>
      </c>
    </row>
    <row r="165" spans="1:9" x14ac:dyDescent="0.15">
      <c r="A165" s="9">
        <v>164</v>
      </c>
      <c r="B165" s="9" t="s">
        <v>9</v>
      </c>
      <c r="C165" s="9">
        <v>1928</v>
      </c>
      <c r="D165" s="10">
        <v>45736</v>
      </c>
      <c r="E165" s="11" t="str">
        <f>+HYPERLINK("http://trademark.i-assist.jp/data/china/image_1928th/81738948.pdf","81738948")</f>
        <v>81738948</v>
      </c>
      <c r="F165" s="9" t="s">
        <v>551</v>
      </c>
      <c r="G165" s="9" t="s">
        <v>552</v>
      </c>
      <c r="H165" s="9" t="s">
        <v>553</v>
      </c>
      <c r="I165" s="10">
        <v>45598</v>
      </c>
    </row>
    <row r="166" spans="1:9" x14ac:dyDescent="0.15">
      <c r="A166" s="9">
        <v>165</v>
      </c>
      <c r="B166" s="9" t="s">
        <v>9</v>
      </c>
      <c r="C166" s="9">
        <v>1928</v>
      </c>
      <c r="D166" s="10">
        <v>45736</v>
      </c>
      <c r="E166" s="11" t="str">
        <f>+HYPERLINK("http://trademark.i-assist.jp/data/china/image_1928th/81755436.pdf","81755436")</f>
        <v>81755436</v>
      </c>
      <c r="F166" s="9" t="s">
        <v>554</v>
      </c>
      <c r="G166" s="9" t="s">
        <v>555</v>
      </c>
      <c r="H166" s="9" t="s">
        <v>556</v>
      </c>
      <c r="I166" s="10">
        <v>45600</v>
      </c>
    </row>
    <row r="167" spans="1:9" x14ac:dyDescent="0.15">
      <c r="A167" s="9">
        <v>166</v>
      </c>
      <c r="B167" s="9" t="s">
        <v>9</v>
      </c>
      <c r="C167" s="9">
        <v>1928</v>
      </c>
      <c r="D167" s="10">
        <v>45736</v>
      </c>
      <c r="E167" s="11" t="str">
        <f>+HYPERLINK("http://trademark.i-assist.jp/data/china/image_1928th/81756989.pdf","81756989")</f>
        <v>81756989</v>
      </c>
      <c r="F167" s="9" t="s">
        <v>557</v>
      </c>
      <c r="G167" s="9" t="s">
        <v>558</v>
      </c>
      <c r="H167" s="9" t="s">
        <v>559</v>
      </c>
      <c r="I167" s="10">
        <v>45600</v>
      </c>
    </row>
    <row r="168" spans="1:9" x14ac:dyDescent="0.15">
      <c r="A168" s="9">
        <v>167</v>
      </c>
      <c r="B168" s="9" t="s">
        <v>9</v>
      </c>
      <c r="C168" s="9">
        <v>1928</v>
      </c>
      <c r="D168" s="10">
        <v>45736</v>
      </c>
      <c r="E168" s="11" t="str">
        <f>+HYPERLINK("http://trademark.i-assist.jp/data/china/image_1928th/81762643.pdf","81762643")</f>
        <v>81762643</v>
      </c>
      <c r="F168" s="9" t="s">
        <v>560</v>
      </c>
      <c r="G168" s="9" t="s">
        <v>24</v>
      </c>
      <c r="H168" s="9" t="s">
        <v>561</v>
      </c>
      <c r="I168" s="10">
        <v>45601</v>
      </c>
    </row>
    <row r="169" spans="1:9" x14ac:dyDescent="0.15">
      <c r="A169" s="9">
        <v>168</v>
      </c>
      <c r="B169" s="9" t="s">
        <v>9</v>
      </c>
      <c r="C169" s="9">
        <v>1928</v>
      </c>
      <c r="D169" s="10">
        <v>45736</v>
      </c>
      <c r="E169" s="11" t="str">
        <f>+HYPERLINK("http://trademark.i-assist.jp/data/china/image_1928th/81770909.pdf","81770909")</f>
        <v>81770909</v>
      </c>
      <c r="F169" s="9" t="s">
        <v>562</v>
      </c>
      <c r="G169" s="9" t="s">
        <v>563</v>
      </c>
      <c r="H169" s="9" t="s">
        <v>564</v>
      </c>
      <c r="I169" s="10">
        <v>45601</v>
      </c>
    </row>
    <row r="170" spans="1:9" x14ac:dyDescent="0.15">
      <c r="A170" s="9">
        <v>169</v>
      </c>
      <c r="B170" s="9" t="s">
        <v>9</v>
      </c>
      <c r="C170" s="9">
        <v>1928</v>
      </c>
      <c r="D170" s="10">
        <v>45736</v>
      </c>
      <c r="E170" s="11" t="str">
        <f>+HYPERLINK("http://trademark.i-assist.jp/data/china/image_1928th/81784094.pdf","81784094")</f>
        <v>81784094</v>
      </c>
      <c r="F170" s="9" t="s">
        <v>565</v>
      </c>
      <c r="G170" s="12" t="s">
        <v>566</v>
      </c>
      <c r="H170" s="9" t="s">
        <v>567</v>
      </c>
      <c r="I170" s="10">
        <v>45600</v>
      </c>
    </row>
    <row r="171" spans="1:9" x14ac:dyDescent="0.15">
      <c r="A171" s="9">
        <v>170</v>
      </c>
      <c r="B171" s="9" t="s">
        <v>9</v>
      </c>
      <c r="C171" s="9">
        <v>1928</v>
      </c>
      <c r="D171" s="10">
        <v>45736</v>
      </c>
      <c r="E171" s="11" t="str">
        <f>+HYPERLINK("http://trademark.i-assist.jp/data/china/image_1928th/81813853.pdf","81813853")</f>
        <v>81813853</v>
      </c>
      <c r="F171" s="9" t="s">
        <v>568</v>
      </c>
      <c r="G171" s="9" t="s">
        <v>569</v>
      </c>
      <c r="H171" s="12" t="s">
        <v>570</v>
      </c>
      <c r="I171" s="10">
        <v>45602</v>
      </c>
    </row>
    <row r="172" spans="1:9" x14ac:dyDescent="0.15">
      <c r="A172" s="9">
        <v>171</v>
      </c>
      <c r="B172" s="9" t="s">
        <v>9</v>
      </c>
      <c r="C172" s="9">
        <v>1928</v>
      </c>
      <c r="D172" s="10">
        <v>45736</v>
      </c>
      <c r="E172" s="11" t="str">
        <f>+HYPERLINK("http://trademark.i-assist.jp/data/china/image_1928th/81818870.pdf","81818870")</f>
        <v>81818870</v>
      </c>
      <c r="F172" s="9" t="s">
        <v>571</v>
      </c>
      <c r="G172" s="9" t="s">
        <v>36</v>
      </c>
      <c r="H172" s="9" t="s">
        <v>572</v>
      </c>
      <c r="I172" s="10">
        <v>45603</v>
      </c>
    </row>
    <row r="173" spans="1:9" x14ac:dyDescent="0.15">
      <c r="A173" s="9">
        <v>172</v>
      </c>
      <c r="B173" s="9" t="s">
        <v>9</v>
      </c>
      <c r="C173" s="9">
        <v>1928</v>
      </c>
      <c r="D173" s="10">
        <v>45736</v>
      </c>
      <c r="E173" s="11" t="str">
        <f>+HYPERLINK("http://trademark.i-assist.jp/data/china/image_1928th/81827974.pdf","81827974")</f>
        <v>81827974</v>
      </c>
      <c r="F173" s="9" t="s">
        <v>573</v>
      </c>
      <c r="G173" s="9" t="s">
        <v>574</v>
      </c>
      <c r="H173" s="9" t="s">
        <v>575</v>
      </c>
      <c r="I173" s="10">
        <v>45603</v>
      </c>
    </row>
    <row r="174" spans="1:9" x14ac:dyDescent="0.15">
      <c r="A174" s="9">
        <v>173</v>
      </c>
      <c r="B174" s="9" t="s">
        <v>9</v>
      </c>
      <c r="C174" s="9">
        <v>1928</v>
      </c>
      <c r="D174" s="10">
        <v>45736</v>
      </c>
      <c r="E174" s="11" t="str">
        <f>+HYPERLINK("http://trademark.i-assist.jp/data/china/image_1928th/81832484.pdf","81832484")</f>
        <v>81832484</v>
      </c>
      <c r="F174" s="12" t="s">
        <v>576</v>
      </c>
      <c r="G174" s="9" t="s">
        <v>577</v>
      </c>
      <c r="H174" s="9" t="s">
        <v>578</v>
      </c>
      <c r="I174" s="10">
        <v>45603</v>
      </c>
    </row>
    <row r="175" spans="1:9" x14ac:dyDescent="0.15">
      <c r="A175" s="9">
        <v>174</v>
      </c>
      <c r="B175" s="9" t="s">
        <v>9</v>
      </c>
      <c r="C175" s="9">
        <v>1928</v>
      </c>
      <c r="D175" s="10">
        <v>45736</v>
      </c>
      <c r="E175" s="11" t="str">
        <f>+HYPERLINK("http://trademark.i-assist.jp/data/china/image_1928th/81852070.pdf","81852070")</f>
        <v>81852070</v>
      </c>
      <c r="F175" s="9" t="s">
        <v>579</v>
      </c>
      <c r="G175" s="9" t="s">
        <v>580</v>
      </c>
      <c r="H175" s="12" t="s">
        <v>581</v>
      </c>
      <c r="I175" s="10">
        <v>45604</v>
      </c>
    </row>
    <row r="176" spans="1:9" x14ac:dyDescent="0.15">
      <c r="A176" s="9">
        <v>175</v>
      </c>
      <c r="B176" s="9" t="s">
        <v>9</v>
      </c>
      <c r="C176" s="9">
        <v>1928</v>
      </c>
      <c r="D176" s="10">
        <v>45736</v>
      </c>
      <c r="E176" s="11" t="str">
        <f>+HYPERLINK("http://trademark.i-assist.jp/data/china/image_1928th/81858756.pdf","81858756")</f>
        <v>81858756</v>
      </c>
      <c r="F176" s="12" t="s">
        <v>582</v>
      </c>
      <c r="G176" s="12" t="s">
        <v>583</v>
      </c>
      <c r="H176" s="9" t="s">
        <v>584</v>
      </c>
      <c r="I176" s="10">
        <v>45604</v>
      </c>
    </row>
    <row r="177" spans="1:9" x14ac:dyDescent="0.15">
      <c r="A177" s="9">
        <v>176</v>
      </c>
      <c r="B177" s="9" t="s">
        <v>9</v>
      </c>
      <c r="C177" s="9">
        <v>1928</v>
      </c>
      <c r="D177" s="10">
        <v>45736</v>
      </c>
      <c r="E177" s="11" t="str">
        <f>+HYPERLINK("http://trademark.i-assist.jp/data/china/image_1928th/81862124.pdf","81862124")</f>
        <v>81862124</v>
      </c>
      <c r="F177" s="9" t="s">
        <v>585</v>
      </c>
      <c r="G177" s="9" t="s">
        <v>586</v>
      </c>
      <c r="H177" s="9" t="s">
        <v>587</v>
      </c>
      <c r="I177" s="10">
        <v>45604</v>
      </c>
    </row>
    <row r="178" spans="1:9" x14ac:dyDescent="0.15">
      <c r="A178" s="9">
        <v>177</v>
      </c>
      <c r="B178" s="9" t="s">
        <v>9</v>
      </c>
      <c r="C178" s="9">
        <v>1928</v>
      </c>
      <c r="D178" s="10">
        <v>45736</v>
      </c>
      <c r="E178" s="11" t="str">
        <f>+HYPERLINK("http://trademark.i-assist.jp/data/china/image_1928th/81874828A.pdf","81874828A")</f>
        <v>81874828A</v>
      </c>
      <c r="F178" s="9" t="s">
        <v>588</v>
      </c>
      <c r="G178" s="9" t="s">
        <v>589</v>
      </c>
      <c r="H178" s="12" t="s">
        <v>590</v>
      </c>
      <c r="I178" s="10">
        <v>45606</v>
      </c>
    </row>
    <row r="179" spans="1:9" x14ac:dyDescent="0.15">
      <c r="A179" s="9">
        <v>178</v>
      </c>
      <c r="B179" s="9" t="s">
        <v>9</v>
      </c>
      <c r="C179" s="9">
        <v>1928</v>
      </c>
      <c r="D179" s="10">
        <v>45736</v>
      </c>
      <c r="E179" s="11" t="str">
        <f>+HYPERLINK("http://trademark.i-assist.jp/data/china/image_1928th/81875534A.pdf","81875534A")</f>
        <v>81875534A</v>
      </c>
      <c r="F179" s="9" t="s">
        <v>591</v>
      </c>
      <c r="G179" s="9" t="s">
        <v>589</v>
      </c>
      <c r="H179" s="12" t="s">
        <v>590</v>
      </c>
      <c r="I179" s="10">
        <v>45606</v>
      </c>
    </row>
    <row r="180" spans="1:9" x14ac:dyDescent="0.15">
      <c r="A180" s="9">
        <v>179</v>
      </c>
      <c r="B180" s="9" t="s">
        <v>9</v>
      </c>
      <c r="C180" s="9">
        <v>1928</v>
      </c>
      <c r="D180" s="10">
        <v>45736</v>
      </c>
      <c r="E180" s="11" t="str">
        <f>+HYPERLINK("http://trademark.i-assist.jp/data/china/image_1928th/81876993.pdf","81876993")</f>
        <v>81876993</v>
      </c>
      <c r="F180" s="9" t="s">
        <v>592</v>
      </c>
      <c r="G180" s="12" t="s">
        <v>593</v>
      </c>
      <c r="H180" s="9" t="s">
        <v>594</v>
      </c>
      <c r="I180" s="10">
        <v>45607</v>
      </c>
    </row>
    <row r="181" spans="1:9" x14ac:dyDescent="0.15">
      <c r="A181" s="9">
        <v>180</v>
      </c>
      <c r="B181" s="9" t="s">
        <v>9</v>
      </c>
      <c r="C181" s="9">
        <v>1928</v>
      </c>
      <c r="D181" s="10">
        <v>45736</v>
      </c>
      <c r="E181" s="11" t="str">
        <f>+HYPERLINK("http://trademark.i-assist.jp/data/china/image_1928th/81877335.pdf","81877335")</f>
        <v>81877335</v>
      </c>
      <c r="F181" s="9" t="s">
        <v>595</v>
      </c>
      <c r="G181" s="9" t="s">
        <v>596</v>
      </c>
      <c r="H181" s="9" t="s">
        <v>597</v>
      </c>
      <c r="I181" s="10">
        <v>45607</v>
      </c>
    </row>
    <row r="182" spans="1:9" x14ac:dyDescent="0.15">
      <c r="A182" s="9">
        <v>181</v>
      </c>
      <c r="B182" s="9" t="s">
        <v>9</v>
      </c>
      <c r="C182" s="9">
        <v>1928</v>
      </c>
      <c r="D182" s="10">
        <v>45736</v>
      </c>
      <c r="E182" s="11" t="str">
        <f>+HYPERLINK("http://trademark.i-assist.jp/data/china/image_1928th/81877436.pdf","81877436")</f>
        <v>81877436</v>
      </c>
      <c r="F182" s="9" t="s">
        <v>598</v>
      </c>
      <c r="G182" s="12" t="s">
        <v>599</v>
      </c>
      <c r="H182" s="9" t="s">
        <v>600</v>
      </c>
      <c r="I182" s="10">
        <v>45607</v>
      </c>
    </row>
    <row r="183" spans="1:9" x14ac:dyDescent="0.15">
      <c r="A183" s="9">
        <v>182</v>
      </c>
      <c r="B183" s="9" t="s">
        <v>9</v>
      </c>
      <c r="C183" s="9">
        <v>1928</v>
      </c>
      <c r="D183" s="10">
        <v>45736</v>
      </c>
      <c r="E183" s="11" t="str">
        <f>+HYPERLINK("http://trademark.i-assist.jp/data/china/image_1928th/81881602.pdf","81881602")</f>
        <v>81881602</v>
      </c>
      <c r="F183" s="9" t="s">
        <v>601</v>
      </c>
      <c r="G183" s="12" t="s">
        <v>602</v>
      </c>
      <c r="H183" s="9" t="s">
        <v>603</v>
      </c>
      <c r="I183" s="10">
        <v>45607</v>
      </c>
    </row>
    <row r="184" spans="1:9" x14ac:dyDescent="0.15">
      <c r="A184" s="9">
        <v>183</v>
      </c>
      <c r="B184" s="9" t="s">
        <v>9</v>
      </c>
      <c r="C184" s="9">
        <v>1928</v>
      </c>
      <c r="D184" s="10">
        <v>45736</v>
      </c>
      <c r="E184" s="11" t="str">
        <f>+HYPERLINK("http://trademark.i-assist.jp/data/china/image_1928th/81882386.pdf","81882386")</f>
        <v>81882386</v>
      </c>
      <c r="F184" s="9" t="s">
        <v>604</v>
      </c>
      <c r="G184" s="9" t="s">
        <v>605</v>
      </c>
      <c r="H184" s="9" t="s">
        <v>606</v>
      </c>
      <c r="I184" s="10">
        <v>45607</v>
      </c>
    </row>
    <row r="185" spans="1:9" x14ac:dyDescent="0.15">
      <c r="A185" s="9">
        <v>184</v>
      </c>
      <c r="B185" s="9" t="s">
        <v>9</v>
      </c>
      <c r="C185" s="9">
        <v>1928</v>
      </c>
      <c r="D185" s="10">
        <v>45736</v>
      </c>
      <c r="E185" s="11" t="str">
        <f>+HYPERLINK("http://trademark.i-assist.jp/data/china/image_1928th/81897519.pdf","81897519")</f>
        <v>81897519</v>
      </c>
      <c r="F185" s="9" t="s">
        <v>607</v>
      </c>
      <c r="G185" s="9" t="s">
        <v>608</v>
      </c>
      <c r="H185" s="9" t="s">
        <v>609</v>
      </c>
      <c r="I185" s="10">
        <v>45607</v>
      </c>
    </row>
    <row r="186" spans="1:9" x14ac:dyDescent="0.15">
      <c r="A186" s="9">
        <v>185</v>
      </c>
      <c r="B186" s="9" t="s">
        <v>9</v>
      </c>
      <c r="C186" s="9">
        <v>1928</v>
      </c>
      <c r="D186" s="10">
        <v>45736</v>
      </c>
      <c r="E186" s="11" t="str">
        <f>+HYPERLINK("http://trademark.i-assist.jp/data/china/image_1928th/81903597.pdf","81903597")</f>
        <v>81903597</v>
      </c>
      <c r="F186" s="9" t="s">
        <v>610</v>
      </c>
      <c r="G186" s="9" t="s">
        <v>611</v>
      </c>
      <c r="H186" s="9" t="s">
        <v>612</v>
      </c>
      <c r="I186" s="10">
        <v>45608</v>
      </c>
    </row>
    <row r="187" spans="1:9" x14ac:dyDescent="0.15">
      <c r="A187" s="9">
        <v>186</v>
      </c>
      <c r="B187" s="9" t="s">
        <v>9</v>
      </c>
      <c r="C187" s="9">
        <v>1928</v>
      </c>
      <c r="D187" s="10">
        <v>45736</v>
      </c>
      <c r="E187" s="11" t="str">
        <f>+HYPERLINK("http://trademark.i-assist.jp/data/china/image_1928th/81908016.pdf","81908016")</f>
        <v>81908016</v>
      </c>
      <c r="F187" s="12" t="s">
        <v>613</v>
      </c>
      <c r="G187" s="9" t="s">
        <v>614</v>
      </c>
      <c r="H187" s="9" t="s">
        <v>615</v>
      </c>
      <c r="I187" s="10">
        <v>45608</v>
      </c>
    </row>
    <row r="188" spans="1:9" x14ac:dyDescent="0.15">
      <c r="A188" s="9">
        <v>187</v>
      </c>
      <c r="B188" s="9" t="s">
        <v>9</v>
      </c>
      <c r="C188" s="9">
        <v>1928</v>
      </c>
      <c r="D188" s="10">
        <v>45736</v>
      </c>
      <c r="E188" s="11" t="str">
        <f>+HYPERLINK("http://trademark.i-assist.jp/data/china/image_1928th/81910304.pdf","81910304")</f>
        <v>81910304</v>
      </c>
      <c r="F188" s="9" t="s">
        <v>616</v>
      </c>
      <c r="G188" s="9" t="s">
        <v>617</v>
      </c>
      <c r="H188" s="9" t="s">
        <v>618</v>
      </c>
      <c r="I188" s="10">
        <v>45608</v>
      </c>
    </row>
    <row r="189" spans="1:9" x14ac:dyDescent="0.15">
      <c r="A189" s="9">
        <v>188</v>
      </c>
      <c r="B189" s="9" t="s">
        <v>9</v>
      </c>
      <c r="C189" s="9">
        <v>1928</v>
      </c>
      <c r="D189" s="10">
        <v>45736</v>
      </c>
      <c r="E189" s="11" t="str">
        <f>+HYPERLINK("http://trademark.i-assist.jp/data/china/image_1928th/81913714.pdf","81913714")</f>
        <v>81913714</v>
      </c>
      <c r="F189" s="9" t="s">
        <v>619</v>
      </c>
      <c r="G189" s="9" t="s">
        <v>620</v>
      </c>
      <c r="H189" s="9" t="s">
        <v>621</v>
      </c>
      <c r="I189" s="10">
        <v>45608</v>
      </c>
    </row>
    <row r="190" spans="1:9" x14ac:dyDescent="0.15">
      <c r="A190" s="9">
        <v>189</v>
      </c>
      <c r="B190" s="9" t="s">
        <v>9</v>
      </c>
      <c r="C190" s="9">
        <v>1928</v>
      </c>
      <c r="D190" s="10">
        <v>45736</v>
      </c>
      <c r="E190" s="11" t="str">
        <f>+HYPERLINK("http://trademark.i-assist.jp/data/china/image_1928th/81913760.pdf","81913760")</f>
        <v>81913760</v>
      </c>
      <c r="F190" s="9" t="s">
        <v>622</v>
      </c>
      <c r="G190" s="9" t="s">
        <v>623</v>
      </c>
      <c r="H190" s="9" t="s">
        <v>624</v>
      </c>
      <c r="I190" s="10">
        <v>45608</v>
      </c>
    </row>
    <row r="191" spans="1:9" x14ac:dyDescent="0.15">
      <c r="A191" s="9">
        <v>190</v>
      </c>
      <c r="B191" s="9" t="s">
        <v>9</v>
      </c>
      <c r="C191" s="9">
        <v>1928</v>
      </c>
      <c r="D191" s="10">
        <v>45736</v>
      </c>
      <c r="E191" s="11" t="str">
        <f>+HYPERLINK("http://trademark.i-assist.jp/data/china/image_1928th/81914216.pdf","81914216")</f>
        <v>81914216</v>
      </c>
      <c r="F191" s="9" t="s">
        <v>625</v>
      </c>
      <c r="G191" s="9" t="s">
        <v>626</v>
      </c>
      <c r="H191" s="9" t="s">
        <v>627</v>
      </c>
      <c r="I191" s="10">
        <v>45608</v>
      </c>
    </row>
    <row r="192" spans="1:9" x14ac:dyDescent="0.15">
      <c r="A192" s="9">
        <v>191</v>
      </c>
      <c r="B192" s="9" t="s">
        <v>9</v>
      </c>
      <c r="C192" s="9">
        <v>1928</v>
      </c>
      <c r="D192" s="10">
        <v>45736</v>
      </c>
      <c r="E192" s="11" t="str">
        <f>+HYPERLINK("http://trademark.i-assist.jp/data/china/image_1928th/81914874.pdf","81914874")</f>
        <v>81914874</v>
      </c>
      <c r="F192" s="12" t="s">
        <v>628</v>
      </c>
      <c r="G192" s="12" t="s">
        <v>629</v>
      </c>
      <c r="H192" s="9" t="s">
        <v>630</v>
      </c>
      <c r="I192" s="10">
        <v>45608</v>
      </c>
    </row>
    <row r="193" spans="1:9" x14ac:dyDescent="0.15">
      <c r="A193" s="9">
        <v>192</v>
      </c>
      <c r="B193" s="9" t="s">
        <v>9</v>
      </c>
      <c r="C193" s="9">
        <v>1928</v>
      </c>
      <c r="D193" s="10">
        <v>45736</v>
      </c>
      <c r="E193" s="11" t="str">
        <f>+HYPERLINK("http://trademark.i-assist.jp/data/china/image_1928th/81915310.pdf","81915310")</f>
        <v>81915310</v>
      </c>
      <c r="F193" s="9" t="s">
        <v>631</v>
      </c>
      <c r="G193" s="9" t="s">
        <v>33</v>
      </c>
      <c r="H193" s="9" t="s">
        <v>632</v>
      </c>
      <c r="I193" s="10">
        <v>45608</v>
      </c>
    </row>
    <row r="194" spans="1:9" x14ac:dyDescent="0.15">
      <c r="A194" s="9">
        <v>193</v>
      </c>
      <c r="B194" s="9" t="s">
        <v>9</v>
      </c>
      <c r="C194" s="9">
        <v>1928</v>
      </c>
      <c r="D194" s="10">
        <v>45736</v>
      </c>
      <c r="E194" s="11" t="str">
        <f>+HYPERLINK("http://trademark.i-assist.jp/data/china/image_1928th/81918815.pdf","81918815")</f>
        <v>81918815</v>
      </c>
      <c r="F194" s="12" t="s">
        <v>633</v>
      </c>
      <c r="G194" s="9" t="s">
        <v>634</v>
      </c>
      <c r="H194" s="9" t="s">
        <v>635</v>
      </c>
      <c r="I194" s="10">
        <v>45608</v>
      </c>
    </row>
    <row r="195" spans="1:9" x14ac:dyDescent="0.15">
      <c r="A195" s="9">
        <v>194</v>
      </c>
      <c r="B195" s="9" t="s">
        <v>9</v>
      </c>
      <c r="C195" s="9">
        <v>1928</v>
      </c>
      <c r="D195" s="10">
        <v>45736</v>
      </c>
      <c r="E195" s="11" t="str">
        <f>+HYPERLINK("http://trademark.i-assist.jp/data/china/image_1928th/81922456.pdf","81922456")</f>
        <v>81922456</v>
      </c>
      <c r="F195" s="9" t="s">
        <v>636</v>
      </c>
      <c r="G195" s="9" t="s">
        <v>637</v>
      </c>
      <c r="H195" s="9" t="s">
        <v>638</v>
      </c>
      <c r="I195" s="10">
        <v>45608</v>
      </c>
    </row>
    <row r="196" spans="1:9" x14ac:dyDescent="0.15">
      <c r="A196" s="9">
        <v>195</v>
      </c>
      <c r="B196" s="9" t="s">
        <v>9</v>
      </c>
      <c r="C196" s="9">
        <v>1928</v>
      </c>
      <c r="D196" s="10">
        <v>45736</v>
      </c>
      <c r="E196" s="11" t="str">
        <f>+HYPERLINK("http://trademark.i-assist.jp/data/china/image_1928th/81922924.pdf","81922924")</f>
        <v>81922924</v>
      </c>
      <c r="F196" s="9" t="s">
        <v>32</v>
      </c>
      <c r="G196" s="9" t="s">
        <v>639</v>
      </c>
      <c r="H196" s="9" t="s">
        <v>640</v>
      </c>
      <c r="I196" s="10">
        <v>45608</v>
      </c>
    </row>
    <row r="197" spans="1:9" x14ac:dyDescent="0.15">
      <c r="A197" s="9">
        <v>196</v>
      </c>
      <c r="B197" s="9" t="s">
        <v>9</v>
      </c>
      <c r="C197" s="9">
        <v>1928</v>
      </c>
      <c r="D197" s="10">
        <v>45736</v>
      </c>
      <c r="E197" s="11" t="str">
        <f>+HYPERLINK("http://trademark.i-assist.jp/data/china/image_1928th/81926740.pdf","81926740")</f>
        <v>81926740</v>
      </c>
      <c r="F197" s="9" t="s">
        <v>641</v>
      </c>
      <c r="G197" s="9" t="s">
        <v>642</v>
      </c>
      <c r="H197" s="9" t="s">
        <v>643</v>
      </c>
      <c r="I197" s="10">
        <v>45608</v>
      </c>
    </row>
    <row r="198" spans="1:9" x14ac:dyDescent="0.15">
      <c r="A198" s="9">
        <v>197</v>
      </c>
      <c r="B198" s="9" t="s">
        <v>9</v>
      </c>
      <c r="C198" s="9">
        <v>1928</v>
      </c>
      <c r="D198" s="10">
        <v>45736</v>
      </c>
      <c r="E198" s="11" t="str">
        <f>+HYPERLINK("http://trademark.i-assist.jp/data/china/image_1928th/81926866.pdf","81926866")</f>
        <v>81926866</v>
      </c>
      <c r="F198" s="9" t="s">
        <v>644</v>
      </c>
      <c r="G198" s="9" t="s">
        <v>645</v>
      </c>
      <c r="H198" s="12" t="s">
        <v>646</v>
      </c>
      <c r="I198" s="10">
        <v>45608</v>
      </c>
    </row>
    <row r="199" spans="1:9" x14ac:dyDescent="0.15">
      <c r="A199" s="9">
        <v>198</v>
      </c>
      <c r="B199" s="9" t="s">
        <v>9</v>
      </c>
      <c r="C199" s="9">
        <v>1928</v>
      </c>
      <c r="D199" s="10">
        <v>45736</v>
      </c>
      <c r="E199" s="11" t="str">
        <f>+HYPERLINK("http://trademark.i-assist.jp/data/china/image_1928th/81932414.pdf","81932414")</f>
        <v>81932414</v>
      </c>
      <c r="F199" s="9" t="s">
        <v>647</v>
      </c>
      <c r="G199" s="9" t="s">
        <v>648</v>
      </c>
      <c r="H199" s="9" t="s">
        <v>649</v>
      </c>
      <c r="I199" s="10">
        <v>45609</v>
      </c>
    </row>
    <row r="200" spans="1:9" x14ac:dyDescent="0.15">
      <c r="A200" s="9">
        <v>199</v>
      </c>
      <c r="B200" s="9" t="s">
        <v>9</v>
      </c>
      <c r="C200" s="9">
        <v>1928</v>
      </c>
      <c r="D200" s="10">
        <v>45736</v>
      </c>
      <c r="E200" s="11" t="str">
        <f>+HYPERLINK("http://trademark.i-assist.jp/data/china/image_1928th/81940244.pdf","81940244")</f>
        <v>81940244</v>
      </c>
      <c r="F200" s="9" t="s">
        <v>650</v>
      </c>
      <c r="G200" s="9" t="s">
        <v>651</v>
      </c>
      <c r="H200" s="9" t="s">
        <v>652</v>
      </c>
      <c r="I200" s="10">
        <v>45609</v>
      </c>
    </row>
    <row r="201" spans="1:9" x14ac:dyDescent="0.15">
      <c r="A201" s="9">
        <v>200</v>
      </c>
      <c r="B201" s="9" t="s">
        <v>9</v>
      </c>
      <c r="C201" s="9">
        <v>1928</v>
      </c>
      <c r="D201" s="10">
        <v>45736</v>
      </c>
      <c r="E201" s="11" t="str">
        <f>+HYPERLINK("http://trademark.i-assist.jp/data/china/image_1928th/81950138.pdf","81950138")</f>
        <v>81950138</v>
      </c>
      <c r="F201" s="12" t="s">
        <v>653</v>
      </c>
      <c r="G201" s="9" t="s">
        <v>654</v>
      </c>
      <c r="H201" s="9" t="s">
        <v>655</v>
      </c>
      <c r="I201" s="10">
        <v>45609</v>
      </c>
    </row>
    <row r="202" spans="1:9" x14ac:dyDescent="0.15">
      <c r="A202" s="9">
        <v>201</v>
      </c>
      <c r="B202" s="9" t="s">
        <v>9</v>
      </c>
      <c r="C202" s="9">
        <v>1928</v>
      </c>
      <c r="D202" s="10">
        <v>45736</v>
      </c>
      <c r="E202" s="11" t="str">
        <f>+HYPERLINK("http://trademark.i-assist.jp/data/china/image_1928th/81950958.pdf","81950958")</f>
        <v>81950958</v>
      </c>
      <c r="F202" s="12" t="s">
        <v>656</v>
      </c>
      <c r="G202" s="9" t="s">
        <v>33</v>
      </c>
      <c r="H202" s="9" t="s">
        <v>657</v>
      </c>
      <c r="I202" s="10">
        <v>45609</v>
      </c>
    </row>
    <row r="203" spans="1:9" x14ac:dyDescent="0.15">
      <c r="A203" s="9">
        <v>202</v>
      </c>
      <c r="B203" s="9" t="s">
        <v>9</v>
      </c>
      <c r="C203" s="9">
        <v>1928</v>
      </c>
      <c r="D203" s="10">
        <v>45736</v>
      </c>
      <c r="E203" s="11" t="str">
        <f>+HYPERLINK("http://trademark.i-assist.jp/data/china/image_1928th/81956184.pdf","81956184")</f>
        <v>81956184</v>
      </c>
      <c r="F203" s="9" t="s">
        <v>658</v>
      </c>
      <c r="G203" s="9" t="s">
        <v>659</v>
      </c>
      <c r="H203" s="9" t="s">
        <v>660</v>
      </c>
      <c r="I203" s="10">
        <v>45610</v>
      </c>
    </row>
    <row r="204" spans="1:9" x14ac:dyDescent="0.15">
      <c r="A204" s="9">
        <v>203</v>
      </c>
      <c r="B204" s="9" t="s">
        <v>9</v>
      </c>
      <c r="C204" s="9">
        <v>1928</v>
      </c>
      <c r="D204" s="10">
        <v>45736</v>
      </c>
      <c r="E204" s="11" t="str">
        <f>+HYPERLINK("http://trademark.i-assist.jp/data/china/image_1928th/81956354.pdf","81956354")</f>
        <v>81956354</v>
      </c>
      <c r="F204" s="9" t="s">
        <v>661</v>
      </c>
      <c r="G204" s="9" t="s">
        <v>26</v>
      </c>
      <c r="H204" s="9" t="s">
        <v>662</v>
      </c>
      <c r="I204" s="10">
        <v>45610</v>
      </c>
    </row>
    <row r="205" spans="1:9" x14ac:dyDescent="0.15">
      <c r="A205" s="9">
        <v>204</v>
      </c>
      <c r="B205" s="9" t="s">
        <v>9</v>
      </c>
      <c r="C205" s="9">
        <v>1928</v>
      </c>
      <c r="D205" s="10">
        <v>45736</v>
      </c>
      <c r="E205" s="11" t="str">
        <f>+HYPERLINK("http://trademark.i-assist.jp/data/china/image_1928th/81959684.pdf","81959684")</f>
        <v>81959684</v>
      </c>
      <c r="F205" s="9" t="s">
        <v>663</v>
      </c>
      <c r="G205" s="9" t="s">
        <v>659</v>
      </c>
      <c r="H205" s="9" t="s">
        <v>664</v>
      </c>
      <c r="I205" s="10">
        <v>45610</v>
      </c>
    </row>
    <row r="206" spans="1:9" x14ac:dyDescent="0.15">
      <c r="A206" s="9">
        <v>205</v>
      </c>
      <c r="B206" s="9" t="s">
        <v>9</v>
      </c>
      <c r="C206" s="9">
        <v>1928</v>
      </c>
      <c r="D206" s="10">
        <v>45736</v>
      </c>
      <c r="E206" s="11" t="str">
        <f>+HYPERLINK("http://trademark.i-assist.jp/data/china/image_1928th/81960015.pdf","81960015")</f>
        <v>81960015</v>
      </c>
      <c r="F206" s="9" t="s">
        <v>665</v>
      </c>
      <c r="G206" s="12" t="s">
        <v>356</v>
      </c>
      <c r="H206" s="9" t="s">
        <v>666</v>
      </c>
      <c r="I206" s="10">
        <v>45610</v>
      </c>
    </row>
    <row r="207" spans="1:9" x14ac:dyDescent="0.15">
      <c r="A207" s="9">
        <v>206</v>
      </c>
      <c r="B207" s="9" t="s">
        <v>9</v>
      </c>
      <c r="C207" s="9">
        <v>1928</v>
      </c>
      <c r="D207" s="10">
        <v>45736</v>
      </c>
      <c r="E207" s="11" t="str">
        <f>+HYPERLINK("http://trademark.i-assist.jp/data/china/image_1928th/81967348.pdf","81967348")</f>
        <v>81967348</v>
      </c>
      <c r="F207" s="9" t="s">
        <v>667</v>
      </c>
      <c r="G207" s="9" t="s">
        <v>659</v>
      </c>
      <c r="H207" s="9" t="s">
        <v>668</v>
      </c>
      <c r="I207" s="10">
        <v>45610</v>
      </c>
    </row>
    <row r="208" spans="1:9" x14ac:dyDescent="0.15">
      <c r="A208" s="9">
        <v>207</v>
      </c>
      <c r="B208" s="9" t="s">
        <v>9</v>
      </c>
      <c r="C208" s="9">
        <v>1928</v>
      </c>
      <c r="D208" s="10">
        <v>45736</v>
      </c>
      <c r="E208" s="11" t="str">
        <f>+HYPERLINK("http://trademark.i-assist.jp/data/china/image_1928th/81970610.pdf","81970610")</f>
        <v>81970610</v>
      </c>
      <c r="F208" s="9" t="s">
        <v>669</v>
      </c>
      <c r="G208" s="9" t="s">
        <v>670</v>
      </c>
      <c r="H208" s="9" t="s">
        <v>671</v>
      </c>
      <c r="I208" s="10">
        <v>45610</v>
      </c>
    </row>
    <row r="209" spans="1:9" x14ac:dyDescent="0.15">
      <c r="A209" s="9">
        <v>208</v>
      </c>
      <c r="B209" s="9" t="s">
        <v>9</v>
      </c>
      <c r="C209" s="9">
        <v>1928</v>
      </c>
      <c r="D209" s="10">
        <v>45736</v>
      </c>
      <c r="E209" s="11" t="str">
        <f>+HYPERLINK("http://trademark.i-assist.jp/data/china/image_1928th/81973969.pdf","81973969")</f>
        <v>81973969</v>
      </c>
      <c r="F209" s="12" t="s">
        <v>672</v>
      </c>
      <c r="G209" s="9" t="s">
        <v>673</v>
      </c>
      <c r="H209" s="9" t="s">
        <v>674</v>
      </c>
      <c r="I209" s="10">
        <v>45610</v>
      </c>
    </row>
    <row r="210" spans="1:9" x14ac:dyDescent="0.15">
      <c r="A210" s="9">
        <v>209</v>
      </c>
      <c r="B210" s="9" t="s">
        <v>9</v>
      </c>
      <c r="C210" s="9">
        <v>1928</v>
      </c>
      <c r="D210" s="10">
        <v>45736</v>
      </c>
      <c r="E210" s="11" t="str">
        <f>+HYPERLINK("http://trademark.i-assist.jp/data/china/image_1928th/81974806.pdf","81974806")</f>
        <v>81974806</v>
      </c>
      <c r="F210" s="12" t="s">
        <v>675</v>
      </c>
      <c r="G210" s="9" t="s">
        <v>659</v>
      </c>
      <c r="H210" s="9" t="s">
        <v>676</v>
      </c>
      <c r="I210" s="10">
        <v>45610</v>
      </c>
    </row>
    <row r="211" spans="1:9" x14ac:dyDescent="0.15">
      <c r="A211" s="9">
        <v>210</v>
      </c>
      <c r="B211" s="9" t="s">
        <v>9</v>
      </c>
      <c r="C211" s="9">
        <v>1928</v>
      </c>
      <c r="D211" s="10">
        <v>45736</v>
      </c>
      <c r="E211" s="11" t="str">
        <f>+HYPERLINK("http://trademark.i-assist.jp/data/china/image_1928th/81977585.pdf","81977585")</f>
        <v>81977585</v>
      </c>
      <c r="F211" s="9" t="s">
        <v>677</v>
      </c>
      <c r="G211" s="9" t="s">
        <v>678</v>
      </c>
      <c r="H211" s="9" t="s">
        <v>679</v>
      </c>
      <c r="I211" s="10">
        <v>45610</v>
      </c>
    </row>
    <row r="212" spans="1:9" x14ac:dyDescent="0.15">
      <c r="A212" s="9">
        <v>211</v>
      </c>
      <c r="B212" s="9" t="s">
        <v>9</v>
      </c>
      <c r="C212" s="9">
        <v>1928</v>
      </c>
      <c r="D212" s="10">
        <v>45736</v>
      </c>
      <c r="E212" s="11" t="str">
        <f>+HYPERLINK("http://trademark.i-assist.jp/data/china/image_1928th/81983072.pdf","81983072")</f>
        <v>81983072</v>
      </c>
      <c r="F212" s="9" t="s">
        <v>680</v>
      </c>
      <c r="G212" s="9" t="s">
        <v>681</v>
      </c>
      <c r="H212" s="9" t="s">
        <v>682</v>
      </c>
      <c r="I212" s="10">
        <v>45611</v>
      </c>
    </row>
    <row r="213" spans="1:9" x14ac:dyDescent="0.15">
      <c r="A213" s="9">
        <v>212</v>
      </c>
      <c r="B213" s="9" t="s">
        <v>9</v>
      </c>
      <c r="C213" s="9">
        <v>1928</v>
      </c>
      <c r="D213" s="10">
        <v>45736</v>
      </c>
      <c r="E213" s="11" t="str">
        <f>+HYPERLINK("http://trademark.i-assist.jp/data/china/image_1928th/82003649.pdf","82003649")</f>
        <v>82003649</v>
      </c>
      <c r="F213" s="9" t="s">
        <v>683</v>
      </c>
      <c r="G213" s="9" t="s">
        <v>684</v>
      </c>
      <c r="H213" s="9" t="s">
        <v>685</v>
      </c>
      <c r="I213" s="10">
        <v>45611</v>
      </c>
    </row>
    <row r="214" spans="1:9" x14ac:dyDescent="0.15">
      <c r="A214" s="9">
        <v>213</v>
      </c>
      <c r="B214" s="9" t="s">
        <v>9</v>
      </c>
      <c r="C214" s="9">
        <v>1928</v>
      </c>
      <c r="D214" s="10">
        <v>45736</v>
      </c>
      <c r="E214" s="11" t="str">
        <f>+HYPERLINK("http://trademark.i-assist.jp/data/china/image_1928th/82003980.pdf","82003980")</f>
        <v>82003980</v>
      </c>
      <c r="F214" s="9" t="s">
        <v>686</v>
      </c>
      <c r="G214" s="9" t="s">
        <v>687</v>
      </c>
      <c r="H214" s="12" t="s">
        <v>688</v>
      </c>
      <c r="I214" s="10">
        <v>45611</v>
      </c>
    </row>
    <row r="215" spans="1:9" x14ac:dyDescent="0.15">
      <c r="A215" s="9">
        <v>214</v>
      </c>
      <c r="B215" s="9" t="s">
        <v>9</v>
      </c>
      <c r="C215" s="9">
        <v>1928</v>
      </c>
      <c r="D215" s="10">
        <v>45736</v>
      </c>
      <c r="E215" s="11" t="str">
        <f>+HYPERLINK("http://trademark.i-assist.jp/data/china/image_1928th/82009783.pdf","82009783")</f>
        <v>82009783</v>
      </c>
      <c r="F215" s="12" t="s">
        <v>689</v>
      </c>
      <c r="G215" s="12" t="s">
        <v>690</v>
      </c>
      <c r="H215" s="9" t="s">
        <v>691</v>
      </c>
      <c r="I215" s="10">
        <v>45612</v>
      </c>
    </row>
    <row r="216" spans="1:9" x14ac:dyDescent="0.15">
      <c r="A216" s="9">
        <v>215</v>
      </c>
      <c r="B216" s="9" t="s">
        <v>9</v>
      </c>
      <c r="C216" s="9">
        <v>1928</v>
      </c>
      <c r="D216" s="10">
        <v>45736</v>
      </c>
      <c r="E216" s="11" t="str">
        <f>+HYPERLINK("http://trademark.i-assist.jp/data/china/image_1928th/82011163.pdf","82011163")</f>
        <v>82011163</v>
      </c>
      <c r="F216" s="9" t="s">
        <v>692</v>
      </c>
      <c r="G216" s="9" t="s">
        <v>693</v>
      </c>
      <c r="H216" s="9" t="s">
        <v>694</v>
      </c>
      <c r="I216" s="10">
        <v>45612</v>
      </c>
    </row>
    <row r="217" spans="1:9" x14ac:dyDescent="0.15">
      <c r="A217" s="9">
        <v>216</v>
      </c>
      <c r="B217" s="9" t="s">
        <v>9</v>
      </c>
      <c r="C217" s="9">
        <v>1928</v>
      </c>
      <c r="D217" s="10">
        <v>45736</v>
      </c>
      <c r="E217" s="11" t="str">
        <f>+HYPERLINK("http://trademark.i-assist.jp/data/china/image_1928th/82019239.pdf","82019239")</f>
        <v>82019239</v>
      </c>
      <c r="F217" s="9" t="s">
        <v>695</v>
      </c>
      <c r="G217" s="9" t="s">
        <v>696</v>
      </c>
      <c r="H217" s="9" t="s">
        <v>697</v>
      </c>
      <c r="I217" s="10">
        <v>45614</v>
      </c>
    </row>
    <row r="218" spans="1:9" x14ac:dyDescent="0.15">
      <c r="A218" s="9">
        <v>217</v>
      </c>
      <c r="B218" s="9" t="s">
        <v>9</v>
      </c>
      <c r="C218" s="9">
        <v>1928</v>
      </c>
      <c r="D218" s="10">
        <v>45736</v>
      </c>
      <c r="E218" s="11" t="str">
        <f>+HYPERLINK("http://trademark.i-assist.jp/data/china/image_1928th/82021490A.pdf","82021490A")</f>
        <v>82021490A</v>
      </c>
      <c r="F218" s="9" t="s">
        <v>698</v>
      </c>
      <c r="G218" s="9" t="s">
        <v>699</v>
      </c>
      <c r="H218" s="9" t="s">
        <v>700</v>
      </c>
      <c r="I218" s="10">
        <v>45614</v>
      </c>
    </row>
    <row r="219" spans="1:9" x14ac:dyDescent="0.15">
      <c r="A219" s="9">
        <v>218</v>
      </c>
      <c r="B219" s="9" t="s">
        <v>9</v>
      </c>
      <c r="C219" s="9">
        <v>1928</v>
      </c>
      <c r="D219" s="10">
        <v>45736</v>
      </c>
      <c r="E219" s="11" t="str">
        <f>+HYPERLINK("http://trademark.i-assist.jp/data/china/image_1928th/82024478.pdf","82024478")</f>
        <v>82024478</v>
      </c>
      <c r="F219" s="9" t="s">
        <v>701</v>
      </c>
      <c r="G219" s="9" t="s">
        <v>702</v>
      </c>
      <c r="H219" s="9" t="s">
        <v>703</v>
      </c>
      <c r="I219" s="10">
        <v>45614</v>
      </c>
    </row>
    <row r="220" spans="1:9" x14ac:dyDescent="0.15">
      <c r="A220" s="9">
        <v>219</v>
      </c>
      <c r="B220" s="9" t="s">
        <v>9</v>
      </c>
      <c r="C220" s="9">
        <v>1928</v>
      </c>
      <c r="D220" s="10">
        <v>45736</v>
      </c>
      <c r="E220" s="11" t="str">
        <f>+HYPERLINK("http://trademark.i-assist.jp/data/china/image_1928th/82024842.pdf","82024842")</f>
        <v>82024842</v>
      </c>
      <c r="F220" s="12" t="s">
        <v>704</v>
      </c>
      <c r="G220" s="12" t="s">
        <v>705</v>
      </c>
      <c r="H220" s="9" t="s">
        <v>706</v>
      </c>
      <c r="I220" s="10">
        <v>45614</v>
      </c>
    </row>
    <row r="221" spans="1:9" x14ac:dyDescent="0.15">
      <c r="A221" s="9">
        <v>220</v>
      </c>
      <c r="B221" s="9" t="s">
        <v>9</v>
      </c>
      <c r="C221" s="9">
        <v>1928</v>
      </c>
      <c r="D221" s="10">
        <v>45736</v>
      </c>
      <c r="E221" s="11" t="str">
        <f>+HYPERLINK("http://trademark.i-assist.jp/data/china/image_1928th/82024997.pdf","82024997")</f>
        <v>82024997</v>
      </c>
      <c r="F221" s="9" t="s">
        <v>707</v>
      </c>
      <c r="G221" s="9" t="s">
        <v>708</v>
      </c>
      <c r="H221" s="9" t="s">
        <v>709</v>
      </c>
      <c r="I221" s="10">
        <v>45614</v>
      </c>
    </row>
    <row r="222" spans="1:9" x14ac:dyDescent="0.15">
      <c r="A222" s="9">
        <v>221</v>
      </c>
      <c r="B222" s="9" t="s">
        <v>9</v>
      </c>
      <c r="C222" s="9">
        <v>1928</v>
      </c>
      <c r="D222" s="10">
        <v>45736</v>
      </c>
      <c r="E222" s="11" t="str">
        <f>+HYPERLINK("http://trademark.i-assist.jp/data/china/image_1928th/82025621.pdf","82025621")</f>
        <v>82025621</v>
      </c>
      <c r="F222" s="12" t="s">
        <v>18</v>
      </c>
      <c r="G222" s="12" t="s">
        <v>97</v>
      </c>
      <c r="H222" s="9" t="s">
        <v>710</v>
      </c>
      <c r="I222" s="10">
        <v>45614</v>
      </c>
    </row>
    <row r="223" spans="1:9" x14ac:dyDescent="0.15">
      <c r="A223" s="9">
        <v>222</v>
      </c>
      <c r="B223" s="9" t="s">
        <v>9</v>
      </c>
      <c r="C223" s="9">
        <v>1928</v>
      </c>
      <c r="D223" s="10">
        <v>45736</v>
      </c>
      <c r="E223" s="11" t="str">
        <f>+HYPERLINK("http://trademark.i-assist.jp/data/china/image_1928th/82035275.pdf","82035275")</f>
        <v>82035275</v>
      </c>
      <c r="F223" s="12" t="s">
        <v>18</v>
      </c>
      <c r="G223" s="12" t="s">
        <v>97</v>
      </c>
      <c r="H223" s="9" t="s">
        <v>711</v>
      </c>
      <c r="I223" s="10">
        <v>45614</v>
      </c>
    </row>
    <row r="224" spans="1:9" x14ac:dyDescent="0.15">
      <c r="A224" s="9">
        <v>223</v>
      </c>
      <c r="B224" s="9" t="s">
        <v>9</v>
      </c>
      <c r="C224" s="9">
        <v>1928</v>
      </c>
      <c r="D224" s="10">
        <v>45736</v>
      </c>
      <c r="E224" s="11" t="str">
        <f>+HYPERLINK("http://trademark.i-assist.jp/data/china/image_1928th/82036875.pdf","82036875")</f>
        <v>82036875</v>
      </c>
      <c r="F224" s="9" t="s">
        <v>712</v>
      </c>
      <c r="G224" s="9" t="s">
        <v>713</v>
      </c>
      <c r="H224" s="12" t="s">
        <v>714</v>
      </c>
      <c r="I224" s="10">
        <v>45614</v>
      </c>
    </row>
    <row r="225" spans="1:9" x14ac:dyDescent="0.15">
      <c r="A225" s="9">
        <v>224</v>
      </c>
      <c r="B225" s="9" t="s">
        <v>9</v>
      </c>
      <c r="C225" s="9">
        <v>1928</v>
      </c>
      <c r="D225" s="10">
        <v>45736</v>
      </c>
      <c r="E225" s="11" t="str">
        <f>+HYPERLINK("http://trademark.i-assist.jp/data/china/image_1928th/82041639.pdf","82041639")</f>
        <v>82041639</v>
      </c>
      <c r="F225" s="9" t="s">
        <v>715</v>
      </c>
      <c r="G225" s="12" t="s">
        <v>716</v>
      </c>
      <c r="H225" s="12" t="s">
        <v>717</v>
      </c>
      <c r="I225" s="10">
        <v>45615</v>
      </c>
    </row>
    <row r="226" spans="1:9" x14ac:dyDescent="0.15">
      <c r="A226" s="9">
        <v>225</v>
      </c>
      <c r="B226" s="9" t="s">
        <v>9</v>
      </c>
      <c r="C226" s="9">
        <v>1928</v>
      </c>
      <c r="D226" s="10">
        <v>45736</v>
      </c>
      <c r="E226" s="11" t="str">
        <f>+HYPERLINK("http://trademark.i-assist.jp/data/china/image_1928th/82043290.pdf","82043290")</f>
        <v>82043290</v>
      </c>
      <c r="F226" s="9" t="s">
        <v>718</v>
      </c>
      <c r="G226" s="9" t="s">
        <v>719</v>
      </c>
      <c r="H226" s="12" t="s">
        <v>720</v>
      </c>
      <c r="I226" s="10">
        <v>45615</v>
      </c>
    </row>
    <row r="227" spans="1:9" x14ac:dyDescent="0.15">
      <c r="A227" s="9">
        <v>226</v>
      </c>
      <c r="B227" s="9" t="s">
        <v>9</v>
      </c>
      <c r="C227" s="9">
        <v>1928</v>
      </c>
      <c r="D227" s="10">
        <v>45736</v>
      </c>
      <c r="E227" s="11" t="str">
        <f>+HYPERLINK("http://trademark.i-assist.jp/data/china/image_1928th/82047428.pdf","82047428")</f>
        <v>82047428</v>
      </c>
      <c r="F227" s="9" t="s">
        <v>721</v>
      </c>
      <c r="G227" s="12" t="s">
        <v>722</v>
      </c>
      <c r="H227" s="9" t="s">
        <v>723</v>
      </c>
      <c r="I227" s="10">
        <v>45615</v>
      </c>
    </row>
    <row r="228" spans="1:9" x14ac:dyDescent="0.15">
      <c r="A228" s="9">
        <v>227</v>
      </c>
      <c r="B228" s="9" t="s">
        <v>9</v>
      </c>
      <c r="C228" s="9">
        <v>1928</v>
      </c>
      <c r="D228" s="10">
        <v>45736</v>
      </c>
      <c r="E228" s="11" t="str">
        <f>+HYPERLINK("http://trademark.i-assist.jp/data/china/image_1928th/82050261.pdf","82050261")</f>
        <v>82050261</v>
      </c>
      <c r="F228" s="9" t="s">
        <v>724</v>
      </c>
      <c r="G228" s="12" t="s">
        <v>725</v>
      </c>
      <c r="H228" s="9" t="s">
        <v>726</v>
      </c>
      <c r="I228" s="10">
        <v>45615</v>
      </c>
    </row>
    <row r="229" spans="1:9" x14ac:dyDescent="0.15">
      <c r="A229" s="9">
        <v>228</v>
      </c>
      <c r="B229" s="9" t="s">
        <v>9</v>
      </c>
      <c r="C229" s="9">
        <v>1928</v>
      </c>
      <c r="D229" s="10">
        <v>45736</v>
      </c>
      <c r="E229" s="11" t="str">
        <f>+HYPERLINK("http://trademark.i-assist.jp/data/china/image_1928th/82054500.pdf","82054500")</f>
        <v>82054500</v>
      </c>
      <c r="F229" s="12" t="s">
        <v>727</v>
      </c>
      <c r="G229" s="12" t="s">
        <v>690</v>
      </c>
      <c r="H229" s="9" t="s">
        <v>728</v>
      </c>
      <c r="I229" s="10">
        <v>45615</v>
      </c>
    </row>
    <row r="230" spans="1:9" x14ac:dyDescent="0.15">
      <c r="A230" s="9">
        <v>229</v>
      </c>
      <c r="B230" s="9" t="s">
        <v>9</v>
      </c>
      <c r="C230" s="9">
        <v>1928</v>
      </c>
      <c r="D230" s="10">
        <v>45736</v>
      </c>
      <c r="E230" s="11" t="str">
        <f>+HYPERLINK("http://trademark.i-assist.jp/data/china/image_1928th/82057887.pdf","82057887")</f>
        <v>82057887</v>
      </c>
      <c r="F230" s="9" t="s">
        <v>729</v>
      </c>
      <c r="G230" s="9" t="s">
        <v>730</v>
      </c>
      <c r="H230" s="12" t="s">
        <v>731</v>
      </c>
      <c r="I230" s="10">
        <v>45615</v>
      </c>
    </row>
    <row r="231" spans="1:9" x14ac:dyDescent="0.15">
      <c r="A231" s="9">
        <v>230</v>
      </c>
      <c r="B231" s="9" t="s">
        <v>9</v>
      </c>
      <c r="C231" s="9">
        <v>1928</v>
      </c>
      <c r="D231" s="10">
        <v>45736</v>
      </c>
      <c r="E231" s="11" t="str">
        <f>+HYPERLINK("http://trademark.i-assist.jp/data/china/image_1928th/82059502.pdf","82059502")</f>
        <v>82059502</v>
      </c>
      <c r="F231" s="9" t="s">
        <v>732</v>
      </c>
      <c r="G231" s="12" t="s">
        <v>733</v>
      </c>
      <c r="H231" s="12" t="s">
        <v>734</v>
      </c>
      <c r="I231" s="10">
        <v>45615</v>
      </c>
    </row>
    <row r="232" spans="1:9" x14ac:dyDescent="0.15">
      <c r="A232" s="9">
        <v>231</v>
      </c>
      <c r="B232" s="9" t="s">
        <v>9</v>
      </c>
      <c r="C232" s="9">
        <v>1928</v>
      </c>
      <c r="D232" s="10">
        <v>45736</v>
      </c>
      <c r="E232" s="11" t="str">
        <f>+HYPERLINK("http://trademark.i-assist.jp/data/china/image_1928th/82060265.pdf","82060265")</f>
        <v>82060265</v>
      </c>
      <c r="F232" s="12" t="s">
        <v>735</v>
      </c>
      <c r="G232" s="9" t="s">
        <v>736</v>
      </c>
      <c r="H232" s="9" t="s">
        <v>737</v>
      </c>
      <c r="I232" s="10">
        <v>45615</v>
      </c>
    </row>
    <row r="233" spans="1:9" x14ac:dyDescent="0.15">
      <c r="A233" s="9">
        <v>232</v>
      </c>
      <c r="B233" s="9" t="s">
        <v>9</v>
      </c>
      <c r="C233" s="9">
        <v>1928</v>
      </c>
      <c r="D233" s="10">
        <v>45736</v>
      </c>
      <c r="E233" s="11" t="str">
        <f>+HYPERLINK("http://trademark.i-assist.jp/data/china/image_1928th/82065108.pdf","82065108")</f>
        <v>82065108</v>
      </c>
      <c r="F233" s="9" t="s">
        <v>738</v>
      </c>
      <c r="G233" s="9" t="s">
        <v>739</v>
      </c>
      <c r="H233" s="9" t="s">
        <v>740</v>
      </c>
      <c r="I233" s="10">
        <v>45615</v>
      </c>
    </row>
    <row r="234" spans="1:9" x14ac:dyDescent="0.15">
      <c r="A234" s="9">
        <v>233</v>
      </c>
      <c r="B234" s="9" t="s">
        <v>9</v>
      </c>
      <c r="C234" s="9">
        <v>1928</v>
      </c>
      <c r="D234" s="10">
        <v>45736</v>
      </c>
      <c r="E234" s="11" t="str">
        <f>+HYPERLINK("http://trademark.i-assist.jp/data/china/image_1928th/82067676.pdf","82067676")</f>
        <v>82067676</v>
      </c>
      <c r="F234" s="9" t="s">
        <v>741</v>
      </c>
      <c r="G234" s="9" t="s">
        <v>48</v>
      </c>
      <c r="H234" s="12" t="s">
        <v>742</v>
      </c>
      <c r="I234" s="10">
        <v>45616</v>
      </c>
    </row>
    <row r="235" spans="1:9" x14ac:dyDescent="0.15">
      <c r="A235" s="9">
        <v>234</v>
      </c>
      <c r="B235" s="9" t="s">
        <v>9</v>
      </c>
      <c r="C235" s="9">
        <v>1928</v>
      </c>
      <c r="D235" s="10">
        <v>45736</v>
      </c>
      <c r="E235" s="11" t="str">
        <f>+HYPERLINK("http://trademark.i-assist.jp/data/china/image_1928th/82068292.pdf","82068292")</f>
        <v>82068292</v>
      </c>
      <c r="F235" s="9" t="s">
        <v>743</v>
      </c>
      <c r="G235" s="9" t="s">
        <v>744</v>
      </c>
      <c r="H235" s="9" t="s">
        <v>745</v>
      </c>
      <c r="I235" s="10">
        <v>45616</v>
      </c>
    </row>
    <row r="236" spans="1:9" x14ac:dyDescent="0.15">
      <c r="A236" s="9">
        <v>235</v>
      </c>
      <c r="B236" s="9" t="s">
        <v>9</v>
      </c>
      <c r="C236" s="9">
        <v>1928</v>
      </c>
      <c r="D236" s="10">
        <v>45736</v>
      </c>
      <c r="E236" s="11" t="str">
        <f>+HYPERLINK("http://trademark.i-assist.jp/data/china/image_1928th/82069326.pdf","82069326")</f>
        <v>82069326</v>
      </c>
      <c r="F236" s="9" t="s">
        <v>746</v>
      </c>
      <c r="G236" s="12" t="s">
        <v>747</v>
      </c>
      <c r="H236" s="9" t="s">
        <v>748</v>
      </c>
      <c r="I236" s="10">
        <v>45616</v>
      </c>
    </row>
    <row r="237" spans="1:9" x14ac:dyDescent="0.15">
      <c r="A237" s="9">
        <v>236</v>
      </c>
      <c r="B237" s="9" t="s">
        <v>9</v>
      </c>
      <c r="C237" s="9">
        <v>1928</v>
      </c>
      <c r="D237" s="10">
        <v>45736</v>
      </c>
      <c r="E237" s="11" t="str">
        <f>+HYPERLINK("http://trademark.i-assist.jp/data/china/image_1928th/82069971.pdf","82069971")</f>
        <v>82069971</v>
      </c>
      <c r="F237" s="9" t="s">
        <v>749</v>
      </c>
      <c r="G237" s="9" t="s">
        <v>750</v>
      </c>
      <c r="H237" s="9" t="s">
        <v>751</v>
      </c>
      <c r="I237" s="10">
        <v>45616</v>
      </c>
    </row>
    <row r="238" spans="1:9" x14ac:dyDescent="0.15">
      <c r="A238" s="9">
        <v>237</v>
      </c>
      <c r="B238" s="9" t="s">
        <v>9</v>
      </c>
      <c r="C238" s="9">
        <v>1928</v>
      </c>
      <c r="D238" s="10">
        <v>45736</v>
      </c>
      <c r="E238" s="11" t="str">
        <f>+HYPERLINK("http://trademark.i-assist.jp/data/china/image_1928th/82072698.pdf","82072698")</f>
        <v>82072698</v>
      </c>
      <c r="F238" s="12" t="s">
        <v>752</v>
      </c>
      <c r="G238" s="9" t="s">
        <v>753</v>
      </c>
      <c r="H238" s="9" t="s">
        <v>754</v>
      </c>
      <c r="I238" s="10">
        <v>45616</v>
      </c>
    </row>
    <row r="239" spans="1:9" x14ac:dyDescent="0.15">
      <c r="A239" s="9">
        <v>238</v>
      </c>
      <c r="B239" s="9" t="s">
        <v>9</v>
      </c>
      <c r="C239" s="9">
        <v>1928</v>
      </c>
      <c r="D239" s="10">
        <v>45736</v>
      </c>
      <c r="E239" s="11" t="str">
        <f>+HYPERLINK("http://trademark.i-assist.jp/data/china/image_1928th/82075384.pdf","82075384")</f>
        <v>82075384</v>
      </c>
      <c r="F239" s="12" t="s">
        <v>18</v>
      </c>
      <c r="G239" s="9" t="s">
        <v>47</v>
      </c>
      <c r="H239" s="9" t="s">
        <v>755</v>
      </c>
      <c r="I239" s="10">
        <v>45616</v>
      </c>
    </row>
    <row r="240" spans="1:9" x14ac:dyDescent="0.15">
      <c r="A240" s="9">
        <v>239</v>
      </c>
      <c r="B240" s="9" t="s">
        <v>9</v>
      </c>
      <c r="C240" s="9">
        <v>1928</v>
      </c>
      <c r="D240" s="10">
        <v>45736</v>
      </c>
      <c r="E240" s="11" t="str">
        <f>+HYPERLINK("http://trademark.i-assist.jp/data/china/image_1928th/82076458.pdf","82076458")</f>
        <v>82076458</v>
      </c>
      <c r="F240" s="9" t="s">
        <v>756</v>
      </c>
      <c r="G240" s="9" t="s">
        <v>757</v>
      </c>
      <c r="H240" s="9" t="s">
        <v>758</v>
      </c>
      <c r="I240" s="10">
        <v>45616</v>
      </c>
    </row>
    <row r="241" spans="1:9" x14ac:dyDescent="0.15">
      <c r="A241" s="9">
        <v>240</v>
      </c>
      <c r="B241" s="9" t="s">
        <v>9</v>
      </c>
      <c r="C241" s="9">
        <v>1928</v>
      </c>
      <c r="D241" s="10">
        <v>45736</v>
      </c>
      <c r="E241" s="11" t="str">
        <f>+HYPERLINK("http://trademark.i-assist.jp/data/china/image_1928th/82080080.pdf","82080080")</f>
        <v>82080080</v>
      </c>
      <c r="F241" s="9" t="s">
        <v>759</v>
      </c>
      <c r="G241" s="9" t="s">
        <v>760</v>
      </c>
      <c r="H241" s="9" t="s">
        <v>761</v>
      </c>
      <c r="I241" s="10">
        <v>45616</v>
      </c>
    </row>
    <row r="242" spans="1:9" x14ac:dyDescent="0.15">
      <c r="A242" s="9">
        <v>241</v>
      </c>
      <c r="B242" s="9" t="s">
        <v>9</v>
      </c>
      <c r="C242" s="9">
        <v>1928</v>
      </c>
      <c r="D242" s="10">
        <v>45736</v>
      </c>
      <c r="E242" s="11" t="str">
        <f>+HYPERLINK("http://trademark.i-assist.jp/data/china/image_1928th/82083070.pdf","82083070")</f>
        <v>82083070</v>
      </c>
      <c r="F242" s="13" t="s">
        <v>762</v>
      </c>
      <c r="G242" s="9" t="s">
        <v>49</v>
      </c>
      <c r="H242" s="9" t="s">
        <v>763</v>
      </c>
      <c r="I242" s="10">
        <v>45616</v>
      </c>
    </row>
    <row r="243" spans="1:9" x14ac:dyDescent="0.15">
      <c r="A243" s="9">
        <v>242</v>
      </c>
      <c r="B243" s="9" t="s">
        <v>9</v>
      </c>
      <c r="C243" s="9">
        <v>1928</v>
      </c>
      <c r="D243" s="10">
        <v>45736</v>
      </c>
      <c r="E243" s="11" t="str">
        <f>+HYPERLINK("http://trademark.i-assist.jp/data/china/image_1928th/82085163.pdf","82085163")</f>
        <v>82085163</v>
      </c>
      <c r="F243" s="9" t="s">
        <v>764</v>
      </c>
      <c r="G243" s="9" t="s">
        <v>765</v>
      </c>
      <c r="H243" s="9" t="s">
        <v>766</v>
      </c>
      <c r="I243" s="10">
        <v>45616</v>
      </c>
    </row>
    <row r="244" spans="1:9" x14ac:dyDescent="0.15">
      <c r="A244" s="9">
        <v>243</v>
      </c>
      <c r="B244" s="9" t="s">
        <v>9</v>
      </c>
      <c r="C244" s="9">
        <v>1928</v>
      </c>
      <c r="D244" s="10">
        <v>45736</v>
      </c>
      <c r="E244" s="11" t="str">
        <f>+HYPERLINK("http://trademark.i-assist.jp/data/china/image_1928th/82086050.pdf","82086050")</f>
        <v>82086050</v>
      </c>
      <c r="F244" s="9" t="s">
        <v>767</v>
      </c>
      <c r="G244" s="9" t="s">
        <v>768</v>
      </c>
      <c r="H244" s="9" t="s">
        <v>769</v>
      </c>
      <c r="I244" s="10">
        <v>45616</v>
      </c>
    </row>
    <row r="245" spans="1:9" x14ac:dyDescent="0.15">
      <c r="A245" s="9">
        <v>244</v>
      </c>
      <c r="B245" s="9" t="s">
        <v>9</v>
      </c>
      <c r="C245" s="9">
        <v>1928</v>
      </c>
      <c r="D245" s="10">
        <v>45736</v>
      </c>
      <c r="E245" s="11" t="str">
        <f>+HYPERLINK("http://trademark.i-assist.jp/data/china/image_1928th/82086167.pdf","82086167")</f>
        <v>82086167</v>
      </c>
      <c r="F245" s="9" t="s">
        <v>770</v>
      </c>
      <c r="G245" s="12" t="s">
        <v>747</v>
      </c>
      <c r="H245" s="9" t="s">
        <v>771</v>
      </c>
      <c r="I245" s="10">
        <v>45616</v>
      </c>
    </row>
    <row r="246" spans="1:9" x14ac:dyDescent="0.15">
      <c r="A246" s="9">
        <v>245</v>
      </c>
      <c r="B246" s="9" t="s">
        <v>9</v>
      </c>
      <c r="C246" s="9">
        <v>1928</v>
      </c>
      <c r="D246" s="10">
        <v>45736</v>
      </c>
      <c r="E246" s="11" t="str">
        <f>+HYPERLINK("http://trademark.i-assist.jp/data/china/image_1928th/82088085.pdf","82088085")</f>
        <v>82088085</v>
      </c>
      <c r="F246" s="12" t="s">
        <v>18</v>
      </c>
      <c r="G246" s="9" t="s">
        <v>772</v>
      </c>
      <c r="H246" s="9" t="s">
        <v>773</v>
      </c>
      <c r="I246" s="10">
        <v>45616</v>
      </c>
    </row>
    <row r="247" spans="1:9" x14ac:dyDescent="0.15">
      <c r="A247" s="9">
        <v>246</v>
      </c>
      <c r="B247" s="9" t="s">
        <v>9</v>
      </c>
      <c r="C247" s="9">
        <v>1928</v>
      </c>
      <c r="D247" s="10">
        <v>45736</v>
      </c>
      <c r="E247" s="11" t="str">
        <f>+HYPERLINK("http://trademark.i-assist.jp/data/china/image_1928th/82088421.pdf","82088421")</f>
        <v>82088421</v>
      </c>
      <c r="F247" s="9" t="s">
        <v>774</v>
      </c>
      <c r="G247" s="9" t="s">
        <v>775</v>
      </c>
      <c r="H247" s="9" t="s">
        <v>776</v>
      </c>
      <c r="I247" s="10">
        <v>45616</v>
      </c>
    </row>
    <row r="248" spans="1:9" x14ac:dyDescent="0.15">
      <c r="A248" s="9">
        <v>247</v>
      </c>
      <c r="B248" s="9" t="s">
        <v>9</v>
      </c>
      <c r="C248" s="9">
        <v>1928</v>
      </c>
      <c r="D248" s="10">
        <v>45736</v>
      </c>
      <c r="E248" s="11" t="str">
        <f>+HYPERLINK("http://trademark.i-assist.jp/data/china/image_1928th/82088610.pdf","82088610")</f>
        <v>82088610</v>
      </c>
      <c r="F248" s="12" t="s">
        <v>18</v>
      </c>
      <c r="G248" s="9" t="s">
        <v>48</v>
      </c>
      <c r="H248" s="9" t="s">
        <v>777</v>
      </c>
      <c r="I248" s="10">
        <v>45616</v>
      </c>
    </row>
    <row r="249" spans="1:9" x14ac:dyDescent="0.15">
      <c r="A249" s="9">
        <v>248</v>
      </c>
      <c r="B249" s="9" t="s">
        <v>9</v>
      </c>
      <c r="C249" s="9">
        <v>1928</v>
      </c>
      <c r="D249" s="10">
        <v>45736</v>
      </c>
      <c r="E249" s="11" t="str">
        <f>+HYPERLINK("http://trademark.i-assist.jp/data/china/image_1928th/82089319.pdf","82089319")</f>
        <v>82089319</v>
      </c>
      <c r="F249" s="9" t="s">
        <v>778</v>
      </c>
      <c r="G249" s="9" t="s">
        <v>779</v>
      </c>
      <c r="H249" s="9" t="s">
        <v>780</v>
      </c>
      <c r="I249" s="10">
        <v>45616</v>
      </c>
    </row>
    <row r="250" spans="1:9" x14ac:dyDescent="0.15">
      <c r="A250" s="9">
        <v>249</v>
      </c>
      <c r="B250" s="9" t="s">
        <v>9</v>
      </c>
      <c r="C250" s="9">
        <v>1928</v>
      </c>
      <c r="D250" s="10">
        <v>45736</v>
      </c>
      <c r="E250" s="11" t="str">
        <f>+HYPERLINK("http://trademark.i-assist.jp/data/china/image_1928th/82090194.pdf","82090194")</f>
        <v>82090194</v>
      </c>
      <c r="F250" s="12" t="s">
        <v>18</v>
      </c>
      <c r="G250" s="12" t="s">
        <v>781</v>
      </c>
      <c r="H250" s="9" t="s">
        <v>782</v>
      </c>
      <c r="I250" s="10">
        <v>45616</v>
      </c>
    </row>
    <row r="251" spans="1:9" x14ac:dyDescent="0.15">
      <c r="A251" s="9">
        <v>250</v>
      </c>
      <c r="B251" s="9" t="s">
        <v>9</v>
      </c>
      <c r="C251" s="9">
        <v>1928</v>
      </c>
      <c r="D251" s="10">
        <v>45736</v>
      </c>
      <c r="E251" s="11" t="str">
        <f>+HYPERLINK("http://trademark.i-assist.jp/data/china/image_1928th/82090891.pdf","82090891")</f>
        <v>82090891</v>
      </c>
      <c r="F251" s="12" t="s">
        <v>783</v>
      </c>
      <c r="G251" s="9" t="s">
        <v>784</v>
      </c>
      <c r="H251" s="9" t="s">
        <v>785</v>
      </c>
      <c r="I251" s="10">
        <v>45616</v>
      </c>
    </row>
    <row r="252" spans="1:9" x14ac:dyDescent="0.15">
      <c r="A252" s="9">
        <v>251</v>
      </c>
      <c r="B252" s="9" t="s">
        <v>9</v>
      </c>
      <c r="C252" s="9">
        <v>1928</v>
      </c>
      <c r="D252" s="10">
        <v>45736</v>
      </c>
      <c r="E252" s="11" t="str">
        <f>+HYPERLINK("http://trademark.i-assist.jp/data/china/image_1928th/82091112.pdf","82091112")</f>
        <v>82091112</v>
      </c>
      <c r="F252" s="9" t="s">
        <v>786</v>
      </c>
      <c r="G252" s="12" t="s">
        <v>787</v>
      </c>
      <c r="H252" s="9" t="s">
        <v>788</v>
      </c>
      <c r="I252" s="10">
        <v>45616</v>
      </c>
    </row>
    <row r="253" spans="1:9" x14ac:dyDescent="0.15">
      <c r="A253" s="9">
        <v>252</v>
      </c>
      <c r="B253" s="9" t="s">
        <v>9</v>
      </c>
      <c r="C253" s="9">
        <v>1928</v>
      </c>
      <c r="D253" s="10">
        <v>45736</v>
      </c>
      <c r="E253" s="11" t="str">
        <f>+HYPERLINK("http://trademark.i-assist.jp/data/china/image_1928th/82091283.pdf","82091283")</f>
        <v>82091283</v>
      </c>
      <c r="F253" s="9" t="s">
        <v>789</v>
      </c>
      <c r="G253" s="9" t="s">
        <v>790</v>
      </c>
      <c r="H253" s="9" t="s">
        <v>791</v>
      </c>
      <c r="I253" s="10">
        <v>45616</v>
      </c>
    </row>
    <row r="254" spans="1:9" x14ac:dyDescent="0.15">
      <c r="A254" s="9">
        <v>253</v>
      </c>
      <c r="B254" s="9" t="s">
        <v>9</v>
      </c>
      <c r="C254" s="9">
        <v>1928</v>
      </c>
      <c r="D254" s="10">
        <v>45736</v>
      </c>
      <c r="E254" s="11" t="str">
        <f>+HYPERLINK("http://trademark.i-assist.jp/data/china/image_1928th/82091800.pdf","82091800")</f>
        <v>82091800</v>
      </c>
      <c r="F254" s="9" t="s">
        <v>792</v>
      </c>
      <c r="G254" s="9" t="s">
        <v>793</v>
      </c>
      <c r="H254" s="9" t="s">
        <v>794</v>
      </c>
      <c r="I254" s="10">
        <v>45617</v>
      </c>
    </row>
    <row r="255" spans="1:9" x14ac:dyDescent="0.15">
      <c r="A255" s="9">
        <v>254</v>
      </c>
      <c r="B255" s="9" t="s">
        <v>9</v>
      </c>
      <c r="C255" s="9">
        <v>1928</v>
      </c>
      <c r="D255" s="10">
        <v>45736</v>
      </c>
      <c r="E255" s="11" t="str">
        <f>+HYPERLINK("http://trademark.i-assist.jp/data/china/image_1928th/82095235.pdf","82095235")</f>
        <v>82095235</v>
      </c>
      <c r="F255" s="9" t="s">
        <v>795</v>
      </c>
      <c r="G255" s="9" t="s">
        <v>796</v>
      </c>
      <c r="H255" s="9" t="s">
        <v>797</v>
      </c>
      <c r="I255" s="10">
        <v>45617</v>
      </c>
    </row>
    <row r="256" spans="1:9" x14ac:dyDescent="0.15">
      <c r="A256" s="9">
        <v>255</v>
      </c>
      <c r="B256" s="9" t="s">
        <v>9</v>
      </c>
      <c r="C256" s="9">
        <v>1928</v>
      </c>
      <c r="D256" s="10">
        <v>45736</v>
      </c>
      <c r="E256" s="11" t="str">
        <f>+HYPERLINK("http://trademark.i-assist.jp/data/china/image_1928th/82096504.pdf","82096504")</f>
        <v>82096504</v>
      </c>
      <c r="F256" s="12" t="s">
        <v>18</v>
      </c>
      <c r="G256" s="12" t="s">
        <v>798</v>
      </c>
      <c r="H256" s="9" t="s">
        <v>799</v>
      </c>
      <c r="I256" s="10">
        <v>45617</v>
      </c>
    </row>
    <row r="257" spans="1:9" x14ac:dyDescent="0.15">
      <c r="A257" s="9">
        <v>256</v>
      </c>
      <c r="B257" s="9" t="s">
        <v>9</v>
      </c>
      <c r="C257" s="9">
        <v>1928</v>
      </c>
      <c r="D257" s="10">
        <v>45736</v>
      </c>
      <c r="E257" s="11" t="str">
        <f>+HYPERLINK("http://trademark.i-assist.jp/data/china/image_1928th/82097523.pdf","82097523")</f>
        <v>82097523</v>
      </c>
      <c r="F257" s="9" t="s">
        <v>800</v>
      </c>
      <c r="G257" s="9" t="s">
        <v>801</v>
      </c>
      <c r="H257" s="9" t="s">
        <v>802</v>
      </c>
      <c r="I257" s="10">
        <v>45617</v>
      </c>
    </row>
    <row r="258" spans="1:9" x14ac:dyDescent="0.15">
      <c r="A258" s="9">
        <v>257</v>
      </c>
      <c r="B258" s="9" t="s">
        <v>9</v>
      </c>
      <c r="C258" s="9">
        <v>1928</v>
      </c>
      <c r="D258" s="10">
        <v>45736</v>
      </c>
      <c r="E258" s="11" t="str">
        <f>+HYPERLINK("http://trademark.i-assist.jp/data/china/image_1928th/82098195.pdf","82098195")</f>
        <v>82098195</v>
      </c>
      <c r="F258" s="12" t="s">
        <v>803</v>
      </c>
      <c r="G258" s="9" t="s">
        <v>804</v>
      </c>
      <c r="H258" s="9" t="s">
        <v>805</v>
      </c>
      <c r="I258" s="10">
        <v>45617</v>
      </c>
    </row>
    <row r="259" spans="1:9" x14ac:dyDescent="0.15">
      <c r="A259" s="9">
        <v>258</v>
      </c>
      <c r="B259" s="9" t="s">
        <v>9</v>
      </c>
      <c r="C259" s="9">
        <v>1928</v>
      </c>
      <c r="D259" s="10">
        <v>45736</v>
      </c>
      <c r="E259" s="11" t="str">
        <f>+HYPERLINK("http://trademark.i-assist.jp/data/china/image_1928th/82098240.pdf","82098240")</f>
        <v>82098240</v>
      </c>
      <c r="F259" s="12" t="s">
        <v>806</v>
      </c>
      <c r="G259" s="12" t="s">
        <v>807</v>
      </c>
      <c r="H259" s="9" t="s">
        <v>808</v>
      </c>
      <c r="I259" s="10">
        <v>45617</v>
      </c>
    </row>
    <row r="260" spans="1:9" x14ac:dyDescent="0.15">
      <c r="A260" s="9">
        <v>259</v>
      </c>
      <c r="B260" s="9" t="s">
        <v>9</v>
      </c>
      <c r="C260" s="9">
        <v>1928</v>
      </c>
      <c r="D260" s="10">
        <v>45736</v>
      </c>
      <c r="E260" s="11" t="str">
        <f>+HYPERLINK("http://trademark.i-assist.jp/data/china/image_1928th/82099683.pdf","82099683")</f>
        <v>82099683</v>
      </c>
      <c r="F260" s="9" t="s">
        <v>809</v>
      </c>
      <c r="G260" s="12" t="s">
        <v>810</v>
      </c>
      <c r="H260" s="9" t="s">
        <v>811</v>
      </c>
      <c r="I260" s="10">
        <v>45617</v>
      </c>
    </row>
    <row r="261" spans="1:9" x14ac:dyDescent="0.15">
      <c r="A261" s="9">
        <v>260</v>
      </c>
      <c r="B261" s="9" t="s">
        <v>9</v>
      </c>
      <c r="C261" s="9">
        <v>1928</v>
      </c>
      <c r="D261" s="10">
        <v>45736</v>
      </c>
      <c r="E261" s="11" t="str">
        <f>+HYPERLINK("http://trademark.i-assist.jp/data/china/image_1928th/82106589.pdf","82106589")</f>
        <v>82106589</v>
      </c>
      <c r="F261" s="9" t="s">
        <v>812</v>
      </c>
      <c r="G261" s="12" t="s">
        <v>813</v>
      </c>
      <c r="H261" s="9" t="s">
        <v>814</v>
      </c>
      <c r="I261" s="10">
        <v>45617</v>
      </c>
    </row>
    <row r="262" spans="1:9" x14ac:dyDescent="0.15">
      <c r="A262" s="9">
        <v>261</v>
      </c>
      <c r="B262" s="9" t="s">
        <v>9</v>
      </c>
      <c r="C262" s="9">
        <v>1928</v>
      </c>
      <c r="D262" s="10">
        <v>45736</v>
      </c>
      <c r="E262" s="11" t="str">
        <f>+HYPERLINK("http://trademark.i-assist.jp/data/china/image_1928th/82107407.pdf","82107407")</f>
        <v>82107407</v>
      </c>
      <c r="F262" s="12" t="s">
        <v>803</v>
      </c>
      <c r="G262" s="9" t="s">
        <v>804</v>
      </c>
      <c r="H262" s="9" t="s">
        <v>815</v>
      </c>
      <c r="I262" s="10">
        <v>45617</v>
      </c>
    </row>
    <row r="263" spans="1:9" x14ac:dyDescent="0.15">
      <c r="A263" s="9">
        <v>262</v>
      </c>
      <c r="B263" s="9" t="s">
        <v>9</v>
      </c>
      <c r="C263" s="9">
        <v>1928</v>
      </c>
      <c r="D263" s="10">
        <v>45736</v>
      </c>
      <c r="E263" s="11" t="str">
        <f>+HYPERLINK("http://trademark.i-assist.jp/data/china/image_1928th/82108295.pdf","82108295")</f>
        <v>82108295</v>
      </c>
      <c r="F263" s="9" t="s">
        <v>816</v>
      </c>
      <c r="G263" s="12" t="s">
        <v>54</v>
      </c>
      <c r="H263" s="9" t="s">
        <v>817</v>
      </c>
      <c r="I263" s="10">
        <v>45617</v>
      </c>
    </row>
    <row r="264" spans="1:9" x14ac:dyDescent="0.15">
      <c r="A264" s="9">
        <v>263</v>
      </c>
      <c r="B264" s="9" t="s">
        <v>9</v>
      </c>
      <c r="C264" s="9">
        <v>1928</v>
      </c>
      <c r="D264" s="10">
        <v>45736</v>
      </c>
      <c r="E264" s="11" t="str">
        <f>+HYPERLINK("http://trademark.i-assist.jp/data/china/image_1928th/82108748.pdf","82108748")</f>
        <v>82108748</v>
      </c>
      <c r="F264" s="12" t="s">
        <v>818</v>
      </c>
      <c r="G264" s="9" t="s">
        <v>819</v>
      </c>
      <c r="H264" s="9" t="s">
        <v>820</v>
      </c>
      <c r="I264" s="10">
        <v>45617</v>
      </c>
    </row>
    <row r="265" spans="1:9" x14ac:dyDescent="0.15">
      <c r="A265" s="9">
        <v>264</v>
      </c>
      <c r="B265" s="9" t="s">
        <v>9</v>
      </c>
      <c r="C265" s="9">
        <v>1928</v>
      </c>
      <c r="D265" s="10">
        <v>45736</v>
      </c>
      <c r="E265" s="11" t="str">
        <f>+HYPERLINK("http://trademark.i-assist.jp/data/china/image_1928th/82109675.pdf","82109675")</f>
        <v>82109675</v>
      </c>
      <c r="F265" s="12" t="s">
        <v>821</v>
      </c>
      <c r="G265" s="9" t="s">
        <v>822</v>
      </c>
      <c r="H265" s="9" t="s">
        <v>823</v>
      </c>
      <c r="I265" s="10">
        <v>45617</v>
      </c>
    </row>
    <row r="266" spans="1:9" x14ac:dyDescent="0.15">
      <c r="A266" s="9">
        <v>265</v>
      </c>
      <c r="B266" s="9" t="s">
        <v>9</v>
      </c>
      <c r="C266" s="9">
        <v>1928</v>
      </c>
      <c r="D266" s="10">
        <v>45736</v>
      </c>
      <c r="E266" s="11" t="str">
        <f>+HYPERLINK("http://trademark.i-assist.jp/data/china/image_1928th/82110119.pdf","82110119")</f>
        <v>82110119</v>
      </c>
      <c r="F266" s="9" t="s">
        <v>824</v>
      </c>
      <c r="G266" s="9" t="s">
        <v>825</v>
      </c>
      <c r="H266" s="9" t="s">
        <v>826</v>
      </c>
      <c r="I266" s="10">
        <v>45617</v>
      </c>
    </row>
    <row r="267" spans="1:9" x14ac:dyDescent="0.15">
      <c r="A267" s="9">
        <v>266</v>
      </c>
      <c r="B267" s="9" t="s">
        <v>9</v>
      </c>
      <c r="C267" s="9">
        <v>1928</v>
      </c>
      <c r="D267" s="10">
        <v>45736</v>
      </c>
      <c r="E267" s="11" t="str">
        <f>+HYPERLINK("http://trademark.i-assist.jp/data/china/image_1928th/82114200.pdf","82114200")</f>
        <v>82114200</v>
      </c>
      <c r="F267" s="12" t="s">
        <v>827</v>
      </c>
      <c r="G267" s="9" t="s">
        <v>804</v>
      </c>
      <c r="H267" s="9" t="s">
        <v>828</v>
      </c>
      <c r="I267" s="10">
        <v>45617</v>
      </c>
    </row>
    <row r="268" spans="1:9" x14ac:dyDescent="0.15">
      <c r="A268" s="9">
        <v>267</v>
      </c>
      <c r="B268" s="9" t="s">
        <v>9</v>
      </c>
      <c r="C268" s="9">
        <v>1928</v>
      </c>
      <c r="D268" s="10">
        <v>45736</v>
      </c>
      <c r="E268" s="11" t="str">
        <f>+HYPERLINK("http://trademark.i-assist.jp/data/china/image_1928th/82116137.pdf","82116137")</f>
        <v>82116137</v>
      </c>
      <c r="F268" s="12" t="s">
        <v>827</v>
      </c>
      <c r="G268" s="9" t="s">
        <v>804</v>
      </c>
      <c r="H268" s="9" t="s">
        <v>829</v>
      </c>
      <c r="I268" s="10">
        <v>45617</v>
      </c>
    </row>
    <row r="269" spans="1:9" x14ac:dyDescent="0.15">
      <c r="A269" s="9">
        <v>268</v>
      </c>
      <c r="B269" s="9" t="s">
        <v>9</v>
      </c>
      <c r="C269" s="9">
        <v>1928</v>
      </c>
      <c r="D269" s="10">
        <v>45736</v>
      </c>
      <c r="E269" s="11" t="str">
        <f>+HYPERLINK("http://trademark.i-assist.jp/data/china/image_1928th/82116200.pdf","82116200")</f>
        <v>82116200</v>
      </c>
      <c r="F269" s="13" t="s">
        <v>830</v>
      </c>
      <c r="G269" s="9" t="s">
        <v>831</v>
      </c>
      <c r="H269" s="9" t="s">
        <v>832</v>
      </c>
      <c r="I269" s="10">
        <v>45617</v>
      </c>
    </row>
    <row r="270" spans="1:9" x14ac:dyDescent="0.15">
      <c r="A270" s="9">
        <v>269</v>
      </c>
      <c r="B270" s="9" t="s">
        <v>9</v>
      </c>
      <c r="C270" s="9">
        <v>1928</v>
      </c>
      <c r="D270" s="10">
        <v>45736</v>
      </c>
      <c r="E270" s="11" t="str">
        <f>+HYPERLINK("http://trademark.i-assist.jp/data/china/image_1928th/82116610.pdf","82116610")</f>
        <v>82116610</v>
      </c>
      <c r="F270" s="9" t="s">
        <v>833</v>
      </c>
      <c r="G270" s="9" t="s">
        <v>834</v>
      </c>
      <c r="H270" s="12" t="s">
        <v>835</v>
      </c>
      <c r="I270" s="10">
        <v>45617</v>
      </c>
    </row>
    <row r="271" spans="1:9" x14ac:dyDescent="0.15">
      <c r="A271" s="9">
        <v>270</v>
      </c>
      <c r="B271" s="9" t="s">
        <v>9</v>
      </c>
      <c r="C271" s="9">
        <v>1928</v>
      </c>
      <c r="D271" s="10">
        <v>45736</v>
      </c>
      <c r="E271" s="11" t="str">
        <f>+HYPERLINK("http://trademark.i-assist.jp/data/china/image_1928th/82116886.pdf","82116886")</f>
        <v>82116886</v>
      </c>
      <c r="F271" s="9" t="s">
        <v>836</v>
      </c>
      <c r="G271" s="12" t="s">
        <v>837</v>
      </c>
      <c r="H271" s="9" t="s">
        <v>838</v>
      </c>
      <c r="I271" s="10">
        <v>45618</v>
      </c>
    </row>
    <row r="272" spans="1:9" x14ac:dyDescent="0.15">
      <c r="A272" s="9">
        <v>271</v>
      </c>
      <c r="B272" s="9" t="s">
        <v>9</v>
      </c>
      <c r="C272" s="9">
        <v>1928</v>
      </c>
      <c r="D272" s="10">
        <v>45736</v>
      </c>
      <c r="E272" s="11" t="str">
        <f>+HYPERLINK("http://trademark.i-assist.jp/data/china/image_1928th/82121634.pdf","82121634")</f>
        <v>82121634</v>
      </c>
      <c r="F272" s="9" t="s">
        <v>839</v>
      </c>
      <c r="G272" s="9" t="s">
        <v>59</v>
      </c>
      <c r="H272" s="12" t="s">
        <v>840</v>
      </c>
      <c r="I272" s="10">
        <v>45618</v>
      </c>
    </row>
    <row r="273" spans="1:9" x14ac:dyDescent="0.15">
      <c r="A273" s="9">
        <v>272</v>
      </c>
      <c r="B273" s="9" t="s">
        <v>9</v>
      </c>
      <c r="C273" s="9">
        <v>1928</v>
      </c>
      <c r="D273" s="10">
        <v>45736</v>
      </c>
      <c r="E273" s="11" t="str">
        <f>+HYPERLINK("http://trademark.i-assist.jp/data/china/image_1928th/82124263.pdf","82124263")</f>
        <v>82124263</v>
      </c>
      <c r="F273" s="9" t="s">
        <v>841</v>
      </c>
      <c r="G273" s="9" t="s">
        <v>842</v>
      </c>
      <c r="H273" s="9" t="s">
        <v>843</v>
      </c>
      <c r="I273" s="10">
        <v>45618</v>
      </c>
    </row>
    <row r="274" spans="1:9" x14ac:dyDescent="0.15">
      <c r="A274" s="9">
        <v>273</v>
      </c>
      <c r="B274" s="9" t="s">
        <v>9</v>
      </c>
      <c r="C274" s="9">
        <v>1928</v>
      </c>
      <c r="D274" s="10">
        <v>45736</v>
      </c>
      <c r="E274" s="11" t="str">
        <f>+HYPERLINK("http://trademark.i-assist.jp/data/china/image_1928th/82126620.pdf","82126620")</f>
        <v>82126620</v>
      </c>
      <c r="F274" s="9" t="s">
        <v>844</v>
      </c>
      <c r="G274" s="9" t="s">
        <v>845</v>
      </c>
      <c r="H274" s="9" t="s">
        <v>846</v>
      </c>
      <c r="I274" s="10">
        <v>45618</v>
      </c>
    </row>
    <row r="275" spans="1:9" x14ac:dyDescent="0.15">
      <c r="A275" s="9">
        <v>274</v>
      </c>
      <c r="B275" s="9" t="s">
        <v>9</v>
      </c>
      <c r="C275" s="9">
        <v>1928</v>
      </c>
      <c r="D275" s="10">
        <v>45736</v>
      </c>
      <c r="E275" s="11" t="str">
        <f>+HYPERLINK("http://trademark.i-assist.jp/data/china/image_1928th/82128337.pdf","82128337")</f>
        <v>82128337</v>
      </c>
      <c r="F275" s="9" t="s">
        <v>847</v>
      </c>
      <c r="G275" s="9" t="s">
        <v>848</v>
      </c>
      <c r="H275" s="12" t="s">
        <v>849</v>
      </c>
      <c r="I275" s="10">
        <v>45618</v>
      </c>
    </row>
    <row r="276" spans="1:9" x14ac:dyDescent="0.15">
      <c r="A276" s="9">
        <v>275</v>
      </c>
      <c r="B276" s="9" t="s">
        <v>9</v>
      </c>
      <c r="C276" s="9">
        <v>1928</v>
      </c>
      <c r="D276" s="10">
        <v>45736</v>
      </c>
      <c r="E276" s="11" t="str">
        <f>+HYPERLINK("http://trademark.i-assist.jp/data/china/image_1928th/82129458.pdf","82129458")</f>
        <v>82129458</v>
      </c>
      <c r="F276" s="9" t="s">
        <v>850</v>
      </c>
      <c r="G276" s="12" t="s">
        <v>851</v>
      </c>
      <c r="H276" s="9" t="s">
        <v>852</v>
      </c>
      <c r="I276" s="10">
        <v>45618</v>
      </c>
    </row>
    <row r="277" spans="1:9" x14ac:dyDescent="0.15">
      <c r="A277" s="9">
        <v>276</v>
      </c>
      <c r="B277" s="9" t="s">
        <v>9</v>
      </c>
      <c r="C277" s="9">
        <v>1928</v>
      </c>
      <c r="D277" s="10">
        <v>45736</v>
      </c>
      <c r="E277" s="11" t="str">
        <f>+HYPERLINK("http://trademark.i-assist.jp/data/china/image_1928th/82132689.pdf","82132689")</f>
        <v>82132689</v>
      </c>
      <c r="F277" s="9" t="s">
        <v>853</v>
      </c>
      <c r="G277" s="12" t="s">
        <v>854</v>
      </c>
      <c r="H277" s="9" t="s">
        <v>855</v>
      </c>
      <c r="I277" s="10">
        <v>45618</v>
      </c>
    </row>
    <row r="278" spans="1:9" x14ac:dyDescent="0.15">
      <c r="A278" s="9">
        <v>277</v>
      </c>
      <c r="B278" s="9" t="s">
        <v>9</v>
      </c>
      <c r="C278" s="9">
        <v>1928</v>
      </c>
      <c r="D278" s="10">
        <v>45736</v>
      </c>
      <c r="E278" s="11" t="str">
        <f>+HYPERLINK("http://trademark.i-assist.jp/data/china/image_1928th/82137558.pdf","82137558")</f>
        <v>82137558</v>
      </c>
      <c r="F278" s="9" t="s">
        <v>856</v>
      </c>
      <c r="G278" s="9" t="s">
        <v>857</v>
      </c>
      <c r="H278" s="12" t="s">
        <v>858</v>
      </c>
      <c r="I278" s="10">
        <v>45618</v>
      </c>
    </row>
    <row r="279" spans="1:9" x14ac:dyDescent="0.15">
      <c r="A279" s="9">
        <v>278</v>
      </c>
      <c r="B279" s="9" t="s">
        <v>9</v>
      </c>
      <c r="C279" s="9">
        <v>1928</v>
      </c>
      <c r="D279" s="10">
        <v>45736</v>
      </c>
      <c r="E279" s="11" t="str">
        <f>+HYPERLINK("http://trademark.i-assist.jp/data/china/image_1928th/82138013.pdf","82138013")</f>
        <v>82138013</v>
      </c>
      <c r="F279" s="9" t="s">
        <v>859</v>
      </c>
      <c r="G279" s="12" t="s">
        <v>860</v>
      </c>
      <c r="H279" s="9" t="s">
        <v>861</v>
      </c>
      <c r="I279" s="10">
        <v>45618</v>
      </c>
    </row>
    <row r="280" spans="1:9" x14ac:dyDescent="0.15">
      <c r="A280" s="9">
        <v>279</v>
      </c>
      <c r="B280" s="9" t="s">
        <v>9</v>
      </c>
      <c r="C280" s="9">
        <v>1928</v>
      </c>
      <c r="D280" s="10">
        <v>45736</v>
      </c>
      <c r="E280" s="11" t="str">
        <f>+HYPERLINK("http://trademark.i-assist.jp/data/china/image_1928th/82138512.pdf","82138512")</f>
        <v>82138512</v>
      </c>
      <c r="F280" s="9" t="s">
        <v>862</v>
      </c>
      <c r="G280" s="12" t="s">
        <v>863</v>
      </c>
      <c r="H280" s="9" t="s">
        <v>864</v>
      </c>
      <c r="I280" s="10">
        <v>45618</v>
      </c>
    </row>
    <row r="281" spans="1:9" x14ac:dyDescent="0.15">
      <c r="A281" s="9">
        <v>280</v>
      </c>
      <c r="B281" s="9" t="s">
        <v>9</v>
      </c>
      <c r="C281" s="9">
        <v>1928</v>
      </c>
      <c r="D281" s="10">
        <v>45736</v>
      </c>
      <c r="E281" s="11" t="str">
        <f>+HYPERLINK("http://trademark.i-assist.jp/data/china/image_1928th/82142367.pdf","82142367")</f>
        <v>82142367</v>
      </c>
      <c r="F281" s="9" t="s">
        <v>865</v>
      </c>
      <c r="G281" s="12" t="s">
        <v>866</v>
      </c>
      <c r="H281" s="9" t="s">
        <v>867</v>
      </c>
      <c r="I281" s="10">
        <v>45618</v>
      </c>
    </row>
    <row r="282" spans="1:9" x14ac:dyDescent="0.15">
      <c r="A282" s="9">
        <v>281</v>
      </c>
      <c r="B282" s="9" t="s">
        <v>9</v>
      </c>
      <c r="C282" s="9">
        <v>1928</v>
      </c>
      <c r="D282" s="10">
        <v>45736</v>
      </c>
      <c r="E282" s="11" t="str">
        <f>+HYPERLINK("http://trademark.i-assist.jp/data/china/image_1928th/82143856.pdf","82143856")</f>
        <v>82143856</v>
      </c>
      <c r="F282" s="9" t="s">
        <v>868</v>
      </c>
      <c r="G282" s="9" t="s">
        <v>869</v>
      </c>
      <c r="H282" s="12" t="s">
        <v>870</v>
      </c>
      <c r="I282" s="10">
        <v>45620</v>
      </c>
    </row>
    <row r="283" spans="1:9" x14ac:dyDescent="0.15">
      <c r="A283" s="9">
        <v>282</v>
      </c>
      <c r="B283" s="9" t="s">
        <v>9</v>
      </c>
      <c r="C283" s="9">
        <v>1928</v>
      </c>
      <c r="D283" s="10">
        <v>45736</v>
      </c>
      <c r="E283" s="11" t="str">
        <f>+HYPERLINK("http://trademark.i-assist.jp/data/china/image_1928th/82144684.pdf","82144684")</f>
        <v>82144684</v>
      </c>
      <c r="F283" s="9" t="s">
        <v>871</v>
      </c>
      <c r="G283" s="9" t="s">
        <v>872</v>
      </c>
      <c r="H283" s="9" t="s">
        <v>873</v>
      </c>
      <c r="I283" s="10">
        <v>45621</v>
      </c>
    </row>
    <row r="284" spans="1:9" x14ac:dyDescent="0.15">
      <c r="A284" s="9">
        <v>283</v>
      </c>
      <c r="B284" s="9" t="s">
        <v>9</v>
      </c>
      <c r="C284" s="9">
        <v>1928</v>
      </c>
      <c r="D284" s="10">
        <v>45736</v>
      </c>
      <c r="E284" s="11" t="str">
        <f>+HYPERLINK("http://trademark.i-assist.jp/data/china/image_1928th/82144685.pdf","82144685")</f>
        <v>82144685</v>
      </c>
      <c r="F284" s="9" t="s">
        <v>871</v>
      </c>
      <c r="G284" s="9" t="s">
        <v>872</v>
      </c>
      <c r="H284" s="9" t="s">
        <v>874</v>
      </c>
      <c r="I284" s="10">
        <v>45621</v>
      </c>
    </row>
    <row r="285" spans="1:9" x14ac:dyDescent="0.15">
      <c r="A285" s="9">
        <v>284</v>
      </c>
      <c r="B285" s="9" t="s">
        <v>9</v>
      </c>
      <c r="C285" s="9">
        <v>1928</v>
      </c>
      <c r="D285" s="10">
        <v>45736</v>
      </c>
      <c r="E285" s="11" t="str">
        <f>+HYPERLINK("http://trademark.i-assist.jp/data/china/image_1928th/82152614.pdf","82152614")</f>
        <v>82152614</v>
      </c>
      <c r="F285" s="9" t="s">
        <v>875</v>
      </c>
      <c r="G285" s="9" t="s">
        <v>876</v>
      </c>
      <c r="H285" s="9" t="s">
        <v>877</v>
      </c>
      <c r="I285" s="10">
        <v>45621</v>
      </c>
    </row>
    <row r="286" spans="1:9" x14ac:dyDescent="0.15">
      <c r="A286" s="9">
        <v>285</v>
      </c>
      <c r="B286" s="9" t="s">
        <v>9</v>
      </c>
      <c r="C286" s="9">
        <v>1928</v>
      </c>
      <c r="D286" s="10">
        <v>45736</v>
      </c>
      <c r="E286" s="11" t="str">
        <f>+HYPERLINK("http://trademark.i-assist.jp/data/china/image_1928th/82152874.pdf","82152874")</f>
        <v>82152874</v>
      </c>
      <c r="F286" s="9" t="s">
        <v>878</v>
      </c>
      <c r="G286" s="12" t="s">
        <v>879</v>
      </c>
      <c r="H286" s="9" t="s">
        <v>880</v>
      </c>
      <c r="I286" s="10">
        <v>45621</v>
      </c>
    </row>
    <row r="287" spans="1:9" x14ac:dyDescent="0.15">
      <c r="A287" s="9">
        <v>286</v>
      </c>
      <c r="B287" s="9" t="s">
        <v>9</v>
      </c>
      <c r="C287" s="9">
        <v>1928</v>
      </c>
      <c r="D287" s="10">
        <v>45736</v>
      </c>
      <c r="E287" s="11" t="str">
        <f>+HYPERLINK("http://trademark.i-assist.jp/data/china/image_1928th/82154404.pdf","82154404")</f>
        <v>82154404</v>
      </c>
      <c r="F287" s="9" t="s">
        <v>881</v>
      </c>
      <c r="G287" s="12" t="s">
        <v>882</v>
      </c>
      <c r="H287" s="9" t="s">
        <v>883</v>
      </c>
      <c r="I287" s="10">
        <v>45621</v>
      </c>
    </row>
    <row r="288" spans="1:9" x14ac:dyDescent="0.15">
      <c r="A288" s="9">
        <v>287</v>
      </c>
      <c r="B288" s="9" t="s">
        <v>9</v>
      </c>
      <c r="C288" s="9">
        <v>1928</v>
      </c>
      <c r="D288" s="10">
        <v>45736</v>
      </c>
      <c r="E288" s="11" t="str">
        <f>+HYPERLINK("http://trademark.i-assist.jp/data/china/image_1928th/82155191.pdf","82155191")</f>
        <v>82155191</v>
      </c>
      <c r="F288" s="9" t="s">
        <v>884</v>
      </c>
      <c r="G288" s="12" t="s">
        <v>885</v>
      </c>
      <c r="H288" s="9" t="s">
        <v>886</v>
      </c>
      <c r="I288" s="10">
        <v>45621</v>
      </c>
    </row>
    <row r="289" spans="1:9" x14ac:dyDescent="0.15">
      <c r="A289" s="9">
        <v>288</v>
      </c>
      <c r="B289" s="9" t="s">
        <v>9</v>
      </c>
      <c r="C289" s="9">
        <v>1928</v>
      </c>
      <c r="D289" s="10">
        <v>45736</v>
      </c>
      <c r="E289" s="11" t="str">
        <f>+HYPERLINK("http://trademark.i-assist.jp/data/china/image_1928th/82157619.pdf","82157619")</f>
        <v>82157619</v>
      </c>
      <c r="F289" s="9" t="s">
        <v>887</v>
      </c>
      <c r="G289" s="12" t="s">
        <v>888</v>
      </c>
      <c r="H289" s="9" t="s">
        <v>889</v>
      </c>
      <c r="I289" s="10">
        <v>45621</v>
      </c>
    </row>
    <row r="290" spans="1:9" x14ac:dyDescent="0.15">
      <c r="A290" s="9">
        <v>289</v>
      </c>
      <c r="B290" s="9" t="s">
        <v>9</v>
      </c>
      <c r="C290" s="9">
        <v>1928</v>
      </c>
      <c r="D290" s="10">
        <v>45736</v>
      </c>
      <c r="E290" s="11" t="str">
        <f>+HYPERLINK("http://trademark.i-assist.jp/data/china/image_1928th/82159025.pdf","82159025")</f>
        <v>82159025</v>
      </c>
      <c r="F290" s="12" t="s">
        <v>890</v>
      </c>
      <c r="G290" s="12" t="s">
        <v>891</v>
      </c>
      <c r="H290" s="12" t="s">
        <v>892</v>
      </c>
      <c r="I290" s="10">
        <v>45621</v>
      </c>
    </row>
    <row r="291" spans="1:9" x14ac:dyDescent="0.15">
      <c r="A291" s="9">
        <v>290</v>
      </c>
      <c r="B291" s="9" t="s">
        <v>9</v>
      </c>
      <c r="C291" s="9">
        <v>1928</v>
      </c>
      <c r="D291" s="10">
        <v>45736</v>
      </c>
      <c r="E291" s="11" t="str">
        <f>+HYPERLINK("http://trademark.i-assist.jp/data/china/image_1928th/82161154.pdf","82161154")</f>
        <v>82161154</v>
      </c>
      <c r="F291" s="9" t="s">
        <v>893</v>
      </c>
      <c r="G291" s="9" t="s">
        <v>894</v>
      </c>
      <c r="H291" s="9" t="s">
        <v>895</v>
      </c>
      <c r="I291" s="10">
        <v>45621</v>
      </c>
    </row>
    <row r="292" spans="1:9" x14ac:dyDescent="0.15">
      <c r="A292" s="9">
        <v>291</v>
      </c>
      <c r="B292" s="9" t="s">
        <v>9</v>
      </c>
      <c r="C292" s="9">
        <v>1928</v>
      </c>
      <c r="D292" s="10">
        <v>45736</v>
      </c>
      <c r="E292" s="11" t="str">
        <f>+HYPERLINK("http://trademark.i-assist.jp/data/china/image_1928th/82163391.pdf","82163391")</f>
        <v>82163391</v>
      </c>
      <c r="F292" s="9" t="s">
        <v>896</v>
      </c>
      <c r="G292" s="12" t="s">
        <v>897</v>
      </c>
      <c r="H292" s="9" t="s">
        <v>898</v>
      </c>
      <c r="I292" s="10">
        <v>45621</v>
      </c>
    </row>
    <row r="293" spans="1:9" x14ac:dyDescent="0.15">
      <c r="A293" s="9">
        <v>292</v>
      </c>
      <c r="B293" s="9" t="s">
        <v>9</v>
      </c>
      <c r="C293" s="9">
        <v>1928</v>
      </c>
      <c r="D293" s="10">
        <v>45736</v>
      </c>
      <c r="E293" s="11" t="str">
        <f>+HYPERLINK("http://trademark.i-assist.jp/data/china/image_1928th/82165752.pdf","82165752")</f>
        <v>82165752</v>
      </c>
      <c r="F293" s="9" t="s">
        <v>899</v>
      </c>
      <c r="G293" s="9" t="s">
        <v>900</v>
      </c>
      <c r="H293" s="9" t="s">
        <v>901</v>
      </c>
      <c r="I293" s="10">
        <v>45621</v>
      </c>
    </row>
    <row r="294" spans="1:9" x14ac:dyDescent="0.15">
      <c r="A294" s="9">
        <v>293</v>
      </c>
      <c r="B294" s="9" t="s">
        <v>9</v>
      </c>
      <c r="C294" s="9">
        <v>1928</v>
      </c>
      <c r="D294" s="10">
        <v>45736</v>
      </c>
      <c r="E294" s="11" t="str">
        <f>+HYPERLINK("http://trademark.i-assist.jp/data/china/image_1928th/82166051.pdf","82166051")</f>
        <v>82166051</v>
      </c>
      <c r="F294" s="9" t="s">
        <v>902</v>
      </c>
      <c r="G294" s="12" t="s">
        <v>903</v>
      </c>
      <c r="H294" s="9" t="s">
        <v>904</v>
      </c>
      <c r="I294" s="10">
        <v>45621</v>
      </c>
    </row>
    <row r="295" spans="1:9" x14ac:dyDescent="0.15">
      <c r="A295" s="9">
        <v>294</v>
      </c>
      <c r="B295" s="9" t="s">
        <v>9</v>
      </c>
      <c r="C295" s="9">
        <v>1928</v>
      </c>
      <c r="D295" s="10">
        <v>45736</v>
      </c>
      <c r="E295" s="11" t="str">
        <f>+HYPERLINK("http://trademark.i-assist.jp/data/china/image_1928th/82167619.pdf","82167619")</f>
        <v>82167619</v>
      </c>
      <c r="F295" s="9" t="s">
        <v>905</v>
      </c>
      <c r="G295" s="9" t="s">
        <v>906</v>
      </c>
      <c r="H295" s="9" t="s">
        <v>907</v>
      </c>
      <c r="I295" s="10">
        <v>45621</v>
      </c>
    </row>
    <row r="296" spans="1:9" x14ac:dyDescent="0.15">
      <c r="A296" s="9">
        <v>295</v>
      </c>
      <c r="B296" s="9" t="s">
        <v>9</v>
      </c>
      <c r="C296" s="9">
        <v>1928</v>
      </c>
      <c r="D296" s="10">
        <v>45736</v>
      </c>
      <c r="E296" s="11" t="str">
        <f>+HYPERLINK("http://trademark.i-assist.jp/data/china/image_1928th/82167948.pdf","82167948")</f>
        <v>82167948</v>
      </c>
      <c r="F296" s="9" t="s">
        <v>908</v>
      </c>
      <c r="G296" s="12" t="s">
        <v>891</v>
      </c>
      <c r="H296" s="9" t="s">
        <v>909</v>
      </c>
      <c r="I296" s="10">
        <v>45621</v>
      </c>
    </row>
    <row r="297" spans="1:9" x14ac:dyDescent="0.15">
      <c r="A297" s="9">
        <v>296</v>
      </c>
      <c r="B297" s="9" t="s">
        <v>9</v>
      </c>
      <c r="C297" s="9">
        <v>1928</v>
      </c>
      <c r="D297" s="10">
        <v>45736</v>
      </c>
      <c r="E297" s="11" t="str">
        <f>+HYPERLINK("http://trademark.i-assist.jp/data/china/image_1928th/82169670.pdf","82169670")</f>
        <v>82169670</v>
      </c>
      <c r="F297" s="9" t="s">
        <v>910</v>
      </c>
      <c r="G297" s="9" t="s">
        <v>911</v>
      </c>
      <c r="H297" s="9" t="s">
        <v>912</v>
      </c>
      <c r="I297" s="10">
        <v>45621</v>
      </c>
    </row>
    <row r="298" spans="1:9" x14ac:dyDescent="0.15">
      <c r="A298" s="9">
        <v>297</v>
      </c>
      <c r="B298" s="9" t="s">
        <v>9</v>
      </c>
      <c r="C298" s="9">
        <v>1928</v>
      </c>
      <c r="D298" s="10">
        <v>45736</v>
      </c>
      <c r="E298" s="11" t="str">
        <f>+HYPERLINK("http://trademark.i-assist.jp/data/china/image_1928th/82172508.pdf","82172508")</f>
        <v>82172508</v>
      </c>
      <c r="F298" s="9" t="s">
        <v>913</v>
      </c>
      <c r="G298" s="12" t="s">
        <v>914</v>
      </c>
      <c r="H298" s="9" t="s">
        <v>915</v>
      </c>
      <c r="I298" s="10">
        <v>45621</v>
      </c>
    </row>
    <row r="299" spans="1:9" x14ac:dyDescent="0.15">
      <c r="A299" s="9">
        <v>298</v>
      </c>
      <c r="B299" s="9" t="s">
        <v>9</v>
      </c>
      <c r="C299" s="9">
        <v>1928</v>
      </c>
      <c r="D299" s="10">
        <v>45736</v>
      </c>
      <c r="E299" s="11" t="str">
        <f>+HYPERLINK("http://trademark.i-assist.jp/data/china/image_1928th/82178916.pdf","82178916")</f>
        <v>82178916</v>
      </c>
      <c r="F299" s="9" t="s">
        <v>916</v>
      </c>
      <c r="G299" s="9" t="s">
        <v>917</v>
      </c>
      <c r="H299" s="9" t="s">
        <v>918</v>
      </c>
      <c r="I299" s="10">
        <v>45622</v>
      </c>
    </row>
    <row r="300" spans="1:9" x14ac:dyDescent="0.15">
      <c r="A300" s="9">
        <v>299</v>
      </c>
      <c r="B300" s="9" t="s">
        <v>9</v>
      </c>
      <c r="C300" s="9">
        <v>1928</v>
      </c>
      <c r="D300" s="10">
        <v>45736</v>
      </c>
      <c r="E300" s="11" t="str">
        <f>+HYPERLINK("http://trademark.i-assist.jp/data/china/image_1928th/82179755.pdf","82179755")</f>
        <v>82179755</v>
      </c>
      <c r="F300" s="9" t="s">
        <v>919</v>
      </c>
      <c r="G300" s="12" t="s">
        <v>920</v>
      </c>
      <c r="H300" s="9" t="s">
        <v>921</v>
      </c>
      <c r="I300" s="10">
        <v>45622</v>
      </c>
    </row>
    <row r="301" spans="1:9" x14ac:dyDescent="0.15">
      <c r="A301" s="9">
        <v>300</v>
      </c>
      <c r="B301" s="9" t="s">
        <v>9</v>
      </c>
      <c r="C301" s="9">
        <v>1928</v>
      </c>
      <c r="D301" s="10">
        <v>45736</v>
      </c>
      <c r="E301" s="11" t="str">
        <f>+HYPERLINK("http://trademark.i-assist.jp/data/china/image_1928th/82181716.pdf","82181716")</f>
        <v>82181716</v>
      </c>
      <c r="F301" s="9" t="s">
        <v>922</v>
      </c>
      <c r="G301" s="9" t="s">
        <v>923</v>
      </c>
      <c r="H301" s="9" t="s">
        <v>924</v>
      </c>
      <c r="I301" s="10">
        <v>45622</v>
      </c>
    </row>
    <row r="302" spans="1:9" x14ac:dyDescent="0.15">
      <c r="A302" s="9">
        <v>301</v>
      </c>
      <c r="B302" s="9" t="s">
        <v>9</v>
      </c>
      <c r="C302" s="9">
        <v>1928</v>
      </c>
      <c r="D302" s="10">
        <v>45736</v>
      </c>
      <c r="E302" s="11" t="str">
        <f>+HYPERLINK("http://trademark.i-assist.jp/data/china/image_1928th/82181931.pdf","82181931")</f>
        <v>82181931</v>
      </c>
      <c r="F302" s="9" t="s">
        <v>925</v>
      </c>
      <c r="G302" s="12" t="s">
        <v>926</v>
      </c>
      <c r="H302" s="9" t="s">
        <v>927</v>
      </c>
      <c r="I302" s="10">
        <v>45622</v>
      </c>
    </row>
    <row r="303" spans="1:9" x14ac:dyDescent="0.15">
      <c r="A303" s="9">
        <v>302</v>
      </c>
      <c r="B303" s="9" t="s">
        <v>9</v>
      </c>
      <c r="C303" s="9">
        <v>1928</v>
      </c>
      <c r="D303" s="10">
        <v>45736</v>
      </c>
      <c r="E303" s="11" t="str">
        <f>+HYPERLINK("http://trademark.i-assist.jp/data/china/image_1928th/82185997.pdf","82185997")</f>
        <v>82185997</v>
      </c>
      <c r="F303" s="12" t="s">
        <v>928</v>
      </c>
      <c r="G303" s="12" t="s">
        <v>929</v>
      </c>
      <c r="H303" s="9" t="s">
        <v>930</v>
      </c>
      <c r="I303" s="10">
        <v>45622</v>
      </c>
    </row>
    <row r="304" spans="1:9" x14ac:dyDescent="0.15">
      <c r="A304" s="9">
        <v>303</v>
      </c>
      <c r="B304" s="9" t="s">
        <v>9</v>
      </c>
      <c r="C304" s="9">
        <v>1928</v>
      </c>
      <c r="D304" s="10">
        <v>45736</v>
      </c>
      <c r="E304" s="11" t="str">
        <f>+HYPERLINK("http://trademark.i-assist.jp/data/china/image_1928th/82187431.pdf","82187431")</f>
        <v>82187431</v>
      </c>
      <c r="F304" s="9" t="s">
        <v>931</v>
      </c>
      <c r="G304" s="9" t="s">
        <v>932</v>
      </c>
      <c r="H304" s="12" t="s">
        <v>933</v>
      </c>
      <c r="I304" s="10">
        <v>45622</v>
      </c>
    </row>
    <row r="305" spans="1:9" x14ac:dyDescent="0.15">
      <c r="A305" s="9">
        <v>304</v>
      </c>
      <c r="B305" s="9" t="s">
        <v>9</v>
      </c>
      <c r="C305" s="9">
        <v>1928</v>
      </c>
      <c r="D305" s="10">
        <v>45736</v>
      </c>
      <c r="E305" s="11" t="str">
        <f>+HYPERLINK("http://trademark.i-assist.jp/data/china/image_1928th/82188547.pdf","82188547")</f>
        <v>82188547</v>
      </c>
      <c r="F305" s="12" t="s">
        <v>18</v>
      </c>
      <c r="G305" s="12" t="s">
        <v>934</v>
      </c>
      <c r="H305" s="9" t="s">
        <v>935</v>
      </c>
      <c r="I305" s="10">
        <v>45622</v>
      </c>
    </row>
    <row r="306" spans="1:9" x14ac:dyDescent="0.15">
      <c r="A306" s="9">
        <v>305</v>
      </c>
      <c r="B306" s="9" t="s">
        <v>9</v>
      </c>
      <c r="C306" s="9">
        <v>1928</v>
      </c>
      <c r="D306" s="10">
        <v>45736</v>
      </c>
      <c r="E306" s="11" t="str">
        <f>+HYPERLINK("http://trademark.i-assist.jp/data/china/image_1928th/82190605.pdf","82190605")</f>
        <v>82190605</v>
      </c>
      <c r="F306" s="9" t="s">
        <v>936</v>
      </c>
      <c r="G306" s="9" t="s">
        <v>937</v>
      </c>
      <c r="H306" s="9" t="s">
        <v>938</v>
      </c>
      <c r="I306" s="10">
        <v>45622</v>
      </c>
    </row>
    <row r="307" spans="1:9" x14ac:dyDescent="0.15">
      <c r="A307" s="9">
        <v>306</v>
      </c>
      <c r="B307" s="9" t="s">
        <v>9</v>
      </c>
      <c r="C307" s="9">
        <v>1928</v>
      </c>
      <c r="D307" s="10">
        <v>45736</v>
      </c>
      <c r="E307" s="11" t="str">
        <f>+HYPERLINK("http://trademark.i-assist.jp/data/china/image_1928th/82191911.pdf","82191911")</f>
        <v>82191911</v>
      </c>
      <c r="F307" s="9" t="s">
        <v>939</v>
      </c>
      <c r="G307" s="9" t="s">
        <v>940</v>
      </c>
      <c r="H307" s="9" t="s">
        <v>941</v>
      </c>
      <c r="I307" s="10">
        <v>45622</v>
      </c>
    </row>
    <row r="308" spans="1:9" x14ac:dyDescent="0.15">
      <c r="A308" s="9">
        <v>307</v>
      </c>
      <c r="B308" s="9" t="s">
        <v>9</v>
      </c>
      <c r="C308" s="9">
        <v>1928</v>
      </c>
      <c r="D308" s="10">
        <v>45736</v>
      </c>
      <c r="E308" s="11" t="str">
        <f>+HYPERLINK("http://trademark.i-assist.jp/data/china/image_1928th/82198550.pdf","82198550")</f>
        <v>82198550</v>
      </c>
      <c r="F308" s="9" t="s">
        <v>942</v>
      </c>
      <c r="G308" s="12" t="s">
        <v>943</v>
      </c>
      <c r="H308" s="9" t="s">
        <v>944</v>
      </c>
      <c r="I308" s="10">
        <v>45622</v>
      </c>
    </row>
    <row r="309" spans="1:9" x14ac:dyDescent="0.15">
      <c r="A309" s="9">
        <v>308</v>
      </c>
      <c r="B309" s="9" t="s">
        <v>9</v>
      </c>
      <c r="C309" s="9">
        <v>1928</v>
      </c>
      <c r="D309" s="10">
        <v>45736</v>
      </c>
      <c r="E309" s="11" t="str">
        <f>+HYPERLINK("http://trademark.i-assist.jp/data/china/image_1928th/82198962.pdf","82198962")</f>
        <v>82198962</v>
      </c>
      <c r="F309" s="12" t="s">
        <v>18</v>
      </c>
      <c r="G309" s="12" t="s">
        <v>945</v>
      </c>
      <c r="H309" s="9" t="s">
        <v>946</v>
      </c>
      <c r="I309" s="10">
        <v>45622</v>
      </c>
    </row>
    <row r="310" spans="1:9" x14ac:dyDescent="0.15">
      <c r="A310" s="9">
        <v>309</v>
      </c>
      <c r="B310" s="9" t="s">
        <v>9</v>
      </c>
      <c r="C310" s="9">
        <v>1928</v>
      </c>
      <c r="D310" s="10">
        <v>45736</v>
      </c>
      <c r="E310" s="11" t="str">
        <f>+HYPERLINK("http://trademark.i-assist.jp/data/china/image_1928th/82199526.pdf","82199526")</f>
        <v>82199526</v>
      </c>
      <c r="F310" s="9" t="s">
        <v>947</v>
      </c>
      <c r="G310" s="9" t="s">
        <v>948</v>
      </c>
      <c r="H310" s="9" t="s">
        <v>949</v>
      </c>
      <c r="I310" s="10">
        <v>45622</v>
      </c>
    </row>
    <row r="311" spans="1:9" x14ac:dyDescent="0.15">
      <c r="A311" s="9">
        <v>310</v>
      </c>
      <c r="B311" s="9" t="s">
        <v>9</v>
      </c>
      <c r="C311" s="9">
        <v>1928</v>
      </c>
      <c r="D311" s="10">
        <v>45736</v>
      </c>
      <c r="E311" s="11" t="str">
        <f>+HYPERLINK("http://trademark.i-assist.jp/data/china/image_1928th/82199533.pdf","82199533")</f>
        <v>82199533</v>
      </c>
      <c r="F311" s="9" t="s">
        <v>950</v>
      </c>
      <c r="G311" s="9" t="s">
        <v>948</v>
      </c>
      <c r="H311" s="9" t="s">
        <v>951</v>
      </c>
      <c r="I311" s="10">
        <v>45622</v>
      </c>
    </row>
    <row r="312" spans="1:9" x14ac:dyDescent="0.15">
      <c r="A312" s="9">
        <v>311</v>
      </c>
      <c r="B312" s="9" t="s">
        <v>9</v>
      </c>
      <c r="C312" s="9">
        <v>1928</v>
      </c>
      <c r="D312" s="10">
        <v>45736</v>
      </c>
      <c r="E312" s="11" t="str">
        <f>+HYPERLINK("http://trademark.i-assist.jp/data/china/image_1928th/82205260.pdf","82205260")</f>
        <v>82205260</v>
      </c>
      <c r="F312" s="9" t="s">
        <v>952</v>
      </c>
      <c r="G312" s="9" t="s">
        <v>953</v>
      </c>
      <c r="H312" s="9" t="s">
        <v>954</v>
      </c>
      <c r="I312" s="10">
        <v>45623</v>
      </c>
    </row>
    <row r="313" spans="1:9" x14ac:dyDescent="0.15">
      <c r="A313" s="9">
        <v>312</v>
      </c>
      <c r="B313" s="9" t="s">
        <v>9</v>
      </c>
      <c r="C313" s="9">
        <v>1928</v>
      </c>
      <c r="D313" s="10">
        <v>45736</v>
      </c>
      <c r="E313" s="11" t="str">
        <f>+HYPERLINK("http://trademark.i-assist.jp/data/china/image_1928th/82205400.pdf","82205400")</f>
        <v>82205400</v>
      </c>
      <c r="F313" s="9" t="s">
        <v>955</v>
      </c>
      <c r="G313" s="9" t="s">
        <v>62</v>
      </c>
      <c r="H313" s="9" t="s">
        <v>956</v>
      </c>
      <c r="I313" s="10">
        <v>45623</v>
      </c>
    </row>
    <row r="314" spans="1:9" x14ac:dyDescent="0.15">
      <c r="A314" s="9">
        <v>313</v>
      </c>
      <c r="B314" s="9" t="s">
        <v>9</v>
      </c>
      <c r="C314" s="9">
        <v>1928</v>
      </c>
      <c r="D314" s="10">
        <v>45736</v>
      </c>
      <c r="E314" s="11" t="str">
        <f>+HYPERLINK("http://trademark.i-assist.jp/data/china/image_1928th/82207551.pdf","82207551")</f>
        <v>82207551</v>
      </c>
      <c r="F314" s="9" t="s">
        <v>957</v>
      </c>
      <c r="G314" s="9" t="s">
        <v>958</v>
      </c>
      <c r="H314" s="9" t="s">
        <v>959</v>
      </c>
      <c r="I314" s="10">
        <v>45623</v>
      </c>
    </row>
    <row r="315" spans="1:9" x14ac:dyDescent="0.15">
      <c r="A315" s="9">
        <v>314</v>
      </c>
      <c r="B315" s="9" t="s">
        <v>9</v>
      </c>
      <c r="C315" s="9">
        <v>1928</v>
      </c>
      <c r="D315" s="10">
        <v>45736</v>
      </c>
      <c r="E315" s="11" t="str">
        <f>+HYPERLINK("http://trademark.i-assist.jp/data/china/image_1928th/82209665.pdf","82209665")</f>
        <v>82209665</v>
      </c>
      <c r="F315" s="9" t="s">
        <v>960</v>
      </c>
      <c r="G315" s="9" t="s">
        <v>17</v>
      </c>
      <c r="H315" s="9" t="s">
        <v>961</v>
      </c>
      <c r="I315" s="10">
        <v>45623</v>
      </c>
    </row>
    <row r="316" spans="1:9" x14ac:dyDescent="0.15">
      <c r="A316" s="9">
        <v>315</v>
      </c>
      <c r="B316" s="9" t="s">
        <v>9</v>
      </c>
      <c r="C316" s="9">
        <v>1928</v>
      </c>
      <c r="D316" s="10">
        <v>45736</v>
      </c>
      <c r="E316" s="11" t="str">
        <f>+HYPERLINK("http://trademark.i-assist.jp/data/china/image_1928th/82210038.pdf","82210038")</f>
        <v>82210038</v>
      </c>
      <c r="F316" s="12" t="s">
        <v>962</v>
      </c>
      <c r="G316" s="9" t="s">
        <v>963</v>
      </c>
      <c r="H316" s="9" t="s">
        <v>964</v>
      </c>
      <c r="I316" s="10">
        <v>45623</v>
      </c>
    </row>
    <row r="317" spans="1:9" x14ac:dyDescent="0.15">
      <c r="A317" s="9">
        <v>316</v>
      </c>
      <c r="B317" s="9" t="s">
        <v>9</v>
      </c>
      <c r="C317" s="9">
        <v>1928</v>
      </c>
      <c r="D317" s="10">
        <v>45736</v>
      </c>
      <c r="E317" s="11" t="str">
        <f>+HYPERLINK("http://trademark.i-assist.jp/data/china/image_1928th/82212773.pdf","82212773")</f>
        <v>82212773</v>
      </c>
      <c r="F317" s="9" t="s">
        <v>965</v>
      </c>
      <c r="G317" s="9" t="s">
        <v>966</v>
      </c>
      <c r="H317" s="9" t="s">
        <v>967</v>
      </c>
      <c r="I317" s="10">
        <v>45623</v>
      </c>
    </row>
    <row r="318" spans="1:9" x14ac:dyDescent="0.15">
      <c r="A318" s="9">
        <v>317</v>
      </c>
      <c r="B318" s="9" t="s">
        <v>9</v>
      </c>
      <c r="C318" s="9">
        <v>1928</v>
      </c>
      <c r="D318" s="10">
        <v>45736</v>
      </c>
      <c r="E318" s="11" t="str">
        <f>+HYPERLINK("http://trademark.i-assist.jp/data/china/image_1928th/82213540.pdf","82213540")</f>
        <v>82213540</v>
      </c>
      <c r="F318" s="9" t="s">
        <v>968</v>
      </c>
      <c r="G318" s="9" t="s">
        <v>969</v>
      </c>
      <c r="H318" s="9" t="s">
        <v>970</v>
      </c>
      <c r="I318" s="10">
        <v>45623</v>
      </c>
    </row>
    <row r="319" spans="1:9" x14ac:dyDescent="0.15">
      <c r="A319" s="9">
        <v>318</v>
      </c>
      <c r="B319" s="9" t="s">
        <v>9</v>
      </c>
      <c r="C319" s="9">
        <v>1928</v>
      </c>
      <c r="D319" s="10">
        <v>45736</v>
      </c>
      <c r="E319" s="11" t="str">
        <f>+HYPERLINK("http://trademark.i-assist.jp/data/china/image_1928th/82214501.pdf","82214501")</f>
        <v>82214501</v>
      </c>
      <c r="F319" s="9" t="s">
        <v>971</v>
      </c>
      <c r="G319" s="12" t="s">
        <v>972</v>
      </c>
      <c r="H319" s="9" t="s">
        <v>973</v>
      </c>
      <c r="I319" s="10">
        <v>45623</v>
      </c>
    </row>
    <row r="320" spans="1:9" x14ac:dyDescent="0.15">
      <c r="A320" s="9">
        <v>319</v>
      </c>
      <c r="B320" s="9" t="s">
        <v>9</v>
      </c>
      <c r="C320" s="9">
        <v>1928</v>
      </c>
      <c r="D320" s="10">
        <v>45736</v>
      </c>
      <c r="E320" s="11" t="str">
        <f>+HYPERLINK("http://trademark.i-assist.jp/data/china/image_1928th/82217270.pdf","82217270")</f>
        <v>82217270</v>
      </c>
      <c r="F320" s="12" t="s">
        <v>18</v>
      </c>
      <c r="G320" s="9" t="s">
        <v>974</v>
      </c>
      <c r="H320" s="9" t="s">
        <v>975</v>
      </c>
      <c r="I320" s="10">
        <v>45623</v>
      </c>
    </row>
    <row r="321" spans="1:9" x14ac:dyDescent="0.15">
      <c r="A321" s="9">
        <v>320</v>
      </c>
      <c r="B321" s="9" t="s">
        <v>9</v>
      </c>
      <c r="C321" s="9">
        <v>1928</v>
      </c>
      <c r="D321" s="10">
        <v>45736</v>
      </c>
      <c r="E321" s="11" t="str">
        <f>+HYPERLINK("http://trademark.i-assist.jp/data/china/image_1928th/82221424.pdf","82221424")</f>
        <v>82221424</v>
      </c>
      <c r="F321" s="9" t="s">
        <v>976</v>
      </c>
      <c r="G321" s="9" t="s">
        <v>62</v>
      </c>
      <c r="H321" s="9" t="s">
        <v>977</v>
      </c>
      <c r="I321" s="10">
        <v>45623</v>
      </c>
    </row>
    <row r="322" spans="1:9" x14ac:dyDescent="0.15">
      <c r="A322" s="9">
        <v>321</v>
      </c>
      <c r="B322" s="9" t="s">
        <v>9</v>
      </c>
      <c r="C322" s="9">
        <v>1928</v>
      </c>
      <c r="D322" s="10">
        <v>45736</v>
      </c>
      <c r="E322" s="11" t="str">
        <f>+HYPERLINK("http://trademark.i-assist.jp/data/china/image_1928th/82221519.pdf","82221519")</f>
        <v>82221519</v>
      </c>
      <c r="F322" s="9" t="s">
        <v>978</v>
      </c>
      <c r="G322" s="9" t="s">
        <v>62</v>
      </c>
      <c r="H322" s="9" t="s">
        <v>979</v>
      </c>
      <c r="I322" s="10">
        <v>45623</v>
      </c>
    </row>
    <row r="323" spans="1:9" x14ac:dyDescent="0.15">
      <c r="A323" s="9">
        <v>322</v>
      </c>
      <c r="B323" s="9" t="s">
        <v>9</v>
      </c>
      <c r="C323" s="9">
        <v>1928</v>
      </c>
      <c r="D323" s="10">
        <v>45736</v>
      </c>
      <c r="E323" s="11" t="str">
        <f>+HYPERLINK("http://trademark.i-assist.jp/data/china/image_1928th/82223409.pdf","82223409")</f>
        <v>82223409</v>
      </c>
      <c r="F323" s="9" t="s">
        <v>980</v>
      </c>
      <c r="G323" s="12" t="s">
        <v>972</v>
      </c>
      <c r="H323" s="9" t="s">
        <v>981</v>
      </c>
      <c r="I323" s="10">
        <v>45623</v>
      </c>
    </row>
    <row r="324" spans="1:9" x14ac:dyDescent="0.15">
      <c r="A324" s="9">
        <v>323</v>
      </c>
      <c r="B324" s="9" t="s">
        <v>9</v>
      </c>
      <c r="C324" s="9">
        <v>1928</v>
      </c>
      <c r="D324" s="10">
        <v>45736</v>
      </c>
      <c r="E324" s="11" t="str">
        <f>+HYPERLINK("http://trademark.i-assist.jp/data/china/image_1928th/82224015.pdf","82224015")</f>
        <v>82224015</v>
      </c>
      <c r="F324" s="12" t="s">
        <v>18</v>
      </c>
      <c r="G324" s="12" t="s">
        <v>982</v>
      </c>
      <c r="H324" s="9" t="s">
        <v>983</v>
      </c>
      <c r="I324" s="10">
        <v>45623</v>
      </c>
    </row>
    <row r="325" spans="1:9" x14ac:dyDescent="0.15">
      <c r="A325" s="9">
        <v>324</v>
      </c>
      <c r="B325" s="9" t="s">
        <v>9</v>
      </c>
      <c r="C325" s="9">
        <v>1928</v>
      </c>
      <c r="D325" s="10">
        <v>45736</v>
      </c>
      <c r="E325" s="11" t="str">
        <f>+HYPERLINK("http://trademark.i-assist.jp/data/china/image_1928th/82232251.pdf","82232251")</f>
        <v>82232251</v>
      </c>
      <c r="F325" s="9" t="s">
        <v>984</v>
      </c>
      <c r="G325" s="13" t="s">
        <v>985</v>
      </c>
      <c r="H325" s="9" t="s">
        <v>986</v>
      </c>
      <c r="I325" s="10">
        <v>45624</v>
      </c>
    </row>
    <row r="326" spans="1:9" x14ac:dyDescent="0.15">
      <c r="A326" s="9">
        <v>325</v>
      </c>
      <c r="B326" s="9" t="s">
        <v>9</v>
      </c>
      <c r="C326" s="9">
        <v>1928</v>
      </c>
      <c r="D326" s="10">
        <v>45736</v>
      </c>
      <c r="E326" s="11" t="str">
        <f>+HYPERLINK("http://trademark.i-assist.jp/data/china/image_1928th/82234437.pdf","82234437")</f>
        <v>82234437</v>
      </c>
      <c r="F326" s="9" t="s">
        <v>987</v>
      </c>
      <c r="G326" s="9" t="s">
        <v>988</v>
      </c>
      <c r="H326" s="9" t="s">
        <v>989</v>
      </c>
      <c r="I326" s="10">
        <v>45624</v>
      </c>
    </row>
    <row r="327" spans="1:9" x14ac:dyDescent="0.15">
      <c r="A327" s="9">
        <v>326</v>
      </c>
      <c r="B327" s="9" t="s">
        <v>9</v>
      </c>
      <c r="C327" s="9">
        <v>1928</v>
      </c>
      <c r="D327" s="10">
        <v>45736</v>
      </c>
      <c r="E327" s="11" t="str">
        <f>+HYPERLINK("http://trademark.i-assist.jp/data/china/image_1928th/82235159.pdf","82235159")</f>
        <v>82235159</v>
      </c>
      <c r="F327" s="9" t="s">
        <v>990</v>
      </c>
      <c r="G327" s="9" t="s">
        <v>28</v>
      </c>
      <c r="H327" s="9" t="s">
        <v>991</v>
      </c>
      <c r="I327" s="10">
        <v>45624</v>
      </c>
    </row>
    <row r="328" spans="1:9" x14ac:dyDescent="0.15">
      <c r="A328" s="9">
        <v>327</v>
      </c>
      <c r="B328" s="9" t="s">
        <v>9</v>
      </c>
      <c r="C328" s="9">
        <v>1928</v>
      </c>
      <c r="D328" s="10">
        <v>45736</v>
      </c>
      <c r="E328" s="11" t="str">
        <f>+HYPERLINK("http://trademark.i-assist.jp/data/china/image_1928th/82236473.pdf","82236473")</f>
        <v>82236473</v>
      </c>
      <c r="F328" s="9" t="s">
        <v>992</v>
      </c>
      <c r="G328" s="9" t="s">
        <v>993</v>
      </c>
      <c r="H328" s="9" t="s">
        <v>994</v>
      </c>
      <c r="I328" s="10">
        <v>45624</v>
      </c>
    </row>
    <row r="329" spans="1:9" x14ac:dyDescent="0.15">
      <c r="A329" s="9">
        <v>328</v>
      </c>
      <c r="B329" s="9" t="s">
        <v>9</v>
      </c>
      <c r="C329" s="9">
        <v>1928</v>
      </c>
      <c r="D329" s="10">
        <v>45736</v>
      </c>
      <c r="E329" s="11" t="str">
        <f>+HYPERLINK("http://trademark.i-assist.jp/data/china/image_1928th/82236480.pdf","82236480")</f>
        <v>82236480</v>
      </c>
      <c r="F329" s="9" t="s">
        <v>995</v>
      </c>
      <c r="G329" s="9" t="s">
        <v>993</v>
      </c>
      <c r="H329" s="9" t="s">
        <v>996</v>
      </c>
      <c r="I329" s="10">
        <v>45624</v>
      </c>
    </row>
    <row r="330" spans="1:9" x14ac:dyDescent="0.15">
      <c r="A330" s="9">
        <v>329</v>
      </c>
      <c r="B330" s="9" t="s">
        <v>9</v>
      </c>
      <c r="C330" s="9">
        <v>1928</v>
      </c>
      <c r="D330" s="10">
        <v>45736</v>
      </c>
      <c r="E330" s="11" t="str">
        <f>+HYPERLINK("http://trademark.i-assist.jp/data/china/image_1928th/82237115.pdf","82237115")</f>
        <v>82237115</v>
      </c>
      <c r="F330" s="9" t="s">
        <v>997</v>
      </c>
      <c r="G330" s="9" t="s">
        <v>998</v>
      </c>
      <c r="H330" s="9" t="s">
        <v>999</v>
      </c>
      <c r="I330" s="10">
        <v>45624</v>
      </c>
    </row>
    <row r="331" spans="1:9" x14ac:dyDescent="0.15">
      <c r="A331" s="9">
        <v>330</v>
      </c>
      <c r="B331" s="9" t="s">
        <v>9</v>
      </c>
      <c r="C331" s="9">
        <v>1928</v>
      </c>
      <c r="D331" s="10">
        <v>45736</v>
      </c>
      <c r="E331" s="11" t="str">
        <f>+HYPERLINK("http://trademark.i-assist.jp/data/china/image_1928th/82237736.pdf","82237736")</f>
        <v>82237736</v>
      </c>
      <c r="F331" s="12" t="s">
        <v>18</v>
      </c>
      <c r="G331" s="9" t="s">
        <v>1000</v>
      </c>
      <c r="H331" s="9" t="s">
        <v>1001</v>
      </c>
      <c r="I331" s="10">
        <v>45624</v>
      </c>
    </row>
    <row r="332" spans="1:9" x14ac:dyDescent="0.15">
      <c r="A332" s="9">
        <v>331</v>
      </c>
      <c r="B332" s="9" t="s">
        <v>9</v>
      </c>
      <c r="C332" s="9">
        <v>1928</v>
      </c>
      <c r="D332" s="10">
        <v>45736</v>
      </c>
      <c r="E332" s="11" t="str">
        <f>+HYPERLINK("http://trademark.i-assist.jp/data/china/image_1928th/82239296.pdf","82239296")</f>
        <v>82239296</v>
      </c>
      <c r="F332" s="9" t="s">
        <v>1002</v>
      </c>
      <c r="G332" s="12" t="s">
        <v>1003</v>
      </c>
      <c r="H332" s="9" t="s">
        <v>1004</v>
      </c>
      <c r="I332" s="10">
        <v>45624</v>
      </c>
    </row>
    <row r="333" spans="1:9" x14ac:dyDescent="0.15">
      <c r="A333" s="9">
        <v>332</v>
      </c>
      <c r="B333" s="9" t="s">
        <v>9</v>
      </c>
      <c r="C333" s="9">
        <v>1928</v>
      </c>
      <c r="D333" s="10">
        <v>45736</v>
      </c>
      <c r="E333" s="11" t="str">
        <f>+HYPERLINK("http://trademark.i-assist.jp/data/china/image_1928th/82246247.pdf","82246247")</f>
        <v>82246247</v>
      </c>
      <c r="F333" s="12" t="s">
        <v>1005</v>
      </c>
      <c r="G333" s="9" t="s">
        <v>1000</v>
      </c>
      <c r="H333" s="9" t="s">
        <v>1006</v>
      </c>
      <c r="I333" s="10">
        <v>45624</v>
      </c>
    </row>
    <row r="334" spans="1:9" x14ac:dyDescent="0.15">
      <c r="A334" s="9">
        <v>333</v>
      </c>
      <c r="B334" s="9" t="s">
        <v>9</v>
      </c>
      <c r="C334" s="9">
        <v>1928</v>
      </c>
      <c r="D334" s="10">
        <v>45736</v>
      </c>
      <c r="E334" s="11" t="str">
        <f>+HYPERLINK("http://trademark.i-assist.jp/data/china/image_1928th/82246667.pdf","82246667")</f>
        <v>82246667</v>
      </c>
      <c r="F334" s="9" t="s">
        <v>1007</v>
      </c>
      <c r="G334" s="9" t="s">
        <v>1008</v>
      </c>
      <c r="H334" s="9" t="s">
        <v>1009</v>
      </c>
      <c r="I334" s="10">
        <v>45624</v>
      </c>
    </row>
    <row r="335" spans="1:9" x14ac:dyDescent="0.15">
      <c r="A335" s="9">
        <v>334</v>
      </c>
      <c r="B335" s="9" t="s">
        <v>9</v>
      </c>
      <c r="C335" s="9">
        <v>1928</v>
      </c>
      <c r="D335" s="10">
        <v>45736</v>
      </c>
      <c r="E335" s="11" t="str">
        <f>+HYPERLINK("http://trademark.i-assist.jp/data/china/image_1928th/82247035.pdf","82247035")</f>
        <v>82247035</v>
      </c>
      <c r="F335" s="12" t="s">
        <v>1010</v>
      </c>
      <c r="G335" s="9" t="s">
        <v>1011</v>
      </c>
      <c r="H335" s="9" t="s">
        <v>1012</v>
      </c>
      <c r="I335" s="10">
        <v>45624</v>
      </c>
    </row>
    <row r="336" spans="1:9" x14ac:dyDescent="0.15">
      <c r="A336" s="9">
        <v>335</v>
      </c>
      <c r="B336" s="9" t="s">
        <v>9</v>
      </c>
      <c r="C336" s="9">
        <v>1928</v>
      </c>
      <c r="D336" s="10">
        <v>45736</v>
      </c>
      <c r="E336" s="11" t="str">
        <f>+HYPERLINK("http://trademark.i-assist.jp/data/china/image_1928th/82249446.pdf","82249446")</f>
        <v>82249446</v>
      </c>
      <c r="F336" s="9" t="s">
        <v>1013</v>
      </c>
      <c r="G336" s="9" t="s">
        <v>1014</v>
      </c>
      <c r="H336" s="9" t="s">
        <v>1015</v>
      </c>
      <c r="I336" s="10">
        <v>45624</v>
      </c>
    </row>
    <row r="337" spans="1:9" x14ac:dyDescent="0.15">
      <c r="A337" s="9">
        <v>336</v>
      </c>
      <c r="B337" s="9" t="s">
        <v>9</v>
      </c>
      <c r="C337" s="9">
        <v>1928</v>
      </c>
      <c r="D337" s="10">
        <v>45736</v>
      </c>
      <c r="E337" s="11" t="str">
        <f>+HYPERLINK("http://trademark.i-assist.jp/data/china/image_1928th/82250128.pdf","82250128")</f>
        <v>82250128</v>
      </c>
      <c r="F337" s="12" t="s">
        <v>1016</v>
      </c>
      <c r="G337" s="12" t="s">
        <v>1017</v>
      </c>
      <c r="H337" s="9" t="s">
        <v>1018</v>
      </c>
      <c r="I337" s="10">
        <v>45624</v>
      </c>
    </row>
    <row r="338" spans="1:9" x14ac:dyDescent="0.15">
      <c r="A338" s="9">
        <v>337</v>
      </c>
      <c r="B338" s="9" t="s">
        <v>9</v>
      </c>
      <c r="C338" s="9">
        <v>1928</v>
      </c>
      <c r="D338" s="10">
        <v>45736</v>
      </c>
      <c r="E338" s="11" t="str">
        <f>+HYPERLINK("http://trademark.i-assist.jp/data/china/image_1928th/82250334.pdf","82250334")</f>
        <v>82250334</v>
      </c>
      <c r="F338" s="9" t="s">
        <v>1019</v>
      </c>
      <c r="G338" s="9" t="s">
        <v>1008</v>
      </c>
      <c r="H338" s="9" t="s">
        <v>1020</v>
      </c>
      <c r="I338" s="10">
        <v>45624</v>
      </c>
    </row>
    <row r="339" spans="1:9" x14ac:dyDescent="0.15">
      <c r="A339" s="9">
        <v>338</v>
      </c>
      <c r="B339" s="9" t="s">
        <v>9</v>
      </c>
      <c r="C339" s="9">
        <v>1928</v>
      </c>
      <c r="D339" s="10">
        <v>45736</v>
      </c>
      <c r="E339" s="11" t="str">
        <f>+HYPERLINK("http://trademark.i-assist.jp/data/china/image_1928th/82251117.pdf","82251117")</f>
        <v>82251117</v>
      </c>
      <c r="F339" s="12" t="s">
        <v>1021</v>
      </c>
      <c r="G339" s="9" t="s">
        <v>1022</v>
      </c>
      <c r="H339" s="9" t="s">
        <v>1023</v>
      </c>
      <c r="I339" s="10">
        <v>45624</v>
      </c>
    </row>
    <row r="340" spans="1:9" x14ac:dyDescent="0.15">
      <c r="A340" s="9">
        <v>339</v>
      </c>
      <c r="B340" s="9" t="s">
        <v>9</v>
      </c>
      <c r="C340" s="9">
        <v>1928</v>
      </c>
      <c r="D340" s="10">
        <v>45736</v>
      </c>
      <c r="E340" s="11" t="str">
        <f>+HYPERLINK("http://trademark.i-assist.jp/data/china/image_1928th/82252123.pdf","82252123")</f>
        <v>82252123</v>
      </c>
      <c r="F340" s="9" t="s">
        <v>1024</v>
      </c>
      <c r="G340" s="9" t="s">
        <v>1025</v>
      </c>
      <c r="H340" s="9" t="s">
        <v>1026</v>
      </c>
      <c r="I340" s="10">
        <v>45625</v>
      </c>
    </row>
    <row r="341" spans="1:9" x14ac:dyDescent="0.15">
      <c r="A341" s="9">
        <v>340</v>
      </c>
      <c r="B341" s="9" t="s">
        <v>9</v>
      </c>
      <c r="C341" s="9">
        <v>1928</v>
      </c>
      <c r="D341" s="10">
        <v>45736</v>
      </c>
      <c r="E341" s="11" t="str">
        <f>+HYPERLINK("http://trademark.i-assist.jp/data/china/image_1928th/82252576.pdf","82252576")</f>
        <v>82252576</v>
      </c>
      <c r="F341" s="9" t="s">
        <v>1027</v>
      </c>
      <c r="G341" s="9" t="s">
        <v>1028</v>
      </c>
      <c r="H341" s="9" t="s">
        <v>1029</v>
      </c>
      <c r="I341" s="10">
        <v>45625</v>
      </c>
    </row>
    <row r="342" spans="1:9" x14ac:dyDescent="0.15">
      <c r="A342" s="9">
        <v>341</v>
      </c>
      <c r="B342" s="9" t="s">
        <v>9</v>
      </c>
      <c r="C342" s="9">
        <v>1928</v>
      </c>
      <c r="D342" s="10">
        <v>45736</v>
      </c>
      <c r="E342" s="11" t="str">
        <f>+HYPERLINK("http://trademark.i-assist.jp/data/china/image_1928th/82252954.pdf","82252954")</f>
        <v>82252954</v>
      </c>
      <c r="F342" s="9" t="s">
        <v>1030</v>
      </c>
      <c r="G342" s="12" t="s">
        <v>72</v>
      </c>
      <c r="H342" s="9" t="s">
        <v>1031</v>
      </c>
      <c r="I342" s="10">
        <v>45625</v>
      </c>
    </row>
    <row r="343" spans="1:9" x14ac:dyDescent="0.15">
      <c r="A343" s="9">
        <v>342</v>
      </c>
      <c r="B343" s="9" t="s">
        <v>9</v>
      </c>
      <c r="C343" s="9">
        <v>1928</v>
      </c>
      <c r="D343" s="10">
        <v>45736</v>
      </c>
      <c r="E343" s="11" t="str">
        <f>+HYPERLINK("http://trademark.i-assist.jp/data/china/image_1928th/82253335.pdf","82253335")</f>
        <v>82253335</v>
      </c>
      <c r="F343" s="12" t="s">
        <v>1032</v>
      </c>
      <c r="G343" s="9" t="s">
        <v>11</v>
      </c>
      <c r="H343" s="9" t="s">
        <v>1033</v>
      </c>
      <c r="I343" s="10">
        <v>45625</v>
      </c>
    </row>
    <row r="344" spans="1:9" x14ac:dyDescent="0.15">
      <c r="A344" s="9">
        <v>343</v>
      </c>
      <c r="B344" s="9" t="s">
        <v>9</v>
      </c>
      <c r="C344" s="9">
        <v>1928</v>
      </c>
      <c r="D344" s="10">
        <v>45736</v>
      </c>
      <c r="E344" s="11" t="str">
        <f>+HYPERLINK("http://trademark.i-assist.jp/data/china/image_1928th/82256053A.pdf","82256053A")</f>
        <v>82256053A</v>
      </c>
      <c r="F344" s="9" t="s">
        <v>1034</v>
      </c>
      <c r="G344" s="9" t="s">
        <v>1035</v>
      </c>
      <c r="H344" s="9" t="s">
        <v>1036</v>
      </c>
      <c r="I344" s="10">
        <v>45625</v>
      </c>
    </row>
    <row r="345" spans="1:9" x14ac:dyDescent="0.15">
      <c r="A345" s="9">
        <v>344</v>
      </c>
      <c r="B345" s="9" t="s">
        <v>9</v>
      </c>
      <c r="C345" s="9">
        <v>1928</v>
      </c>
      <c r="D345" s="10">
        <v>45736</v>
      </c>
      <c r="E345" s="11" t="str">
        <f>+HYPERLINK("http://trademark.i-assist.jp/data/china/image_1928th/82256748.pdf","82256748")</f>
        <v>82256748</v>
      </c>
      <c r="F345" s="9" t="s">
        <v>1037</v>
      </c>
      <c r="G345" s="9" t="s">
        <v>1038</v>
      </c>
      <c r="H345" s="9" t="s">
        <v>1039</v>
      </c>
      <c r="I345" s="10">
        <v>45625</v>
      </c>
    </row>
    <row r="346" spans="1:9" x14ac:dyDescent="0.15">
      <c r="A346" s="9">
        <v>345</v>
      </c>
      <c r="B346" s="9" t="s">
        <v>9</v>
      </c>
      <c r="C346" s="9">
        <v>1928</v>
      </c>
      <c r="D346" s="10">
        <v>45736</v>
      </c>
      <c r="E346" s="11" t="str">
        <f>+HYPERLINK("http://trademark.i-assist.jp/data/china/image_1928th/82257498.pdf","82257498")</f>
        <v>82257498</v>
      </c>
      <c r="F346" s="9" t="s">
        <v>1040</v>
      </c>
      <c r="G346" s="12" t="s">
        <v>34</v>
      </c>
      <c r="H346" s="9" t="s">
        <v>1041</v>
      </c>
      <c r="I346" s="10">
        <v>45625</v>
      </c>
    </row>
    <row r="347" spans="1:9" x14ac:dyDescent="0.15">
      <c r="A347" s="9">
        <v>346</v>
      </c>
      <c r="B347" s="9" t="s">
        <v>9</v>
      </c>
      <c r="C347" s="9">
        <v>1928</v>
      </c>
      <c r="D347" s="10">
        <v>45736</v>
      </c>
      <c r="E347" s="11" t="str">
        <f>+HYPERLINK("http://trademark.i-assist.jp/data/china/image_1928th/82258809.pdf","82258809")</f>
        <v>82258809</v>
      </c>
      <c r="F347" s="9" t="s">
        <v>1042</v>
      </c>
      <c r="G347" s="9" t="s">
        <v>1043</v>
      </c>
      <c r="H347" s="9" t="s">
        <v>1044</v>
      </c>
      <c r="I347" s="10">
        <v>45625</v>
      </c>
    </row>
    <row r="348" spans="1:9" x14ac:dyDescent="0.15">
      <c r="A348" s="9">
        <v>347</v>
      </c>
      <c r="B348" s="9" t="s">
        <v>9</v>
      </c>
      <c r="C348" s="9">
        <v>1928</v>
      </c>
      <c r="D348" s="10">
        <v>45736</v>
      </c>
      <c r="E348" s="11" t="str">
        <f>+HYPERLINK("http://trademark.i-assist.jp/data/china/image_1928th/82260800.pdf","82260800")</f>
        <v>82260800</v>
      </c>
      <c r="F348" s="9" t="s">
        <v>1045</v>
      </c>
      <c r="G348" s="9" t="s">
        <v>11</v>
      </c>
      <c r="H348" s="12" t="s">
        <v>1046</v>
      </c>
      <c r="I348" s="10">
        <v>45625</v>
      </c>
    </row>
    <row r="349" spans="1:9" x14ac:dyDescent="0.15">
      <c r="A349" s="9">
        <v>348</v>
      </c>
      <c r="B349" s="9" t="s">
        <v>9</v>
      </c>
      <c r="C349" s="9">
        <v>1928</v>
      </c>
      <c r="D349" s="10">
        <v>45736</v>
      </c>
      <c r="E349" s="11" t="str">
        <f>+HYPERLINK("http://trademark.i-assist.jp/data/china/image_1928th/82262216.pdf","82262216")</f>
        <v>82262216</v>
      </c>
      <c r="F349" s="9" t="s">
        <v>1047</v>
      </c>
      <c r="G349" s="9" t="s">
        <v>1048</v>
      </c>
      <c r="H349" s="9" t="s">
        <v>1049</v>
      </c>
      <c r="I349" s="10">
        <v>45625</v>
      </c>
    </row>
    <row r="350" spans="1:9" x14ac:dyDescent="0.15">
      <c r="A350" s="9">
        <v>349</v>
      </c>
      <c r="B350" s="9" t="s">
        <v>9</v>
      </c>
      <c r="C350" s="9">
        <v>1928</v>
      </c>
      <c r="D350" s="10">
        <v>45736</v>
      </c>
      <c r="E350" s="11" t="str">
        <f>+HYPERLINK("http://trademark.i-assist.jp/data/china/image_1928th/82262322.pdf","82262322")</f>
        <v>82262322</v>
      </c>
      <c r="F350" s="9" t="s">
        <v>1050</v>
      </c>
      <c r="G350" s="9" t="s">
        <v>1051</v>
      </c>
      <c r="H350" s="9" t="s">
        <v>1052</v>
      </c>
      <c r="I350" s="10">
        <v>45625</v>
      </c>
    </row>
    <row r="351" spans="1:9" x14ac:dyDescent="0.15">
      <c r="A351" s="9">
        <v>350</v>
      </c>
      <c r="B351" s="9" t="s">
        <v>9</v>
      </c>
      <c r="C351" s="9">
        <v>1928</v>
      </c>
      <c r="D351" s="10">
        <v>45736</v>
      </c>
      <c r="E351" s="11" t="str">
        <f>+HYPERLINK("http://trademark.i-assist.jp/data/china/image_1928th/82262748.pdf","82262748")</f>
        <v>82262748</v>
      </c>
      <c r="F351" s="9" t="s">
        <v>1053</v>
      </c>
      <c r="G351" s="9" t="s">
        <v>1054</v>
      </c>
      <c r="H351" s="9" t="s">
        <v>1055</v>
      </c>
      <c r="I351" s="10">
        <v>45625</v>
      </c>
    </row>
    <row r="352" spans="1:9" x14ac:dyDescent="0.15">
      <c r="A352" s="9">
        <v>351</v>
      </c>
      <c r="B352" s="9" t="s">
        <v>9</v>
      </c>
      <c r="C352" s="9">
        <v>1928</v>
      </c>
      <c r="D352" s="10">
        <v>45736</v>
      </c>
      <c r="E352" s="11" t="str">
        <f>+HYPERLINK("http://trademark.i-assist.jp/data/china/image_1928th/82264676.pdf","82264676")</f>
        <v>82264676</v>
      </c>
      <c r="F352" s="9" t="s">
        <v>1056</v>
      </c>
      <c r="G352" s="9" t="s">
        <v>1057</v>
      </c>
      <c r="H352" s="12" t="s">
        <v>1058</v>
      </c>
      <c r="I352" s="10">
        <v>45625</v>
      </c>
    </row>
    <row r="353" spans="1:9" x14ac:dyDescent="0.15">
      <c r="A353" s="9">
        <v>352</v>
      </c>
      <c r="B353" s="9" t="s">
        <v>9</v>
      </c>
      <c r="C353" s="9">
        <v>1928</v>
      </c>
      <c r="D353" s="10">
        <v>45736</v>
      </c>
      <c r="E353" s="11" t="str">
        <f>+HYPERLINK("http://trademark.i-assist.jp/data/china/image_1928th/82265951.pdf","82265951")</f>
        <v>82265951</v>
      </c>
      <c r="F353" s="9" t="s">
        <v>1059</v>
      </c>
      <c r="G353" s="9" t="s">
        <v>1060</v>
      </c>
      <c r="H353" s="9" t="s">
        <v>1061</v>
      </c>
      <c r="I353" s="10">
        <v>45625</v>
      </c>
    </row>
    <row r="354" spans="1:9" x14ac:dyDescent="0.15">
      <c r="A354" s="9">
        <v>353</v>
      </c>
      <c r="B354" s="9" t="s">
        <v>9</v>
      </c>
      <c r="C354" s="9">
        <v>1928</v>
      </c>
      <c r="D354" s="10">
        <v>45736</v>
      </c>
      <c r="E354" s="11" t="str">
        <f>+HYPERLINK("http://trademark.i-assist.jp/data/china/image_1928th/82270704.pdf","82270704")</f>
        <v>82270704</v>
      </c>
      <c r="F354" s="9" t="s">
        <v>1062</v>
      </c>
      <c r="G354" s="12" t="s">
        <v>1063</v>
      </c>
      <c r="H354" s="9" t="s">
        <v>1064</v>
      </c>
      <c r="I354" s="10">
        <v>45625</v>
      </c>
    </row>
    <row r="355" spans="1:9" x14ac:dyDescent="0.15">
      <c r="A355" s="9">
        <v>354</v>
      </c>
      <c r="B355" s="9" t="s">
        <v>9</v>
      </c>
      <c r="C355" s="9">
        <v>1928</v>
      </c>
      <c r="D355" s="10">
        <v>45736</v>
      </c>
      <c r="E355" s="11" t="str">
        <f>+HYPERLINK("http://trademark.i-assist.jp/data/china/image_1928th/82270918.pdf","82270918")</f>
        <v>82270918</v>
      </c>
      <c r="F355" s="9" t="s">
        <v>1065</v>
      </c>
      <c r="G355" s="9" t="s">
        <v>35</v>
      </c>
      <c r="H355" s="9" t="s">
        <v>1066</v>
      </c>
      <c r="I355" s="10">
        <v>45625</v>
      </c>
    </row>
    <row r="356" spans="1:9" x14ac:dyDescent="0.15">
      <c r="A356" s="9">
        <v>355</v>
      </c>
      <c r="B356" s="9" t="s">
        <v>9</v>
      </c>
      <c r="C356" s="9">
        <v>1928</v>
      </c>
      <c r="D356" s="10">
        <v>45736</v>
      </c>
      <c r="E356" s="11" t="str">
        <f>+HYPERLINK("http://trademark.i-assist.jp/data/china/image_1928th/82271704.pdf","82271704")</f>
        <v>82271704</v>
      </c>
      <c r="F356" s="12" t="s">
        <v>1067</v>
      </c>
      <c r="G356" s="9" t="s">
        <v>1068</v>
      </c>
      <c r="H356" s="9" t="s">
        <v>1069</v>
      </c>
      <c r="I356" s="10">
        <v>45625</v>
      </c>
    </row>
    <row r="357" spans="1:9" x14ac:dyDescent="0.15">
      <c r="A357" s="9">
        <v>356</v>
      </c>
      <c r="B357" s="9" t="s">
        <v>9</v>
      </c>
      <c r="C357" s="9">
        <v>1928</v>
      </c>
      <c r="D357" s="10">
        <v>45736</v>
      </c>
      <c r="E357" s="11" t="str">
        <f>+HYPERLINK("http://trademark.i-assist.jp/data/china/image_1928th/82271802.pdf","82271802")</f>
        <v>82271802</v>
      </c>
      <c r="F357" s="12" t="s">
        <v>1070</v>
      </c>
      <c r="G357" s="9" t="s">
        <v>1071</v>
      </c>
      <c r="H357" s="9" t="s">
        <v>1072</v>
      </c>
      <c r="I357" s="10">
        <v>45625</v>
      </c>
    </row>
    <row r="358" spans="1:9" x14ac:dyDescent="0.15">
      <c r="A358" s="9">
        <v>357</v>
      </c>
      <c r="B358" s="9" t="s">
        <v>9</v>
      </c>
      <c r="C358" s="9">
        <v>1928</v>
      </c>
      <c r="D358" s="10">
        <v>45736</v>
      </c>
      <c r="E358" s="11" t="str">
        <f>+HYPERLINK("http://trademark.i-assist.jp/data/china/image_1928th/82273230.pdf","82273230")</f>
        <v>82273230</v>
      </c>
      <c r="F358" s="9" t="s">
        <v>1073</v>
      </c>
      <c r="G358" s="9" t="s">
        <v>74</v>
      </c>
      <c r="H358" s="9" t="s">
        <v>1074</v>
      </c>
      <c r="I358" s="10">
        <v>45625</v>
      </c>
    </row>
    <row r="359" spans="1:9" x14ac:dyDescent="0.15">
      <c r="A359" s="9">
        <v>358</v>
      </c>
      <c r="B359" s="9" t="s">
        <v>9</v>
      </c>
      <c r="C359" s="9">
        <v>1928</v>
      </c>
      <c r="D359" s="10">
        <v>45736</v>
      </c>
      <c r="E359" s="11" t="str">
        <f>+HYPERLINK("http://trademark.i-assist.jp/data/china/image_1928th/82274131.pdf","82274131")</f>
        <v>82274131</v>
      </c>
      <c r="F359" s="9" t="s">
        <v>1075</v>
      </c>
      <c r="G359" s="9" t="s">
        <v>1043</v>
      </c>
      <c r="H359" s="9" t="s">
        <v>1076</v>
      </c>
      <c r="I359" s="10">
        <v>45625</v>
      </c>
    </row>
    <row r="360" spans="1:9" x14ac:dyDescent="0.15">
      <c r="A360" s="9">
        <v>359</v>
      </c>
      <c r="B360" s="9" t="s">
        <v>9</v>
      </c>
      <c r="C360" s="9">
        <v>1928</v>
      </c>
      <c r="D360" s="10">
        <v>45736</v>
      </c>
      <c r="E360" s="11" t="str">
        <f>+HYPERLINK("http://trademark.i-assist.jp/data/china/image_1928th/82274701.pdf","82274701")</f>
        <v>82274701</v>
      </c>
      <c r="F360" s="9" t="s">
        <v>1077</v>
      </c>
      <c r="G360" s="9" t="s">
        <v>1078</v>
      </c>
      <c r="H360" s="9" t="s">
        <v>1079</v>
      </c>
      <c r="I360" s="10">
        <v>45625</v>
      </c>
    </row>
    <row r="361" spans="1:9" x14ac:dyDescent="0.15">
      <c r="A361" s="9">
        <v>360</v>
      </c>
      <c r="B361" s="9" t="s">
        <v>9</v>
      </c>
      <c r="C361" s="9">
        <v>1928</v>
      </c>
      <c r="D361" s="10">
        <v>45736</v>
      </c>
      <c r="E361" s="11" t="str">
        <f>+HYPERLINK("http://trademark.i-assist.jp/data/china/image_1928th/82275379.pdf","82275379")</f>
        <v>82275379</v>
      </c>
      <c r="F361" s="9" t="s">
        <v>1080</v>
      </c>
      <c r="G361" s="9" t="s">
        <v>1081</v>
      </c>
      <c r="H361" s="12" t="s">
        <v>1082</v>
      </c>
      <c r="I361" s="10">
        <v>45625</v>
      </c>
    </row>
    <row r="362" spans="1:9" x14ac:dyDescent="0.15">
      <c r="A362" s="9">
        <v>361</v>
      </c>
      <c r="B362" s="9" t="s">
        <v>9</v>
      </c>
      <c r="C362" s="9">
        <v>1928</v>
      </c>
      <c r="D362" s="10">
        <v>45736</v>
      </c>
      <c r="E362" s="11" t="str">
        <f>+HYPERLINK("http://trademark.i-assist.jp/data/china/image_1928th/82277445.pdf","82277445")</f>
        <v>82277445</v>
      </c>
      <c r="F362" s="9" t="s">
        <v>1083</v>
      </c>
      <c r="G362" s="9" t="s">
        <v>1084</v>
      </c>
      <c r="H362" s="9" t="s">
        <v>1085</v>
      </c>
      <c r="I362" s="10">
        <v>45625</v>
      </c>
    </row>
    <row r="363" spans="1:9" x14ac:dyDescent="0.15">
      <c r="A363" s="9">
        <v>362</v>
      </c>
      <c r="B363" s="9" t="s">
        <v>9</v>
      </c>
      <c r="C363" s="9">
        <v>1928</v>
      </c>
      <c r="D363" s="10">
        <v>45736</v>
      </c>
      <c r="E363" s="11" t="str">
        <f>+HYPERLINK("http://trademark.i-assist.jp/data/china/image_1928th/82277968.pdf","82277968")</f>
        <v>82277968</v>
      </c>
      <c r="F363" s="9" t="s">
        <v>1086</v>
      </c>
      <c r="G363" s="9" t="s">
        <v>1087</v>
      </c>
      <c r="H363" s="9" t="s">
        <v>1088</v>
      </c>
      <c r="I363" s="10">
        <v>45625</v>
      </c>
    </row>
    <row r="364" spans="1:9" x14ac:dyDescent="0.15">
      <c r="A364" s="9">
        <v>363</v>
      </c>
      <c r="B364" s="9" t="s">
        <v>9</v>
      </c>
      <c r="C364" s="9">
        <v>1928</v>
      </c>
      <c r="D364" s="10">
        <v>45736</v>
      </c>
      <c r="E364" s="11" t="str">
        <f>+HYPERLINK("http://trademark.i-assist.jp/data/china/image_1928th/82278511.pdf","82278511")</f>
        <v>82278511</v>
      </c>
      <c r="F364" s="9" t="s">
        <v>1089</v>
      </c>
      <c r="G364" s="12" t="s">
        <v>1090</v>
      </c>
      <c r="H364" s="9" t="s">
        <v>1091</v>
      </c>
      <c r="I364" s="10">
        <v>45626</v>
      </c>
    </row>
    <row r="365" spans="1:9" x14ac:dyDescent="0.15">
      <c r="A365" s="9">
        <v>364</v>
      </c>
      <c r="B365" s="9" t="s">
        <v>9</v>
      </c>
      <c r="C365" s="9">
        <v>1928</v>
      </c>
      <c r="D365" s="10">
        <v>45736</v>
      </c>
      <c r="E365" s="11" t="str">
        <f>+HYPERLINK("http://trademark.i-assist.jp/data/china/image_1928th/82278976.pdf","82278976")</f>
        <v>82278976</v>
      </c>
      <c r="F365" s="12" t="s">
        <v>18</v>
      </c>
      <c r="G365" s="12" t="s">
        <v>1092</v>
      </c>
      <c r="H365" s="9" t="s">
        <v>1093</v>
      </c>
      <c r="I365" s="10">
        <v>45626</v>
      </c>
    </row>
    <row r="366" spans="1:9" x14ac:dyDescent="0.15">
      <c r="A366" s="9">
        <v>365</v>
      </c>
      <c r="B366" s="9" t="s">
        <v>9</v>
      </c>
      <c r="C366" s="9">
        <v>1928</v>
      </c>
      <c r="D366" s="10">
        <v>45736</v>
      </c>
      <c r="E366" s="11" t="str">
        <f>+HYPERLINK("http://trademark.i-assist.jp/data/china/image_1928th/82278980.pdf","82278980")</f>
        <v>82278980</v>
      </c>
      <c r="F366" s="9" t="s">
        <v>1094</v>
      </c>
      <c r="G366" s="9" t="s">
        <v>1095</v>
      </c>
      <c r="H366" s="12" t="s">
        <v>1096</v>
      </c>
      <c r="I366" s="10">
        <v>45626</v>
      </c>
    </row>
    <row r="367" spans="1:9" x14ac:dyDescent="0.15">
      <c r="A367" s="9">
        <v>366</v>
      </c>
      <c r="B367" s="9" t="s">
        <v>9</v>
      </c>
      <c r="C367" s="9">
        <v>1928</v>
      </c>
      <c r="D367" s="10">
        <v>45736</v>
      </c>
      <c r="E367" s="11" t="str">
        <f>+HYPERLINK("http://trademark.i-assist.jp/data/china/image_1928th/82279644.pdf","82279644")</f>
        <v>82279644</v>
      </c>
      <c r="F367" s="9" t="s">
        <v>1097</v>
      </c>
      <c r="G367" s="9" t="s">
        <v>81</v>
      </c>
      <c r="H367" s="9" t="s">
        <v>1098</v>
      </c>
      <c r="I367" s="10">
        <v>45626</v>
      </c>
    </row>
    <row r="368" spans="1:9" x14ac:dyDescent="0.15">
      <c r="A368" s="9">
        <v>367</v>
      </c>
      <c r="B368" s="9" t="s">
        <v>9</v>
      </c>
      <c r="C368" s="9">
        <v>1928</v>
      </c>
      <c r="D368" s="10">
        <v>45736</v>
      </c>
      <c r="E368" s="11" t="str">
        <f>+HYPERLINK("http://trademark.i-assist.jp/data/china/image_1928th/82280063.pdf","82280063")</f>
        <v>82280063</v>
      </c>
      <c r="F368" s="9" t="s">
        <v>1099</v>
      </c>
      <c r="G368" s="9" t="s">
        <v>1100</v>
      </c>
      <c r="H368" s="9" t="s">
        <v>1101</v>
      </c>
      <c r="I368" s="10">
        <v>45626</v>
      </c>
    </row>
    <row r="369" spans="1:9" x14ac:dyDescent="0.15">
      <c r="A369" s="9">
        <v>368</v>
      </c>
      <c r="B369" s="9" t="s">
        <v>9</v>
      </c>
      <c r="C369" s="9">
        <v>1928</v>
      </c>
      <c r="D369" s="10">
        <v>45736</v>
      </c>
      <c r="E369" s="11" t="str">
        <f>+HYPERLINK("http://trademark.i-assist.jp/data/china/image_1928th/82280627.pdf","82280627")</f>
        <v>82280627</v>
      </c>
      <c r="F369" s="9" t="s">
        <v>1102</v>
      </c>
      <c r="G369" s="9" t="s">
        <v>1103</v>
      </c>
      <c r="H369" s="9" t="s">
        <v>1104</v>
      </c>
      <c r="I369" s="10">
        <v>45626</v>
      </c>
    </row>
    <row r="370" spans="1:9" x14ac:dyDescent="0.15">
      <c r="A370" s="9">
        <v>369</v>
      </c>
      <c r="B370" s="9" t="s">
        <v>9</v>
      </c>
      <c r="C370" s="9">
        <v>1928</v>
      </c>
      <c r="D370" s="10">
        <v>45736</v>
      </c>
      <c r="E370" s="11" t="str">
        <f>+HYPERLINK("http://trademark.i-assist.jp/data/china/image_1928th/82282054.pdf","82282054")</f>
        <v>82282054</v>
      </c>
      <c r="F370" s="9" t="s">
        <v>1105</v>
      </c>
      <c r="G370" s="9" t="s">
        <v>80</v>
      </c>
      <c r="H370" s="9" t="s">
        <v>1106</v>
      </c>
      <c r="I370" s="10">
        <v>45626</v>
      </c>
    </row>
    <row r="371" spans="1:9" x14ac:dyDescent="0.15">
      <c r="A371" s="9">
        <v>370</v>
      </c>
      <c r="B371" s="9" t="s">
        <v>9</v>
      </c>
      <c r="C371" s="9">
        <v>1928</v>
      </c>
      <c r="D371" s="10">
        <v>45736</v>
      </c>
      <c r="E371" s="11" t="str">
        <f>+HYPERLINK("http://trademark.i-assist.jp/data/china/image_1928th/82283688.pdf","82283688")</f>
        <v>82283688</v>
      </c>
      <c r="F371" s="9" t="s">
        <v>1107</v>
      </c>
      <c r="G371" s="9" t="s">
        <v>1108</v>
      </c>
      <c r="H371" s="9" t="s">
        <v>1109</v>
      </c>
      <c r="I371" s="10">
        <v>45626</v>
      </c>
    </row>
    <row r="372" spans="1:9" x14ac:dyDescent="0.15">
      <c r="A372" s="9">
        <v>371</v>
      </c>
      <c r="B372" s="9" t="s">
        <v>9</v>
      </c>
      <c r="C372" s="9">
        <v>1928</v>
      </c>
      <c r="D372" s="10">
        <v>45736</v>
      </c>
      <c r="E372" s="11" t="str">
        <f>+HYPERLINK("http://trademark.i-assist.jp/data/china/image_1928th/82283844.pdf","82283844")</f>
        <v>82283844</v>
      </c>
      <c r="F372" s="9" t="s">
        <v>1110</v>
      </c>
      <c r="G372" s="12" t="s">
        <v>1111</v>
      </c>
      <c r="H372" s="9" t="s">
        <v>1112</v>
      </c>
      <c r="I372" s="10">
        <v>45626</v>
      </c>
    </row>
    <row r="373" spans="1:9" x14ac:dyDescent="0.15">
      <c r="A373" s="9">
        <v>372</v>
      </c>
      <c r="B373" s="9" t="s">
        <v>9</v>
      </c>
      <c r="C373" s="9">
        <v>1928</v>
      </c>
      <c r="D373" s="10">
        <v>45736</v>
      </c>
      <c r="E373" s="11" t="str">
        <f>+HYPERLINK("http://trademark.i-assist.jp/data/china/image_1928th/82284035.pdf","82284035")</f>
        <v>82284035</v>
      </c>
      <c r="F373" s="9" t="s">
        <v>1113</v>
      </c>
      <c r="G373" s="9" t="s">
        <v>1114</v>
      </c>
      <c r="H373" s="9" t="s">
        <v>1115</v>
      </c>
      <c r="I373" s="10">
        <v>45626</v>
      </c>
    </row>
    <row r="374" spans="1:9" x14ac:dyDescent="0.15">
      <c r="A374" s="9">
        <v>373</v>
      </c>
      <c r="B374" s="9" t="s">
        <v>9</v>
      </c>
      <c r="C374" s="9">
        <v>1928</v>
      </c>
      <c r="D374" s="10">
        <v>45736</v>
      </c>
      <c r="E374" s="11" t="str">
        <f>+HYPERLINK("http://trademark.i-assist.jp/data/china/image_1928th/82285238.pdf","82285238")</f>
        <v>82285238</v>
      </c>
      <c r="F374" s="9" t="s">
        <v>1116</v>
      </c>
      <c r="G374" s="9" t="s">
        <v>1117</v>
      </c>
      <c r="H374" s="12" t="s">
        <v>1118</v>
      </c>
      <c r="I374" s="10">
        <v>45627</v>
      </c>
    </row>
    <row r="375" spans="1:9" x14ac:dyDescent="0.15">
      <c r="A375" s="9">
        <v>374</v>
      </c>
      <c r="B375" s="9" t="s">
        <v>9</v>
      </c>
      <c r="C375" s="9">
        <v>1928</v>
      </c>
      <c r="D375" s="10">
        <v>45736</v>
      </c>
      <c r="E375" s="11" t="str">
        <f>+HYPERLINK("http://trademark.i-assist.jp/data/china/image_1928th/82286627.pdf","82286627")</f>
        <v>82286627</v>
      </c>
      <c r="F375" s="9" t="s">
        <v>1119</v>
      </c>
      <c r="G375" s="9" t="s">
        <v>1120</v>
      </c>
      <c r="H375" s="9" t="s">
        <v>1121</v>
      </c>
      <c r="I375" s="10">
        <v>45627</v>
      </c>
    </row>
    <row r="376" spans="1:9" x14ac:dyDescent="0.15">
      <c r="A376" s="9">
        <v>375</v>
      </c>
      <c r="B376" s="9" t="s">
        <v>9</v>
      </c>
      <c r="C376" s="9">
        <v>1928</v>
      </c>
      <c r="D376" s="10">
        <v>45736</v>
      </c>
      <c r="E376" s="11" t="str">
        <f>+HYPERLINK("http://trademark.i-assist.jp/data/china/image_1928th/82287175.pdf","82287175")</f>
        <v>82287175</v>
      </c>
      <c r="F376" s="9" t="s">
        <v>1122</v>
      </c>
      <c r="G376" s="9" t="s">
        <v>1123</v>
      </c>
      <c r="H376" s="9" t="s">
        <v>1124</v>
      </c>
      <c r="I376" s="10">
        <v>45627</v>
      </c>
    </row>
    <row r="377" spans="1:9" x14ac:dyDescent="0.15">
      <c r="A377" s="9">
        <v>376</v>
      </c>
      <c r="B377" s="9" t="s">
        <v>9</v>
      </c>
      <c r="C377" s="9">
        <v>1928</v>
      </c>
      <c r="D377" s="10">
        <v>45736</v>
      </c>
      <c r="E377" s="11" t="str">
        <f>+HYPERLINK("http://trademark.i-assist.jp/data/china/image_1928th/82288745.pdf","82288745")</f>
        <v>82288745</v>
      </c>
      <c r="F377" s="9" t="s">
        <v>1125</v>
      </c>
      <c r="G377" s="9" t="s">
        <v>1126</v>
      </c>
      <c r="H377" s="9" t="s">
        <v>1127</v>
      </c>
      <c r="I377" s="10">
        <v>45628</v>
      </c>
    </row>
    <row r="378" spans="1:9" x14ac:dyDescent="0.15">
      <c r="A378" s="9">
        <v>377</v>
      </c>
      <c r="B378" s="9" t="s">
        <v>9</v>
      </c>
      <c r="C378" s="9">
        <v>1928</v>
      </c>
      <c r="D378" s="10">
        <v>45736</v>
      </c>
      <c r="E378" s="11" t="str">
        <f>+HYPERLINK("http://trademark.i-assist.jp/data/china/image_1928th/82289376.pdf","82289376")</f>
        <v>82289376</v>
      </c>
      <c r="F378" s="9" t="s">
        <v>1128</v>
      </c>
      <c r="G378" s="9" t="s">
        <v>1129</v>
      </c>
      <c r="H378" s="9" t="s">
        <v>1130</v>
      </c>
      <c r="I378" s="10">
        <v>45628</v>
      </c>
    </row>
    <row r="379" spans="1:9" x14ac:dyDescent="0.15">
      <c r="A379" s="9">
        <v>378</v>
      </c>
      <c r="B379" s="9" t="s">
        <v>9</v>
      </c>
      <c r="C379" s="9">
        <v>1928</v>
      </c>
      <c r="D379" s="10">
        <v>45736</v>
      </c>
      <c r="E379" s="11" t="str">
        <f>+HYPERLINK("http://trademark.i-assist.jp/data/china/image_1928th/82289893.pdf","82289893")</f>
        <v>82289893</v>
      </c>
      <c r="F379" s="9" t="s">
        <v>1131</v>
      </c>
      <c r="G379" s="9" t="s">
        <v>1132</v>
      </c>
      <c r="H379" s="9" t="s">
        <v>1133</v>
      </c>
      <c r="I379" s="10">
        <v>45628</v>
      </c>
    </row>
    <row r="380" spans="1:9" x14ac:dyDescent="0.15">
      <c r="A380" s="9">
        <v>379</v>
      </c>
      <c r="B380" s="9" t="s">
        <v>9</v>
      </c>
      <c r="C380" s="9">
        <v>1928</v>
      </c>
      <c r="D380" s="10">
        <v>45736</v>
      </c>
      <c r="E380" s="11" t="str">
        <f>+HYPERLINK("http://trademark.i-assist.jp/data/china/image_1928th/82290501A.pdf","82290501A")</f>
        <v>82290501A</v>
      </c>
      <c r="F380" s="12" t="s">
        <v>1134</v>
      </c>
      <c r="G380" s="9" t="s">
        <v>1135</v>
      </c>
      <c r="H380" s="9" t="s">
        <v>1136</v>
      </c>
      <c r="I380" s="10">
        <v>45628</v>
      </c>
    </row>
    <row r="381" spans="1:9" x14ac:dyDescent="0.15">
      <c r="A381" s="9">
        <v>380</v>
      </c>
      <c r="B381" s="9" t="s">
        <v>9</v>
      </c>
      <c r="C381" s="9">
        <v>1928</v>
      </c>
      <c r="D381" s="10">
        <v>45736</v>
      </c>
      <c r="E381" s="11" t="str">
        <f>+HYPERLINK("http://trademark.i-assist.jp/data/china/image_1928th/82290988.pdf","82290988")</f>
        <v>82290988</v>
      </c>
      <c r="F381" s="9" t="s">
        <v>1137</v>
      </c>
      <c r="G381" s="9" t="s">
        <v>1138</v>
      </c>
      <c r="H381" s="9" t="s">
        <v>1139</v>
      </c>
      <c r="I381" s="10">
        <v>45628</v>
      </c>
    </row>
    <row r="382" spans="1:9" x14ac:dyDescent="0.15">
      <c r="A382" s="9">
        <v>381</v>
      </c>
      <c r="B382" s="9" t="s">
        <v>9</v>
      </c>
      <c r="C382" s="9">
        <v>1928</v>
      </c>
      <c r="D382" s="10">
        <v>45736</v>
      </c>
      <c r="E382" s="11" t="str">
        <f>+HYPERLINK("http://trademark.i-assist.jp/data/china/image_1928th/82291485.pdf","82291485")</f>
        <v>82291485</v>
      </c>
      <c r="F382" s="12" t="s">
        <v>18</v>
      </c>
      <c r="G382" s="12" t="s">
        <v>1140</v>
      </c>
      <c r="H382" s="9" t="s">
        <v>1141</v>
      </c>
      <c r="I382" s="10">
        <v>45628</v>
      </c>
    </row>
    <row r="383" spans="1:9" x14ac:dyDescent="0.15">
      <c r="A383" s="9">
        <v>382</v>
      </c>
      <c r="B383" s="9" t="s">
        <v>9</v>
      </c>
      <c r="C383" s="9">
        <v>1928</v>
      </c>
      <c r="D383" s="10">
        <v>45736</v>
      </c>
      <c r="E383" s="11" t="str">
        <f>+HYPERLINK("http://trademark.i-assist.jp/data/china/image_1928th/82291680.pdf","82291680")</f>
        <v>82291680</v>
      </c>
      <c r="F383" s="9" t="s">
        <v>1142</v>
      </c>
      <c r="G383" s="9" t="s">
        <v>1143</v>
      </c>
      <c r="H383" s="9" t="s">
        <v>1144</v>
      </c>
      <c r="I383" s="10">
        <v>45628</v>
      </c>
    </row>
    <row r="384" spans="1:9" x14ac:dyDescent="0.15">
      <c r="A384" s="9">
        <v>383</v>
      </c>
      <c r="B384" s="9" t="s">
        <v>9</v>
      </c>
      <c r="C384" s="9">
        <v>1928</v>
      </c>
      <c r="D384" s="10">
        <v>45736</v>
      </c>
      <c r="E384" s="11" t="str">
        <f>+HYPERLINK("http://trademark.i-assist.jp/data/china/image_1928th/82291895.pdf","82291895")</f>
        <v>82291895</v>
      </c>
      <c r="F384" s="12" t="s">
        <v>1145</v>
      </c>
      <c r="G384" s="9" t="s">
        <v>1146</v>
      </c>
      <c r="H384" s="12" t="s">
        <v>1147</v>
      </c>
      <c r="I384" s="10">
        <v>45628</v>
      </c>
    </row>
    <row r="385" spans="1:9" x14ac:dyDescent="0.15">
      <c r="A385" s="9">
        <v>384</v>
      </c>
      <c r="B385" s="9" t="s">
        <v>9</v>
      </c>
      <c r="C385" s="9">
        <v>1928</v>
      </c>
      <c r="D385" s="10">
        <v>45736</v>
      </c>
      <c r="E385" s="11" t="str">
        <f>+HYPERLINK("http://trademark.i-assist.jp/data/china/image_1928th/82291910.pdf","82291910")</f>
        <v>82291910</v>
      </c>
      <c r="F385" s="12" t="s">
        <v>18</v>
      </c>
      <c r="G385" s="9" t="s">
        <v>1148</v>
      </c>
      <c r="H385" s="9" t="s">
        <v>1149</v>
      </c>
      <c r="I385" s="10">
        <v>45628</v>
      </c>
    </row>
    <row r="386" spans="1:9" x14ac:dyDescent="0.15">
      <c r="A386" s="9">
        <v>385</v>
      </c>
      <c r="B386" s="9" t="s">
        <v>9</v>
      </c>
      <c r="C386" s="9">
        <v>1928</v>
      </c>
      <c r="D386" s="10">
        <v>45736</v>
      </c>
      <c r="E386" s="11" t="str">
        <f>+HYPERLINK("http://trademark.i-assist.jp/data/china/image_1928th/82292322.pdf","82292322")</f>
        <v>82292322</v>
      </c>
      <c r="F386" s="9" t="s">
        <v>1150</v>
      </c>
      <c r="G386" s="9" t="s">
        <v>1151</v>
      </c>
      <c r="H386" s="9" t="s">
        <v>1152</v>
      </c>
      <c r="I386" s="10">
        <v>45628</v>
      </c>
    </row>
    <row r="387" spans="1:9" x14ac:dyDescent="0.15">
      <c r="A387" s="9">
        <v>386</v>
      </c>
      <c r="B387" s="9" t="s">
        <v>9</v>
      </c>
      <c r="C387" s="9">
        <v>1928</v>
      </c>
      <c r="D387" s="10">
        <v>45736</v>
      </c>
      <c r="E387" s="11" t="str">
        <f>+HYPERLINK("http://trademark.i-assist.jp/data/china/image_1928th/82293029.pdf","82293029")</f>
        <v>82293029</v>
      </c>
      <c r="F387" s="9" t="s">
        <v>1153</v>
      </c>
      <c r="G387" s="9" t="s">
        <v>1129</v>
      </c>
      <c r="H387" s="9" t="s">
        <v>1154</v>
      </c>
      <c r="I387" s="10">
        <v>45628</v>
      </c>
    </row>
    <row r="388" spans="1:9" x14ac:dyDescent="0.15">
      <c r="A388" s="9">
        <v>387</v>
      </c>
      <c r="B388" s="9" t="s">
        <v>9</v>
      </c>
      <c r="C388" s="9">
        <v>1928</v>
      </c>
      <c r="D388" s="10">
        <v>45736</v>
      </c>
      <c r="E388" s="11" t="str">
        <f>+HYPERLINK("http://trademark.i-assist.jp/data/china/image_1928th/82294603.pdf","82294603")</f>
        <v>82294603</v>
      </c>
      <c r="F388" s="9" t="s">
        <v>1155</v>
      </c>
      <c r="G388" s="12" t="s">
        <v>1156</v>
      </c>
      <c r="H388" s="9" t="s">
        <v>1157</v>
      </c>
      <c r="I388" s="10">
        <v>45628</v>
      </c>
    </row>
    <row r="389" spans="1:9" x14ac:dyDescent="0.15">
      <c r="A389" s="9">
        <v>388</v>
      </c>
      <c r="B389" s="9" t="s">
        <v>9</v>
      </c>
      <c r="C389" s="9">
        <v>1928</v>
      </c>
      <c r="D389" s="10">
        <v>45736</v>
      </c>
      <c r="E389" s="11" t="str">
        <f>+HYPERLINK("http://trademark.i-assist.jp/data/china/image_1928th/82295639.pdf","82295639")</f>
        <v>82295639</v>
      </c>
      <c r="F389" s="12" t="s">
        <v>18</v>
      </c>
      <c r="G389" s="9" t="s">
        <v>1158</v>
      </c>
      <c r="H389" s="9" t="s">
        <v>1159</v>
      </c>
      <c r="I389" s="10">
        <v>45628</v>
      </c>
    </row>
    <row r="390" spans="1:9" x14ac:dyDescent="0.15">
      <c r="A390" s="9">
        <v>389</v>
      </c>
      <c r="B390" s="9" t="s">
        <v>9</v>
      </c>
      <c r="C390" s="9">
        <v>1928</v>
      </c>
      <c r="D390" s="10">
        <v>45736</v>
      </c>
      <c r="E390" s="11" t="str">
        <f>+HYPERLINK("http://trademark.i-assist.jp/data/china/image_1928th/82295882.pdf","82295882")</f>
        <v>82295882</v>
      </c>
      <c r="F390" s="12" t="s">
        <v>1160</v>
      </c>
      <c r="G390" s="9" t="s">
        <v>1161</v>
      </c>
      <c r="H390" s="12" t="s">
        <v>1162</v>
      </c>
      <c r="I390" s="10">
        <v>45628</v>
      </c>
    </row>
    <row r="391" spans="1:9" x14ac:dyDescent="0.15">
      <c r="A391" s="9">
        <v>390</v>
      </c>
      <c r="B391" s="9" t="s">
        <v>9</v>
      </c>
      <c r="C391" s="9">
        <v>1928</v>
      </c>
      <c r="D391" s="10">
        <v>45736</v>
      </c>
      <c r="E391" s="11" t="str">
        <f>+HYPERLINK("http://trademark.i-assist.jp/data/china/image_1928th/82297164.pdf","82297164")</f>
        <v>82297164</v>
      </c>
      <c r="F391" s="9" t="s">
        <v>1163</v>
      </c>
      <c r="G391" s="9" t="s">
        <v>1164</v>
      </c>
      <c r="H391" s="9" t="s">
        <v>1165</v>
      </c>
      <c r="I391" s="10">
        <v>45628</v>
      </c>
    </row>
    <row r="392" spans="1:9" x14ac:dyDescent="0.15">
      <c r="A392" s="9">
        <v>391</v>
      </c>
      <c r="B392" s="9" t="s">
        <v>9</v>
      </c>
      <c r="C392" s="9">
        <v>1928</v>
      </c>
      <c r="D392" s="10">
        <v>45736</v>
      </c>
      <c r="E392" s="11" t="str">
        <f>+HYPERLINK("http://trademark.i-assist.jp/data/china/image_1928th/82297751.pdf","82297751")</f>
        <v>82297751</v>
      </c>
      <c r="F392" s="9" t="s">
        <v>1166</v>
      </c>
      <c r="G392" s="9" t="s">
        <v>1167</v>
      </c>
      <c r="H392" s="9" t="s">
        <v>1168</v>
      </c>
      <c r="I392" s="10">
        <v>45628</v>
      </c>
    </row>
    <row r="393" spans="1:9" x14ac:dyDescent="0.15">
      <c r="A393" s="9">
        <v>392</v>
      </c>
      <c r="B393" s="9" t="s">
        <v>9</v>
      </c>
      <c r="C393" s="9">
        <v>1928</v>
      </c>
      <c r="D393" s="10">
        <v>45736</v>
      </c>
      <c r="E393" s="11" t="str">
        <f>+HYPERLINK("http://trademark.i-assist.jp/data/china/image_1928th/82298085.pdf","82298085")</f>
        <v>82298085</v>
      </c>
      <c r="F393" s="9" t="s">
        <v>1169</v>
      </c>
      <c r="G393" s="9" t="s">
        <v>1170</v>
      </c>
      <c r="H393" s="9" t="s">
        <v>1171</v>
      </c>
      <c r="I393" s="10">
        <v>45628</v>
      </c>
    </row>
    <row r="394" spans="1:9" x14ac:dyDescent="0.15">
      <c r="A394" s="9">
        <v>393</v>
      </c>
      <c r="B394" s="9" t="s">
        <v>9</v>
      </c>
      <c r="C394" s="9">
        <v>1928</v>
      </c>
      <c r="D394" s="10">
        <v>45736</v>
      </c>
      <c r="E394" s="11" t="str">
        <f>+HYPERLINK("http://trademark.i-assist.jp/data/china/image_1928th/82298121.pdf","82298121")</f>
        <v>82298121</v>
      </c>
      <c r="F394" s="9" t="s">
        <v>1172</v>
      </c>
      <c r="G394" s="9" t="s">
        <v>1167</v>
      </c>
      <c r="H394" s="12" t="s">
        <v>1173</v>
      </c>
      <c r="I394" s="10">
        <v>45628</v>
      </c>
    </row>
    <row r="395" spans="1:9" x14ac:dyDescent="0.15">
      <c r="A395" s="9">
        <v>394</v>
      </c>
      <c r="B395" s="9" t="s">
        <v>9</v>
      </c>
      <c r="C395" s="9">
        <v>1928</v>
      </c>
      <c r="D395" s="10">
        <v>45736</v>
      </c>
      <c r="E395" s="11" t="str">
        <f>+HYPERLINK("http://trademark.i-assist.jp/data/china/image_1928th/82298153.pdf","82298153")</f>
        <v>82298153</v>
      </c>
      <c r="F395" s="12" t="s">
        <v>1174</v>
      </c>
      <c r="G395" s="12" t="s">
        <v>1175</v>
      </c>
      <c r="H395" s="9" t="s">
        <v>1176</v>
      </c>
      <c r="I395" s="10">
        <v>45628</v>
      </c>
    </row>
    <row r="396" spans="1:9" x14ac:dyDescent="0.15">
      <c r="A396" s="9">
        <v>395</v>
      </c>
      <c r="B396" s="9" t="s">
        <v>9</v>
      </c>
      <c r="C396" s="9">
        <v>1928</v>
      </c>
      <c r="D396" s="10">
        <v>45736</v>
      </c>
      <c r="E396" s="11" t="str">
        <f>+HYPERLINK("http://trademark.i-assist.jp/data/china/image_1928th/82298527.pdf","82298527")</f>
        <v>82298527</v>
      </c>
      <c r="F396" s="12" t="s">
        <v>1177</v>
      </c>
      <c r="G396" s="9" t="s">
        <v>1178</v>
      </c>
      <c r="H396" s="9" t="s">
        <v>1179</v>
      </c>
      <c r="I396" s="10">
        <v>45628</v>
      </c>
    </row>
    <row r="397" spans="1:9" x14ac:dyDescent="0.15">
      <c r="A397" s="9">
        <v>396</v>
      </c>
      <c r="B397" s="9" t="s">
        <v>9</v>
      </c>
      <c r="C397" s="9">
        <v>1928</v>
      </c>
      <c r="D397" s="10">
        <v>45736</v>
      </c>
      <c r="E397" s="11" t="str">
        <f>+HYPERLINK("http://trademark.i-assist.jp/data/china/image_1928th/82299223.pdf","82299223")</f>
        <v>82299223</v>
      </c>
      <c r="F397" s="12" t="s">
        <v>18</v>
      </c>
      <c r="G397" s="9" t="s">
        <v>1180</v>
      </c>
      <c r="H397" s="12" t="s">
        <v>1181</v>
      </c>
      <c r="I397" s="10">
        <v>45628</v>
      </c>
    </row>
    <row r="398" spans="1:9" x14ac:dyDescent="0.15">
      <c r="A398" s="9">
        <v>397</v>
      </c>
      <c r="B398" s="9" t="s">
        <v>9</v>
      </c>
      <c r="C398" s="9">
        <v>1928</v>
      </c>
      <c r="D398" s="10">
        <v>45736</v>
      </c>
      <c r="E398" s="11" t="str">
        <f>+HYPERLINK("http://trademark.i-assist.jp/data/china/image_1928th/82300510.pdf","82300510")</f>
        <v>82300510</v>
      </c>
      <c r="F398" s="9" t="s">
        <v>1182</v>
      </c>
      <c r="G398" s="12" t="s">
        <v>1183</v>
      </c>
      <c r="H398" s="9" t="s">
        <v>1184</v>
      </c>
      <c r="I398" s="10">
        <v>45628</v>
      </c>
    </row>
    <row r="399" spans="1:9" x14ac:dyDescent="0.15">
      <c r="A399" s="9">
        <v>398</v>
      </c>
      <c r="B399" s="9" t="s">
        <v>9</v>
      </c>
      <c r="C399" s="9">
        <v>1928</v>
      </c>
      <c r="D399" s="10">
        <v>45736</v>
      </c>
      <c r="E399" s="11" t="str">
        <f>+HYPERLINK("http://trademark.i-assist.jp/data/china/image_1928th/82300781.pdf","82300781")</f>
        <v>82300781</v>
      </c>
      <c r="F399" s="9" t="s">
        <v>1185</v>
      </c>
      <c r="G399" s="12" t="s">
        <v>1186</v>
      </c>
      <c r="H399" s="9" t="s">
        <v>1187</v>
      </c>
      <c r="I399" s="10">
        <v>45628</v>
      </c>
    </row>
    <row r="400" spans="1:9" x14ac:dyDescent="0.15">
      <c r="A400" s="9">
        <v>399</v>
      </c>
      <c r="B400" s="9" t="s">
        <v>9</v>
      </c>
      <c r="C400" s="9">
        <v>1928</v>
      </c>
      <c r="D400" s="10">
        <v>45736</v>
      </c>
      <c r="E400" s="11" t="str">
        <f>+HYPERLINK("http://trademark.i-assist.jp/data/china/image_1928th/82301554.pdf","82301554")</f>
        <v>82301554</v>
      </c>
      <c r="F400" s="12" t="s">
        <v>1188</v>
      </c>
      <c r="G400" s="9" t="s">
        <v>1129</v>
      </c>
      <c r="H400" s="9" t="s">
        <v>1189</v>
      </c>
      <c r="I400" s="10">
        <v>45628</v>
      </c>
    </row>
    <row r="401" spans="1:9" x14ac:dyDescent="0.15">
      <c r="A401" s="9">
        <v>400</v>
      </c>
      <c r="B401" s="9" t="s">
        <v>9</v>
      </c>
      <c r="C401" s="9">
        <v>1928</v>
      </c>
      <c r="D401" s="10">
        <v>45736</v>
      </c>
      <c r="E401" s="11" t="str">
        <f>+HYPERLINK("http://trademark.i-assist.jp/data/china/image_1928th/82301636.pdf","82301636")</f>
        <v>82301636</v>
      </c>
      <c r="F401" s="9" t="s">
        <v>1190</v>
      </c>
      <c r="G401" s="12" t="s">
        <v>1191</v>
      </c>
      <c r="H401" s="9" t="s">
        <v>1192</v>
      </c>
      <c r="I401" s="10">
        <v>45628</v>
      </c>
    </row>
    <row r="402" spans="1:9" x14ac:dyDescent="0.15">
      <c r="A402" s="9">
        <v>401</v>
      </c>
      <c r="B402" s="9" t="s">
        <v>9</v>
      </c>
      <c r="C402" s="9">
        <v>1928</v>
      </c>
      <c r="D402" s="10">
        <v>45736</v>
      </c>
      <c r="E402" s="11" t="str">
        <f>+HYPERLINK("http://trademark.i-assist.jp/data/china/image_1928th/82302452.pdf","82302452")</f>
        <v>82302452</v>
      </c>
      <c r="F402" s="9" t="s">
        <v>1193</v>
      </c>
      <c r="G402" s="9" t="s">
        <v>1194</v>
      </c>
      <c r="H402" s="9" t="s">
        <v>1195</v>
      </c>
      <c r="I402" s="10">
        <v>45628</v>
      </c>
    </row>
    <row r="403" spans="1:9" x14ac:dyDescent="0.15">
      <c r="A403" s="9">
        <v>402</v>
      </c>
      <c r="B403" s="9" t="s">
        <v>9</v>
      </c>
      <c r="C403" s="9">
        <v>1928</v>
      </c>
      <c r="D403" s="10">
        <v>45736</v>
      </c>
      <c r="E403" s="11" t="str">
        <f>+HYPERLINK("http://trademark.i-assist.jp/data/china/image_1928th/82302511.pdf","82302511")</f>
        <v>82302511</v>
      </c>
      <c r="F403" s="9" t="s">
        <v>1196</v>
      </c>
      <c r="G403" s="9" t="s">
        <v>1197</v>
      </c>
      <c r="H403" s="9" t="s">
        <v>1198</v>
      </c>
      <c r="I403" s="10">
        <v>45628</v>
      </c>
    </row>
    <row r="404" spans="1:9" x14ac:dyDescent="0.15">
      <c r="A404" s="9">
        <v>403</v>
      </c>
      <c r="B404" s="9" t="s">
        <v>9</v>
      </c>
      <c r="C404" s="9">
        <v>1928</v>
      </c>
      <c r="D404" s="10">
        <v>45736</v>
      </c>
      <c r="E404" s="11" t="str">
        <f>+HYPERLINK("http://trademark.i-assist.jp/data/china/image_1928th/82302823.pdf","82302823")</f>
        <v>82302823</v>
      </c>
      <c r="F404" s="9" t="s">
        <v>1199</v>
      </c>
      <c r="G404" s="9" t="s">
        <v>1200</v>
      </c>
      <c r="H404" s="9" t="s">
        <v>1201</v>
      </c>
      <c r="I404" s="10">
        <v>45628</v>
      </c>
    </row>
    <row r="405" spans="1:9" x14ac:dyDescent="0.15">
      <c r="A405" s="9">
        <v>404</v>
      </c>
      <c r="B405" s="9" t="s">
        <v>9</v>
      </c>
      <c r="C405" s="9">
        <v>1928</v>
      </c>
      <c r="D405" s="10">
        <v>45736</v>
      </c>
      <c r="E405" s="11" t="str">
        <f>+HYPERLINK("http://trademark.i-assist.jp/data/china/image_1928th/82306118.pdf","82306118")</f>
        <v>82306118</v>
      </c>
      <c r="F405" s="9" t="s">
        <v>1202</v>
      </c>
      <c r="G405" s="9" t="s">
        <v>1203</v>
      </c>
      <c r="H405" s="9" t="s">
        <v>1204</v>
      </c>
      <c r="I405" s="10">
        <v>45629</v>
      </c>
    </row>
    <row r="406" spans="1:9" x14ac:dyDescent="0.15">
      <c r="A406" s="9">
        <v>405</v>
      </c>
      <c r="B406" s="9" t="s">
        <v>9</v>
      </c>
      <c r="C406" s="9">
        <v>1928</v>
      </c>
      <c r="D406" s="10">
        <v>45736</v>
      </c>
      <c r="E406" s="11" t="str">
        <f>+HYPERLINK("http://trademark.i-assist.jp/data/china/image_1928th/82306189.pdf","82306189")</f>
        <v>82306189</v>
      </c>
      <c r="F406" s="9" t="s">
        <v>1205</v>
      </c>
      <c r="G406" s="9" t="s">
        <v>1206</v>
      </c>
      <c r="H406" s="9" t="s">
        <v>1207</v>
      </c>
      <c r="I406" s="10">
        <v>45629</v>
      </c>
    </row>
    <row r="407" spans="1:9" x14ac:dyDescent="0.15">
      <c r="A407" s="9">
        <v>406</v>
      </c>
      <c r="B407" s="9" t="s">
        <v>9</v>
      </c>
      <c r="C407" s="9">
        <v>1928</v>
      </c>
      <c r="D407" s="10">
        <v>45736</v>
      </c>
      <c r="E407" s="11" t="str">
        <f>+HYPERLINK("http://trademark.i-assist.jp/data/china/image_1928th/82306215.pdf","82306215")</f>
        <v>82306215</v>
      </c>
      <c r="F407" s="9" t="s">
        <v>1208</v>
      </c>
      <c r="G407" s="9" t="s">
        <v>1209</v>
      </c>
      <c r="H407" s="9" t="s">
        <v>1210</v>
      </c>
      <c r="I407" s="10">
        <v>45629</v>
      </c>
    </row>
    <row r="408" spans="1:9" x14ac:dyDescent="0.15">
      <c r="A408" s="9">
        <v>407</v>
      </c>
      <c r="B408" s="9" t="s">
        <v>9</v>
      </c>
      <c r="C408" s="9">
        <v>1928</v>
      </c>
      <c r="D408" s="10">
        <v>45736</v>
      </c>
      <c r="E408" s="11" t="str">
        <f>+HYPERLINK("http://trademark.i-assist.jp/data/china/image_1928th/82306787.pdf","82306787")</f>
        <v>82306787</v>
      </c>
      <c r="F408" s="9" t="s">
        <v>1211</v>
      </c>
      <c r="G408" s="9" t="s">
        <v>1212</v>
      </c>
      <c r="H408" s="9" t="s">
        <v>1213</v>
      </c>
      <c r="I408" s="10">
        <v>45629</v>
      </c>
    </row>
    <row r="409" spans="1:9" x14ac:dyDescent="0.15">
      <c r="A409" s="9">
        <v>408</v>
      </c>
      <c r="B409" s="9" t="s">
        <v>9</v>
      </c>
      <c r="C409" s="9">
        <v>1928</v>
      </c>
      <c r="D409" s="10">
        <v>45736</v>
      </c>
      <c r="E409" s="11" t="str">
        <f>+HYPERLINK("http://trademark.i-assist.jp/data/china/image_1928th/82307972.pdf","82307972")</f>
        <v>82307972</v>
      </c>
      <c r="F409" s="12" t="s">
        <v>1214</v>
      </c>
      <c r="G409" s="12" t="s">
        <v>1215</v>
      </c>
      <c r="H409" s="9" t="s">
        <v>1216</v>
      </c>
      <c r="I409" s="10">
        <v>45629</v>
      </c>
    </row>
    <row r="410" spans="1:9" x14ac:dyDescent="0.15">
      <c r="A410" s="9">
        <v>409</v>
      </c>
      <c r="B410" s="9" t="s">
        <v>9</v>
      </c>
      <c r="C410" s="9">
        <v>1928</v>
      </c>
      <c r="D410" s="10">
        <v>45736</v>
      </c>
      <c r="E410" s="11" t="str">
        <f>+HYPERLINK("http://trademark.i-assist.jp/data/china/image_1928th/82308440.pdf","82308440")</f>
        <v>82308440</v>
      </c>
      <c r="F410" s="9" t="s">
        <v>1217</v>
      </c>
      <c r="G410" s="12" t="s">
        <v>1218</v>
      </c>
      <c r="H410" s="12" t="s">
        <v>1219</v>
      </c>
      <c r="I410" s="10">
        <v>45629</v>
      </c>
    </row>
    <row r="411" spans="1:9" x14ac:dyDescent="0.15">
      <c r="A411" s="9">
        <v>410</v>
      </c>
      <c r="B411" s="9" t="s">
        <v>9</v>
      </c>
      <c r="C411" s="9">
        <v>1928</v>
      </c>
      <c r="D411" s="10">
        <v>45736</v>
      </c>
      <c r="E411" s="11" t="str">
        <f>+HYPERLINK("http://trademark.i-assist.jp/data/china/image_1928th/82308620.pdf","82308620")</f>
        <v>82308620</v>
      </c>
      <c r="F411" s="9" t="s">
        <v>1220</v>
      </c>
      <c r="G411" s="12" t="s">
        <v>1221</v>
      </c>
      <c r="H411" s="9" t="s">
        <v>1222</v>
      </c>
      <c r="I411" s="10">
        <v>45629</v>
      </c>
    </row>
    <row r="412" spans="1:9" x14ac:dyDescent="0.15">
      <c r="A412" s="9">
        <v>411</v>
      </c>
      <c r="B412" s="9" t="s">
        <v>9</v>
      </c>
      <c r="C412" s="9">
        <v>1928</v>
      </c>
      <c r="D412" s="10">
        <v>45736</v>
      </c>
      <c r="E412" s="11" t="str">
        <f>+HYPERLINK("http://trademark.i-assist.jp/data/china/image_1928th/82310333.pdf","82310333")</f>
        <v>82310333</v>
      </c>
      <c r="F412" s="9" t="s">
        <v>1223</v>
      </c>
      <c r="G412" s="9" t="s">
        <v>1224</v>
      </c>
      <c r="H412" s="9" t="s">
        <v>1225</v>
      </c>
      <c r="I412" s="10">
        <v>45629</v>
      </c>
    </row>
    <row r="413" spans="1:9" x14ac:dyDescent="0.15">
      <c r="A413" s="9">
        <v>412</v>
      </c>
      <c r="B413" s="9" t="s">
        <v>9</v>
      </c>
      <c r="C413" s="9">
        <v>1928</v>
      </c>
      <c r="D413" s="10">
        <v>45736</v>
      </c>
      <c r="E413" s="11" t="str">
        <f>+HYPERLINK("http://trademark.i-assist.jp/data/china/image_1928th/82310756.pdf","82310756")</f>
        <v>82310756</v>
      </c>
      <c r="F413" s="9" t="s">
        <v>1226</v>
      </c>
      <c r="G413" s="9" t="s">
        <v>1227</v>
      </c>
      <c r="H413" s="9" t="s">
        <v>1228</v>
      </c>
      <c r="I413" s="10">
        <v>45629</v>
      </c>
    </row>
    <row r="414" spans="1:9" x14ac:dyDescent="0.15">
      <c r="A414" s="9">
        <v>413</v>
      </c>
      <c r="B414" s="9" t="s">
        <v>9</v>
      </c>
      <c r="C414" s="9">
        <v>1928</v>
      </c>
      <c r="D414" s="10">
        <v>45736</v>
      </c>
      <c r="E414" s="11" t="str">
        <f>+HYPERLINK("http://trademark.i-assist.jp/data/china/image_1928th/82311276.pdf","82311276")</f>
        <v>82311276</v>
      </c>
      <c r="F414" s="9" t="s">
        <v>1229</v>
      </c>
      <c r="G414" s="9" t="s">
        <v>1230</v>
      </c>
      <c r="H414" s="9" t="s">
        <v>1231</v>
      </c>
      <c r="I414" s="10">
        <v>45629</v>
      </c>
    </row>
    <row r="415" spans="1:9" x14ac:dyDescent="0.15">
      <c r="A415" s="9">
        <v>414</v>
      </c>
      <c r="B415" s="9" t="s">
        <v>9</v>
      </c>
      <c r="C415" s="9">
        <v>1928</v>
      </c>
      <c r="D415" s="10">
        <v>45736</v>
      </c>
      <c r="E415" s="11" t="str">
        <f>+HYPERLINK("http://trademark.i-assist.jp/data/china/image_1928th/82311479.pdf","82311479")</f>
        <v>82311479</v>
      </c>
      <c r="F415" s="9" t="s">
        <v>1232</v>
      </c>
      <c r="G415" s="12" t="s">
        <v>1233</v>
      </c>
      <c r="H415" s="9" t="s">
        <v>1234</v>
      </c>
      <c r="I415" s="10">
        <v>45629</v>
      </c>
    </row>
    <row r="416" spans="1:9" x14ac:dyDescent="0.15">
      <c r="A416" s="9">
        <v>415</v>
      </c>
      <c r="B416" s="9" t="s">
        <v>9</v>
      </c>
      <c r="C416" s="9">
        <v>1928</v>
      </c>
      <c r="D416" s="10">
        <v>45736</v>
      </c>
      <c r="E416" s="11" t="str">
        <f>+HYPERLINK("http://trademark.i-assist.jp/data/china/image_1928th/82312616.pdf","82312616")</f>
        <v>82312616</v>
      </c>
      <c r="F416" s="9" t="s">
        <v>1235</v>
      </c>
      <c r="G416" s="9" t="s">
        <v>1236</v>
      </c>
      <c r="H416" s="9" t="s">
        <v>1237</v>
      </c>
      <c r="I416" s="10">
        <v>45629</v>
      </c>
    </row>
    <row r="417" spans="1:9" x14ac:dyDescent="0.15">
      <c r="A417" s="9">
        <v>416</v>
      </c>
      <c r="B417" s="9" t="s">
        <v>9</v>
      </c>
      <c r="C417" s="9">
        <v>1928</v>
      </c>
      <c r="D417" s="10">
        <v>45736</v>
      </c>
      <c r="E417" s="11" t="str">
        <f>+HYPERLINK("http://trademark.i-assist.jp/data/china/image_1928th/82313883.pdf","82313883")</f>
        <v>82313883</v>
      </c>
      <c r="F417" s="9" t="s">
        <v>1238</v>
      </c>
      <c r="G417" s="9" t="s">
        <v>1239</v>
      </c>
      <c r="H417" s="9" t="s">
        <v>1240</v>
      </c>
      <c r="I417" s="10">
        <v>45629</v>
      </c>
    </row>
    <row r="418" spans="1:9" x14ac:dyDescent="0.15">
      <c r="A418" s="9">
        <v>417</v>
      </c>
      <c r="B418" s="9" t="s">
        <v>9</v>
      </c>
      <c r="C418" s="9">
        <v>1928</v>
      </c>
      <c r="D418" s="10">
        <v>45736</v>
      </c>
      <c r="E418" s="11" t="str">
        <f>+HYPERLINK("http://trademark.i-assist.jp/data/china/image_1928th/82315529.pdf","82315529")</f>
        <v>82315529</v>
      </c>
      <c r="F418" s="12" t="s">
        <v>1241</v>
      </c>
      <c r="G418" s="12" t="s">
        <v>1242</v>
      </c>
      <c r="H418" s="9" t="s">
        <v>1243</v>
      </c>
      <c r="I418" s="10">
        <v>45629</v>
      </c>
    </row>
    <row r="419" spans="1:9" x14ac:dyDescent="0.15">
      <c r="A419" s="9">
        <v>418</v>
      </c>
      <c r="B419" s="9" t="s">
        <v>9</v>
      </c>
      <c r="C419" s="9">
        <v>1928</v>
      </c>
      <c r="D419" s="10">
        <v>45736</v>
      </c>
      <c r="E419" s="11" t="str">
        <f>+HYPERLINK("http://trademark.i-assist.jp/data/china/image_1928th/82316450.pdf","82316450")</f>
        <v>82316450</v>
      </c>
      <c r="F419" s="12" t="s">
        <v>1244</v>
      </c>
      <c r="G419" s="12" t="s">
        <v>1233</v>
      </c>
      <c r="H419" s="9" t="s">
        <v>1245</v>
      </c>
      <c r="I419" s="10">
        <v>45629</v>
      </c>
    </row>
    <row r="420" spans="1:9" x14ac:dyDescent="0.15">
      <c r="A420" s="9">
        <v>419</v>
      </c>
      <c r="B420" s="9" t="s">
        <v>9</v>
      </c>
      <c r="C420" s="9">
        <v>1928</v>
      </c>
      <c r="D420" s="10">
        <v>45736</v>
      </c>
      <c r="E420" s="11" t="str">
        <f>+HYPERLINK("http://trademark.i-assist.jp/data/china/image_1928th/82316467.pdf","82316467")</f>
        <v>82316467</v>
      </c>
      <c r="F420" s="13" t="s">
        <v>1246</v>
      </c>
      <c r="G420" s="9" t="s">
        <v>89</v>
      </c>
      <c r="H420" s="9" t="s">
        <v>1247</v>
      </c>
      <c r="I420" s="10">
        <v>45629</v>
      </c>
    </row>
    <row r="421" spans="1:9" x14ac:dyDescent="0.15">
      <c r="A421" s="9">
        <v>420</v>
      </c>
      <c r="B421" s="9" t="s">
        <v>9</v>
      </c>
      <c r="C421" s="9">
        <v>1928</v>
      </c>
      <c r="D421" s="10">
        <v>45736</v>
      </c>
      <c r="E421" s="11" t="str">
        <f>+HYPERLINK("http://trademark.i-assist.jp/data/china/image_1928th/82316795.pdf","82316795")</f>
        <v>82316795</v>
      </c>
      <c r="F421" s="9" t="s">
        <v>1248</v>
      </c>
      <c r="G421" s="9" t="s">
        <v>1249</v>
      </c>
      <c r="H421" s="9" t="s">
        <v>1250</v>
      </c>
      <c r="I421" s="10">
        <v>45629</v>
      </c>
    </row>
    <row r="422" spans="1:9" x14ac:dyDescent="0.15">
      <c r="A422" s="9">
        <v>421</v>
      </c>
      <c r="B422" s="9" t="s">
        <v>9</v>
      </c>
      <c r="C422" s="9">
        <v>1928</v>
      </c>
      <c r="D422" s="10">
        <v>45736</v>
      </c>
      <c r="E422" s="11" t="str">
        <f>+HYPERLINK("http://trademark.i-assist.jp/data/china/image_1928th/82316850.pdf","82316850")</f>
        <v>82316850</v>
      </c>
      <c r="F422" s="9" t="s">
        <v>1251</v>
      </c>
      <c r="G422" s="9" t="s">
        <v>1252</v>
      </c>
      <c r="H422" s="9" t="s">
        <v>1253</v>
      </c>
      <c r="I422" s="10">
        <v>45629</v>
      </c>
    </row>
    <row r="423" spans="1:9" x14ac:dyDescent="0.15">
      <c r="A423" s="9">
        <v>422</v>
      </c>
      <c r="B423" s="9" t="s">
        <v>9</v>
      </c>
      <c r="C423" s="9">
        <v>1928</v>
      </c>
      <c r="D423" s="10">
        <v>45736</v>
      </c>
      <c r="E423" s="11" t="str">
        <f>+HYPERLINK("http://trademark.i-assist.jp/data/china/image_1928th/82317323.pdf","82317323")</f>
        <v>82317323</v>
      </c>
      <c r="F423" s="9" t="s">
        <v>1254</v>
      </c>
      <c r="G423" s="9" t="s">
        <v>1255</v>
      </c>
      <c r="H423" s="9" t="s">
        <v>1256</v>
      </c>
      <c r="I423" s="10">
        <v>45629</v>
      </c>
    </row>
    <row r="424" spans="1:9" x14ac:dyDescent="0.15">
      <c r="A424" s="9">
        <v>423</v>
      </c>
      <c r="B424" s="9" t="s">
        <v>9</v>
      </c>
      <c r="C424" s="9">
        <v>1928</v>
      </c>
      <c r="D424" s="10">
        <v>45736</v>
      </c>
      <c r="E424" s="11" t="str">
        <f>+HYPERLINK("http://trademark.i-assist.jp/data/china/image_1928th/82317523.pdf","82317523")</f>
        <v>82317523</v>
      </c>
      <c r="F424" s="9" t="s">
        <v>1257</v>
      </c>
      <c r="G424" s="12" t="s">
        <v>1258</v>
      </c>
      <c r="H424" s="9" t="s">
        <v>1259</v>
      </c>
      <c r="I424" s="10">
        <v>45629</v>
      </c>
    </row>
    <row r="425" spans="1:9" x14ac:dyDescent="0.15">
      <c r="A425" s="9">
        <v>424</v>
      </c>
      <c r="B425" s="9" t="s">
        <v>9</v>
      </c>
      <c r="C425" s="9">
        <v>1928</v>
      </c>
      <c r="D425" s="10">
        <v>45736</v>
      </c>
      <c r="E425" s="11" t="str">
        <f>+HYPERLINK("http://trademark.i-assist.jp/data/china/image_1928th/82318052.pdf","82318052")</f>
        <v>82318052</v>
      </c>
      <c r="F425" s="9" t="s">
        <v>1260</v>
      </c>
      <c r="G425" s="9" t="s">
        <v>1212</v>
      </c>
      <c r="H425" s="9" t="s">
        <v>1261</v>
      </c>
      <c r="I425" s="10">
        <v>45629</v>
      </c>
    </row>
    <row r="426" spans="1:9" x14ac:dyDescent="0.15">
      <c r="A426" s="9">
        <v>425</v>
      </c>
      <c r="B426" s="9" t="s">
        <v>9</v>
      </c>
      <c r="C426" s="9">
        <v>1928</v>
      </c>
      <c r="D426" s="10">
        <v>45736</v>
      </c>
      <c r="E426" s="11" t="str">
        <f>+HYPERLINK("http://trademark.i-assist.jp/data/china/image_1928th/82319442.pdf","82319442")</f>
        <v>82319442</v>
      </c>
      <c r="F426" s="9" t="s">
        <v>1262</v>
      </c>
      <c r="G426" s="9" t="s">
        <v>1263</v>
      </c>
      <c r="H426" s="9" t="s">
        <v>1264</v>
      </c>
      <c r="I426" s="10">
        <v>45629</v>
      </c>
    </row>
    <row r="427" spans="1:9" x14ac:dyDescent="0.15">
      <c r="A427" s="9">
        <v>426</v>
      </c>
      <c r="B427" s="9" t="s">
        <v>9</v>
      </c>
      <c r="C427" s="9">
        <v>1928</v>
      </c>
      <c r="D427" s="10">
        <v>45736</v>
      </c>
      <c r="E427" s="11" t="str">
        <f>+HYPERLINK("http://trademark.i-assist.jp/data/china/image_1928th/82319743.pdf","82319743")</f>
        <v>82319743</v>
      </c>
      <c r="F427" s="12" t="s">
        <v>18</v>
      </c>
      <c r="G427" s="9" t="s">
        <v>1265</v>
      </c>
      <c r="H427" s="12" t="s">
        <v>1266</v>
      </c>
      <c r="I427" s="10">
        <v>45629</v>
      </c>
    </row>
    <row r="428" spans="1:9" x14ac:dyDescent="0.15">
      <c r="A428" s="9">
        <v>427</v>
      </c>
      <c r="B428" s="9" t="s">
        <v>9</v>
      </c>
      <c r="C428" s="9">
        <v>1928</v>
      </c>
      <c r="D428" s="10">
        <v>45736</v>
      </c>
      <c r="E428" s="11" t="str">
        <f>+HYPERLINK("http://trademark.i-assist.jp/data/china/image_1928th/82319817.pdf","82319817")</f>
        <v>82319817</v>
      </c>
      <c r="F428" s="9" t="s">
        <v>1267</v>
      </c>
      <c r="G428" s="9" t="s">
        <v>1268</v>
      </c>
      <c r="H428" s="9" t="s">
        <v>1269</v>
      </c>
      <c r="I428" s="10">
        <v>45629</v>
      </c>
    </row>
    <row r="429" spans="1:9" x14ac:dyDescent="0.15">
      <c r="A429" s="9">
        <v>428</v>
      </c>
      <c r="B429" s="9" t="s">
        <v>9</v>
      </c>
      <c r="C429" s="9">
        <v>1928</v>
      </c>
      <c r="D429" s="10">
        <v>45736</v>
      </c>
      <c r="E429" s="11" t="str">
        <f>+HYPERLINK("http://trademark.i-assist.jp/data/china/image_1928th/82319945.pdf","82319945")</f>
        <v>82319945</v>
      </c>
      <c r="F429" s="9" t="s">
        <v>1270</v>
      </c>
      <c r="G429" s="12" t="s">
        <v>1271</v>
      </c>
      <c r="H429" s="9" t="s">
        <v>1272</v>
      </c>
      <c r="I429" s="10">
        <v>45629</v>
      </c>
    </row>
    <row r="430" spans="1:9" x14ac:dyDescent="0.15">
      <c r="A430" s="9">
        <v>429</v>
      </c>
      <c r="B430" s="9" t="s">
        <v>9</v>
      </c>
      <c r="C430" s="9">
        <v>1928</v>
      </c>
      <c r="D430" s="10">
        <v>45736</v>
      </c>
      <c r="E430" s="11" t="str">
        <f>+HYPERLINK("http://trademark.i-assist.jp/data/china/image_1928th/82320718.pdf","82320718")</f>
        <v>82320718</v>
      </c>
      <c r="F430" s="9" t="s">
        <v>1273</v>
      </c>
      <c r="G430" s="9" t="s">
        <v>1274</v>
      </c>
      <c r="H430" s="12" t="s">
        <v>1275</v>
      </c>
      <c r="I430" s="10">
        <v>45629</v>
      </c>
    </row>
    <row r="431" spans="1:9" x14ac:dyDescent="0.15">
      <c r="A431" s="9">
        <v>430</v>
      </c>
      <c r="B431" s="9" t="s">
        <v>9</v>
      </c>
      <c r="C431" s="9">
        <v>1928</v>
      </c>
      <c r="D431" s="10">
        <v>45736</v>
      </c>
      <c r="E431" s="11" t="str">
        <f>+HYPERLINK("http://trademark.i-assist.jp/data/china/image_1928th/82321071.pdf","82321071")</f>
        <v>82321071</v>
      </c>
      <c r="F431" s="9" t="s">
        <v>1276</v>
      </c>
      <c r="G431" s="12" t="s">
        <v>1233</v>
      </c>
      <c r="H431" s="12" t="s">
        <v>1277</v>
      </c>
      <c r="I431" s="10">
        <v>45629</v>
      </c>
    </row>
    <row r="432" spans="1:9" x14ac:dyDescent="0.15">
      <c r="A432" s="9">
        <v>431</v>
      </c>
      <c r="B432" s="9" t="s">
        <v>9</v>
      </c>
      <c r="C432" s="9">
        <v>1928</v>
      </c>
      <c r="D432" s="10">
        <v>45736</v>
      </c>
      <c r="E432" s="11" t="str">
        <f>+HYPERLINK("http://trademark.i-assist.jp/data/china/image_1928th/82321249.pdf","82321249")</f>
        <v>82321249</v>
      </c>
      <c r="F432" s="9" t="s">
        <v>1278</v>
      </c>
      <c r="G432" s="9" t="s">
        <v>1279</v>
      </c>
      <c r="H432" s="9" t="s">
        <v>1280</v>
      </c>
      <c r="I432" s="10">
        <v>45629</v>
      </c>
    </row>
    <row r="433" spans="1:9" x14ac:dyDescent="0.15">
      <c r="A433" s="9">
        <v>432</v>
      </c>
      <c r="B433" s="9" t="s">
        <v>9</v>
      </c>
      <c r="C433" s="9">
        <v>1928</v>
      </c>
      <c r="D433" s="10">
        <v>45736</v>
      </c>
      <c r="E433" s="11" t="str">
        <f>+HYPERLINK("http://trademark.i-assist.jp/data/china/image_1928th/82322006.pdf","82322006")</f>
        <v>82322006</v>
      </c>
      <c r="F433" s="9" t="s">
        <v>1281</v>
      </c>
      <c r="G433" s="9" t="s">
        <v>1212</v>
      </c>
      <c r="H433" s="9" t="s">
        <v>1282</v>
      </c>
      <c r="I433" s="10">
        <v>45629</v>
      </c>
    </row>
    <row r="434" spans="1:9" x14ac:dyDescent="0.15">
      <c r="A434" s="9">
        <v>433</v>
      </c>
      <c r="B434" s="9" t="s">
        <v>9</v>
      </c>
      <c r="C434" s="9">
        <v>1928</v>
      </c>
      <c r="D434" s="10">
        <v>45736</v>
      </c>
      <c r="E434" s="11" t="str">
        <f>+HYPERLINK("http://trademark.i-assist.jp/data/china/image_1928th/82322512.pdf","82322512")</f>
        <v>82322512</v>
      </c>
      <c r="F434" s="12" t="s">
        <v>18</v>
      </c>
      <c r="G434" s="9" t="s">
        <v>1283</v>
      </c>
      <c r="H434" s="12" t="s">
        <v>1284</v>
      </c>
      <c r="I434" s="10">
        <v>45629</v>
      </c>
    </row>
    <row r="435" spans="1:9" x14ac:dyDescent="0.15">
      <c r="A435" s="9">
        <v>434</v>
      </c>
      <c r="B435" s="9" t="s">
        <v>9</v>
      </c>
      <c r="C435" s="9">
        <v>1928</v>
      </c>
      <c r="D435" s="10">
        <v>45736</v>
      </c>
      <c r="E435" s="11" t="str">
        <f>+HYPERLINK("http://trademark.i-assist.jp/data/china/image_1928th/82322764.pdf","82322764")</f>
        <v>82322764</v>
      </c>
      <c r="F435" s="9" t="s">
        <v>1285</v>
      </c>
      <c r="G435" s="12" t="s">
        <v>1271</v>
      </c>
      <c r="H435" s="12" t="s">
        <v>1286</v>
      </c>
      <c r="I435" s="10">
        <v>45629</v>
      </c>
    </row>
    <row r="436" spans="1:9" x14ac:dyDescent="0.15">
      <c r="A436" s="9">
        <v>435</v>
      </c>
      <c r="B436" s="9" t="s">
        <v>9</v>
      </c>
      <c r="C436" s="9">
        <v>1928</v>
      </c>
      <c r="D436" s="10">
        <v>45736</v>
      </c>
      <c r="E436" s="11" t="str">
        <f>+HYPERLINK("http://trademark.i-assist.jp/data/china/image_1928th/82323168.pdf","82323168")</f>
        <v>82323168</v>
      </c>
      <c r="F436" s="9" t="s">
        <v>1287</v>
      </c>
      <c r="G436" s="9" t="s">
        <v>1249</v>
      </c>
      <c r="H436" s="9" t="s">
        <v>1288</v>
      </c>
      <c r="I436" s="10">
        <v>45629</v>
      </c>
    </row>
    <row r="437" spans="1:9" x14ac:dyDescent="0.15">
      <c r="A437" s="9">
        <v>436</v>
      </c>
      <c r="B437" s="9" t="s">
        <v>9</v>
      </c>
      <c r="C437" s="9">
        <v>1928</v>
      </c>
      <c r="D437" s="10">
        <v>45736</v>
      </c>
      <c r="E437" s="11" t="str">
        <f>+HYPERLINK("http://trademark.i-assist.jp/data/china/image_1928th/82323565.pdf","82323565")</f>
        <v>82323565</v>
      </c>
      <c r="F437" s="12" t="s">
        <v>1289</v>
      </c>
      <c r="G437" s="12" t="s">
        <v>1290</v>
      </c>
      <c r="H437" s="9" t="s">
        <v>1291</v>
      </c>
      <c r="I437" s="10">
        <v>45629</v>
      </c>
    </row>
    <row r="438" spans="1:9" x14ac:dyDescent="0.15">
      <c r="A438" s="9">
        <v>437</v>
      </c>
      <c r="B438" s="9" t="s">
        <v>9</v>
      </c>
      <c r="C438" s="9">
        <v>1928</v>
      </c>
      <c r="D438" s="10">
        <v>45736</v>
      </c>
      <c r="E438" s="11" t="str">
        <f>+HYPERLINK("http://trademark.i-assist.jp/data/china/image_1928th/82323602.pdf","82323602")</f>
        <v>82323602</v>
      </c>
      <c r="F438" s="9" t="s">
        <v>1292</v>
      </c>
      <c r="G438" s="12" t="s">
        <v>1233</v>
      </c>
      <c r="H438" s="9" t="s">
        <v>1293</v>
      </c>
      <c r="I438" s="10">
        <v>45629</v>
      </c>
    </row>
    <row r="439" spans="1:9" x14ac:dyDescent="0.15">
      <c r="A439" s="9">
        <v>438</v>
      </c>
      <c r="B439" s="9" t="s">
        <v>9</v>
      </c>
      <c r="C439" s="9">
        <v>1928</v>
      </c>
      <c r="D439" s="10">
        <v>45736</v>
      </c>
      <c r="E439" s="11" t="str">
        <f>+HYPERLINK("http://trademark.i-assist.jp/data/china/image_1928th/82324672.pdf","82324672")</f>
        <v>82324672</v>
      </c>
      <c r="F439" s="9" t="s">
        <v>1294</v>
      </c>
      <c r="G439" s="9" t="s">
        <v>1295</v>
      </c>
      <c r="H439" s="9" t="s">
        <v>1296</v>
      </c>
      <c r="I439" s="10">
        <v>45629</v>
      </c>
    </row>
    <row r="440" spans="1:9" x14ac:dyDescent="0.15">
      <c r="A440" s="9">
        <v>439</v>
      </c>
      <c r="B440" s="9" t="s">
        <v>9</v>
      </c>
      <c r="C440" s="9">
        <v>1928</v>
      </c>
      <c r="D440" s="10">
        <v>45736</v>
      </c>
      <c r="E440" s="11" t="str">
        <f>+HYPERLINK("http://trademark.i-assist.jp/data/china/image_1928th/82324727.pdf","82324727")</f>
        <v>82324727</v>
      </c>
      <c r="F440" s="9" t="s">
        <v>1297</v>
      </c>
      <c r="G440" s="12" t="s">
        <v>1298</v>
      </c>
      <c r="H440" s="9" t="s">
        <v>1299</v>
      </c>
      <c r="I440" s="10">
        <v>45629</v>
      </c>
    </row>
    <row r="441" spans="1:9" x14ac:dyDescent="0.15">
      <c r="A441" s="9">
        <v>440</v>
      </c>
      <c r="B441" s="9" t="s">
        <v>9</v>
      </c>
      <c r="C441" s="9">
        <v>1928</v>
      </c>
      <c r="D441" s="10">
        <v>45736</v>
      </c>
      <c r="E441" s="11" t="str">
        <f>+HYPERLINK("http://trademark.i-assist.jp/data/china/image_1928th/82325017.pdf","82325017")</f>
        <v>82325017</v>
      </c>
      <c r="F441" s="9" t="s">
        <v>1300</v>
      </c>
      <c r="G441" s="9" t="s">
        <v>1301</v>
      </c>
      <c r="H441" s="9" t="s">
        <v>1302</v>
      </c>
      <c r="I441" s="10">
        <v>45629</v>
      </c>
    </row>
    <row r="442" spans="1:9" x14ac:dyDescent="0.15">
      <c r="A442" s="9">
        <v>441</v>
      </c>
      <c r="B442" s="9" t="s">
        <v>9</v>
      </c>
      <c r="C442" s="9">
        <v>1928</v>
      </c>
      <c r="D442" s="10">
        <v>45736</v>
      </c>
      <c r="E442" s="11" t="str">
        <f>+HYPERLINK("http://trademark.i-assist.jp/data/china/image_1928th/82325047.pdf","82325047")</f>
        <v>82325047</v>
      </c>
      <c r="F442" s="9" t="s">
        <v>1303</v>
      </c>
      <c r="G442" s="12" t="s">
        <v>1304</v>
      </c>
      <c r="H442" s="9" t="s">
        <v>1305</v>
      </c>
      <c r="I442" s="10">
        <v>45629</v>
      </c>
    </row>
    <row r="443" spans="1:9" x14ac:dyDescent="0.15">
      <c r="A443" s="9">
        <v>442</v>
      </c>
      <c r="B443" s="9" t="s">
        <v>9</v>
      </c>
      <c r="C443" s="9">
        <v>1928</v>
      </c>
      <c r="D443" s="10">
        <v>45736</v>
      </c>
      <c r="E443" s="11" t="str">
        <f>+HYPERLINK("http://trademark.i-assist.jp/data/china/image_1928th/82325263.pdf","82325263")</f>
        <v>82325263</v>
      </c>
      <c r="F443" s="9" t="s">
        <v>1306</v>
      </c>
      <c r="G443" s="12" t="s">
        <v>1307</v>
      </c>
      <c r="H443" s="9" t="s">
        <v>1308</v>
      </c>
      <c r="I443" s="10">
        <v>45629</v>
      </c>
    </row>
    <row r="444" spans="1:9" x14ac:dyDescent="0.15">
      <c r="A444" s="9">
        <v>443</v>
      </c>
      <c r="B444" s="9" t="s">
        <v>9</v>
      </c>
      <c r="C444" s="9">
        <v>1928</v>
      </c>
      <c r="D444" s="10">
        <v>45736</v>
      </c>
      <c r="E444" s="11" t="str">
        <f>+HYPERLINK("http://trademark.i-assist.jp/data/china/image_1928th/82328042.pdf","82328042")</f>
        <v>82328042</v>
      </c>
      <c r="F444" s="9" t="s">
        <v>1309</v>
      </c>
      <c r="G444" s="9" t="s">
        <v>1310</v>
      </c>
      <c r="H444" s="9" t="s">
        <v>1311</v>
      </c>
      <c r="I444" s="10">
        <v>45629</v>
      </c>
    </row>
    <row r="445" spans="1:9" x14ac:dyDescent="0.15">
      <c r="A445" s="9">
        <v>444</v>
      </c>
      <c r="B445" s="9" t="s">
        <v>9</v>
      </c>
      <c r="C445" s="9">
        <v>1928</v>
      </c>
      <c r="D445" s="10">
        <v>45736</v>
      </c>
      <c r="E445" s="11" t="str">
        <f>+HYPERLINK("http://trademark.i-assist.jp/data/china/image_1928th/82328414.pdf","82328414")</f>
        <v>82328414</v>
      </c>
      <c r="F445" s="9" t="s">
        <v>1312</v>
      </c>
      <c r="G445" s="9" t="s">
        <v>88</v>
      </c>
      <c r="H445" s="9" t="s">
        <v>1313</v>
      </c>
      <c r="I445" s="10">
        <v>45629</v>
      </c>
    </row>
    <row r="446" spans="1:9" x14ac:dyDescent="0.15">
      <c r="A446" s="9">
        <v>445</v>
      </c>
      <c r="B446" s="9" t="s">
        <v>9</v>
      </c>
      <c r="C446" s="9">
        <v>1928</v>
      </c>
      <c r="D446" s="10">
        <v>45736</v>
      </c>
      <c r="E446" s="11" t="str">
        <f>+HYPERLINK("http://trademark.i-assist.jp/data/china/image_1928th/82329948.pdf","82329948")</f>
        <v>82329948</v>
      </c>
      <c r="F446" s="9" t="s">
        <v>1314</v>
      </c>
      <c r="G446" s="9" t="s">
        <v>1315</v>
      </c>
      <c r="H446" s="9" t="s">
        <v>1316</v>
      </c>
      <c r="I446" s="10">
        <v>45629</v>
      </c>
    </row>
    <row r="447" spans="1:9" x14ac:dyDescent="0.15">
      <c r="A447" s="9">
        <v>446</v>
      </c>
      <c r="B447" s="9" t="s">
        <v>9</v>
      </c>
      <c r="C447" s="9">
        <v>1928</v>
      </c>
      <c r="D447" s="10">
        <v>45736</v>
      </c>
      <c r="E447" s="11" t="str">
        <f>+HYPERLINK("http://trademark.i-assist.jp/data/china/image_1928th/82330489.pdf","82330489")</f>
        <v>82330489</v>
      </c>
      <c r="F447" s="9" t="s">
        <v>1317</v>
      </c>
      <c r="G447" s="9" t="s">
        <v>86</v>
      </c>
      <c r="H447" s="9" t="s">
        <v>1318</v>
      </c>
      <c r="I447" s="10">
        <v>45629</v>
      </c>
    </row>
    <row r="448" spans="1:9" x14ac:dyDescent="0.15">
      <c r="A448" s="9">
        <v>447</v>
      </c>
      <c r="B448" s="9" t="s">
        <v>9</v>
      </c>
      <c r="C448" s="9">
        <v>1928</v>
      </c>
      <c r="D448" s="10">
        <v>45736</v>
      </c>
      <c r="E448" s="11" t="str">
        <f>+HYPERLINK("http://trademark.i-assist.jp/data/china/image_1928th/82330563.pdf","82330563")</f>
        <v>82330563</v>
      </c>
      <c r="F448" s="12" t="s">
        <v>1319</v>
      </c>
      <c r="G448" s="9" t="s">
        <v>1320</v>
      </c>
      <c r="H448" s="12" t="s">
        <v>1321</v>
      </c>
      <c r="I448" s="10">
        <v>45629</v>
      </c>
    </row>
    <row r="449" spans="1:9" x14ac:dyDescent="0.15">
      <c r="A449" s="9">
        <v>448</v>
      </c>
      <c r="B449" s="9" t="s">
        <v>9</v>
      </c>
      <c r="C449" s="9">
        <v>1928</v>
      </c>
      <c r="D449" s="10">
        <v>45736</v>
      </c>
      <c r="E449" s="11" t="str">
        <f>+HYPERLINK("http://trademark.i-assist.jp/data/china/image_1928th/82331075.pdf","82331075")</f>
        <v>82331075</v>
      </c>
      <c r="F449" s="9" t="s">
        <v>1322</v>
      </c>
      <c r="G449" s="12" t="s">
        <v>1323</v>
      </c>
      <c r="H449" s="9" t="s">
        <v>1324</v>
      </c>
      <c r="I449" s="10">
        <v>45629</v>
      </c>
    </row>
    <row r="450" spans="1:9" x14ac:dyDescent="0.15">
      <c r="A450" s="9">
        <v>449</v>
      </c>
      <c r="B450" s="9" t="s">
        <v>9</v>
      </c>
      <c r="C450" s="9">
        <v>1928</v>
      </c>
      <c r="D450" s="10">
        <v>45736</v>
      </c>
      <c r="E450" s="11" t="str">
        <f>+HYPERLINK("http://trademark.i-assist.jp/data/china/image_1928th/82331852.pdf","82331852")</f>
        <v>82331852</v>
      </c>
      <c r="F450" s="9" t="s">
        <v>1325</v>
      </c>
      <c r="G450" s="12" t="s">
        <v>53</v>
      </c>
      <c r="H450" s="12" t="s">
        <v>1326</v>
      </c>
      <c r="I450" s="10">
        <v>45629</v>
      </c>
    </row>
    <row r="451" spans="1:9" x14ac:dyDescent="0.15">
      <c r="A451" s="9">
        <v>450</v>
      </c>
      <c r="B451" s="9" t="s">
        <v>9</v>
      </c>
      <c r="C451" s="9">
        <v>1928</v>
      </c>
      <c r="D451" s="10">
        <v>45736</v>
      </c>
      <c r="E451" s="11" t="str">
        <f>+HYPERLINK("http://trademark.i-assist.jp/data/china/image_1928th/82335471.pdf","82335471")</f>
        <v>82335471</v>
      </c>
      <c r="F451" s="9" t="s">
        <v>1327</v>
      </c>
      <c r="G451" s="9" t="s">
        <v>1328</v>
      </c>
      <c r="H451" s="9" t="s">
        <v>1329</v>
      </c>
      <c r="I451" s="10">
        <v>45629</v>
      </c>
    </row>
    <row r="452" spans="1:9" x14ac:dyDescent="0.15">
      <c r="A452" s="9">
        <v>451</v>
      </c>
      <c r="B452" s="9" t="s">
        <v>9</v>
      </c>
      <c r="C452" s="9">
        <v>1928</v>
      </c>
      <c r="D452" s="10">
        <v>45736</v>
      </c>
      <c r="E452" s="11" t="str">
        <f>+HYPERLINK("http://trademark.i-assist.jp/data/china/image_1928th/82336183.pdf","82336183")</f>
        <v>82336183</v>
      </c>
      <c r="F452" s="9" t="s">
        <v>1330</v>
      </c>
      <c r="G452" s="9" t="s">
        <v>1331</v>
      </c>
      <c r="H452" s="12" t="s">
        <v>1332</v>
      </c>
      <c r="I452" s="10">
        <v>45629</v>
      </c>
    </row>
    <row r="453" spans="1:9" x14ac:dyDescent="0.15">
      <c r="A453" s="9">
        <v>452</v>
      </c>
      <c r="B453" s="9" t="s">
        <v>9</v>
      </c>
      <c r="C453" s="9">
        <v>1928</v>
      </c>
      <c r="D453" s="10">
        <v>45736</v>
      </c>
      <c r="E453" s="11" t="str">
        <f>+HYPERLINK("http://trademark.i-assist.jp/data/china/image_1928th/82336664.pdf","82336664")</f>
        <v>82336664</v>
      </c>
      <c r="F453" s="12" t="s">
        <v>1333</v>
      </c>
      <c r="G453" s="9" t="s">
        <v>1334</v>
      </c>
      <c r="H453" s="9" t="s">
        <v>1335</v>
      </c>
      <c r="I453" s="10">
        <v>45629</v>
      </c>
    </row>
    <row r="454" spans="1:9" x14ac:dyDescent="0.15">
      <c r="A454" s="9">
        <v>453</v>
      </c>
      <c r="B454" s="9" t="s">
        <v>9</v>
      </c>
      <c r="C454" s="9">
        <v>1928</v>
      </c>
      <c r="D454" s="10">
        <v>45736</v>
      </c>
      <c r="E454" s="11" t="str">
        <f>+HYPERLINK("http://trademark.i-assist.jp/data/china/image_1928th/82336830.pdf","82336830")</f>
        <v>82336830</v>
      </c>
      <c r="F454" s="9" t="s">
        <v>1336</v>
      </c>
      <c r="G454" s="9" t="s">
        <v>1337</v>
      </c>
      <c r="H454" s="9" t="s">
        <v>1338</v>
      </c>
      <c r="I454" s="10">
        <v>45629</v>
      </c>
    </row>
    <row r="455" spans="1:9" x14ac:dyDescent="0.15">
      <c r="A455" s="9">
        <v>454</v>
      </c>
      <c r="B455" s="9" t="s">
        <v>9</v>
      </c>
      <c r="C455" s="9">
        <v>1928</v>
      </c>
      <c r="D455" s="10">
        <v>45736</v>
      </c>
      <c r="E455" s="11" t="str">
        <f>+HYPERLINK("http://trademark.i-assist.jp/data/china/image_1928th/82338032.pdf","82338032")</f>
        <v>82338032</v>
      </c>
      <c r="F455" s="12" t="s">
        <v>1339</v>
      </c>
      <c r="G455" s="12" t="s">
        <v>1340</v>
      </c>
      <c r="H455" s="9" t="s">
        <v>1341</v>
      </c>
      <c r="I455" s="10">
        <v>45630</v>
      </c>
    </row>
    <row r="456" spans="1:9" x14ac:dyDescent="0.15">
      <c r="A456" s="9">
        <v>455</v>
      </c>
      <c r="B456" s="9" t="s">
        <v>9</v>
      </c>
      <c r="C456" s="9">
        <v>1928</v>
      </c>
      <c r="D456" s="10">
        <v>45736</v>
      </c>
      <c r="E456" s="11" t="str">
        <f>+HYPERLINK("http://trademark.i-assist.jp/data/china/image_1928th/82339775.pdf","82339775")</f>
        <v>82339775</v>
      </c>
      <c r="F456" s="9" t="s">
        <v>1342</v>
      </c>
      <c r="G456" s="9" t="s">
        <v>93</v>
      </c>
      <c r="H456" s="9" t="s">
        <v>1343</v>
      </c>
      <c r="I456" s="10">
        <v>45630</v>
      </c>
    </row>
    <row r="457" spans="1:9" x14ac:dyDescent="0.15">
      <c r="A457" s="9">
        <v>456</v>
      </c>
      <c r="B457" s="9" t="s">
        <v>9</v>
      </c>
      <c r="C457" s="9">
        <v>1928</v>
      </c>
      <c r="D457" s="10">
        <v>45736</v>
      </c>
      <c r="E457" s="11" t="str">
        <f>+HYPERLINK("http://trademark.i-assist.jp/data/china/image_1928th/82340605.pdf","82340605")</f>
        <v>82340605</v>
      </c>
      <c r="F457" s="9" t="s">
        <v>1344</v>
      </c>
      <c r="G457" s="12" t="s">
        <v>1345</v>
      </c>
      <c r="H457" s="9" t="s">
        <v>1346</v>
      </c>
      <c r="I457" s="10">
        <v>45630</v>
      </c>
    </row>
    <row r="458" spans="1:9" x14ac:dyDescent="0.15">
      <c r="A458" s="9">
        <v>457</v>
      </c>
      <c r="B458" s="9" t="s">
        <v>9</v>
      </c>
      <c r="C458" s="9">
        <v>1928</v>
      </c>
      <c r="D458" s="10">
        <v>45736</v>
      </c>
      <c r="E458" s="11" t="str">
        <f>+HYPERLINK("http://trademark.i-assist.jp/data/china/image_1928th/82341070.pdf","82341070")</f>
        <v>82341070</v>
      </c>
      <c r="F458" s="12" t="s">
        <v>1347</v>
      </c>
      <c r="G458" s="9" t="s">
        <v>1348</v>
      </c>
      <c r="H458" s="9" t="s">
        <v>1349</v>
      </c>
      <c r="I458" s="10">
        <v>45630</v>
      </c>
    </row>
    <row r="459" spans="1:9" x14ac:dyDescent="0.15">
      <c r="A459" s="9">
        <v>458</v>
      </c>
      <c r="B459" s="9" t="s">
        <v>9</v>
      </c>
      <c r="C459" s="9">
        <v>1928</v>
      </c>
      <c r="D459" s="10">
        <v>45736</v>
      </c>
      <c r="E459" s="11" t="str">
        <f>+HYPERLINK("http://trademark.i-assist.jp/data/china/image_1928th/82343540.pdf","82343540")</f>
        <v>82343540</v>
      </c>
      <c r="F459" s="9" t="s">
        <v>1350</v>
      </c>
      <c r="G459" s="12" t="s">
        <v>1351</v>
      </c>
      <c r="H459" s="9" t="s">
        <v>1352</v>
      </c>
      <c r="I459" s="10">
        <v>45630</v>
      </c>
    </row>
    <row r="460" spans="1:9" x14ac:dyDescent="0.15">
      <c r="A460" s="9">
        <v>459</v>
      </c>
      <c r="B460" s="9" t="s">
        <v>9</v>
      </c>
      <c r="C460" s="9">
        <v>1928</v>
      </c>
      <c r="D460" s="10">
        <v>45736</v>
      </c>
      <c r="E460" s="11" t="str">
        <f>+HYPERLINK("http://trademark.i-assist.jp/data/china/image_1928th/82344435.pdf","82344435")</f>
        <v>82344435</v>
      </c>
      <c r="F460" s="12" t="s">
        <v>1353</v>
      </c>
      <c r="G460" s="9" t="s">
        <v>1354</v>
      </c>
      <c r="H460" s="9" t="s">
        <v>1355</v>
      </c>
      <c r="I460" s="10">
        <v>45630</v>
      </c>
    </row>
    <row r="461" spans="1:9" x14ac:dyDescent="0.15">
      <c r="A461" s="9">
        <v>460</v>
      </c>
      <c r="B461" s="9" t="s">
        <v>9</v>
      </c>
      <c r="C461" s="9">
        <v>1928</v>
      </c>
      <c r="D461" s="10">
        <v>45736</v>
      </c>
      <c r="E461" s="11" t="str">
        <f>+HYPERLINK("http://trademark.i-assist.jp/data/china/image_1928th/82345055.pdf","82345055")</f>
        <v>82345055</v>
      </c>
      <c r="F461" s="12" t="s">
        <v>1356</v>
      </c>
      <c r="G461" s="9" t="s">
        <v>1357</v>
      </c>
      <c r="H461" s="9" t="s">
        <v>1358</v>
      </c>
      <c r="I461" s="10">
        <v>45630</v>
      </c>
    </row>
    <row r="462" spans="1:9" x14ac:dyDescent="0.15">
      <c r="A462" s="9">
        <v>461</v>
      </c>
      <c r="B462" s="9" t="s">
        <v>9</v>
      </c>
      <c r="C462" s="9">
        <v>1928</v>
      </c>
      <c r="D462" s="10">
        <v>45736</v>
      </c>
      <c r="E462" s="11" t="str">
        <f>+HYPERLINK("http://trademark.i-assist.jp/data/china/image_1928th/82345232.pdf","82345232")</f>
        <v>82345232</v>
      </c>
      <c r="F462" s="9" t="s">
        <v>1359</v>
      </c>
      <c r="G462" s="12" t="s">
        <v>1360</v>
      </c>
      <c r="H462" s="9" t="s">
        <v>1361</v>
      </c>
      <c r="I462" s="10">
        <v>45630</v>
      </c>
    </row>
    <row r="463" spans="1:9" x14ac:dyDescent="0.15">
      <c r="A463" s="9">
        <v>462</v>
      </c>
      <c r="B463" s="9" t="s">
        <v>9</v>
      </c>
      <c r="C463" s="9">
        <v>1928</v>
      </c>
      <c r="D463" s="10">
        <v>45736</v>
      </c>
      <c r="E463" s="11" t="str">
        <f>+HYPERLINK("http://trademark.i-assist.jp/data/china/image_1928th/82345570.pdf","82345570")</f>
        <v>82345570</v>
      </c>
      <c r="F463" s="9" t="s">
        <v>1362</v>
      </c>
      <c r="G463" s="9" t="s">
        <v>1363</v>
      </c>
      <c r="H463" s="9" t="s">
        <v>1364</v>
      </c>
      <c r="I463" s="10">
        <v>45630</v>
      </c>
    </row>
    <row r="464" spans="1:9" x14ac:dyDescent="0.15">
      <c r="A464" s="9">
        <v>463</v>
      </c>
      <c r="B464" s="9" t="s">
        <v>9</v>
      </c>
      <c r="C464" s="9">
        <v>1928</v>
      </c>
      <c r="D464" s="10">
        <v>45736</v>
      </c>
      <c r="E464" s="11" t="str">
        <f>+HYPERLINK("http://trademark.i-assist.jp/data/china/image_1928th/82345865.pdf","82345865")</f>
        <v>82345865</v>
      </c>
      <c r="F464" s="9" t="s">
        <v>1365</v>
      </c>
      <c r="G464" s="12" t="s">
        <v>1366</v>
      </c>
      <c r="H464" s="9" t="s">
        <v>1367</v>
      </c>
      <c r="I464" s="10">
        <v>45630</v>
      </c>
    </row>
    <row r="465" spans="1:9" x14ac:dyDescent="0.15">
      <c r="A465" s="9">
        <v>464</v>
      </c>
      <c r="B465" s="9" t="s">
        <v>9</v>
      </c>
      <c r="C465" s="9">
        <v>1928</v>
      </c>
      <c r="D465" s="10">
        <v>45736</v>
      </c>
      <c r="E465" s="11" t="str">
        <f>+HYPERLINK("http://trademark.i-assist.jp/data/china/image_1928th/82346466.pdf","82346466")</f>
        <v>82346466</v>
      </c>
      <c r="F465" s="9" t="s">
        <v>1368</v>
      </c>
      <c r="G465" s="9" t="s">
        <v>1369</v>
      </c>
      <c r="H465" s="9" t="s">
        <v>1370</v>
      </c>
      <c r="I465" s="10">
        <v>45630</v>
      </c>
    </row>
    <row r="466" spans="1:9" x14ac:dyDescent="0.15">
      <c r="A466" s="9">
        <v>465</v>
      </c>
      <c r="B466" s="9" t="s">
        <v>9</v>
      </c>
      <c r="C466" s="9">
        <v>1928</v>
      </c>
      <c r="D466" s="10">
        <v>45736</v>
      </c>
      <c r="E466" s="11" t="str">
        <f>+HYPERLINK("http://trademark.i-assist.jp/data/china/image_1928th/82349705.pdf","82349705")</f>
        <v>82349705</v>
      </c>
      <c r="F466" s="9" t="s">
        <v>1371</v>
      </c>
      <c r="G466" s="9" t="s">
        <v>1372</v>
      </c>
      <c r="H466" s="9" t="s">
        <v>1373</v>
      </c>
      <c r="I466" s="10">
        <v>45630</v>
      </c>
    </row>
    <row r="467" spans="1:9" x14ac:dyDescent="0.15">
      <c r="A467" s="9">
        <v>466</v>
      </c>
      <c r="B467" s="9" t="s">
        <v>9</v>
      </c>
      <c r="C467" s="9">
        <v>1928</v>
      </c>
      <c r="D467" s="10">
        <v>45736</v>
      </c>
      <c r="E467" s="11" t="str">
        <f>+HYPERLINK("http://trademark.i-assist.jp/data/china/image_1928th/82351728.pdf","82351728")</f>
        <v>82351728</v>
      </c>
      <c r="F467" s="9" t="s">
        <v>1374</v>
      </c>
      <c r="G467" s="12" t="s">
        <v>1366</v>
      </c>
      <c r="H467" s="9" t="s">
        <v>1375</v>
      </c>
      <c r="I467" s="10">
        <v>45630</v>
      </c>
    </row>
    <row r="468" spans="1:9" x14ac:dyDescent="0.15">
      <c r="A468" s="9">
        <v>467</v>
      </c>
      <c r="B468" s="9" t="s">
        <v>9</v>
      </c>
      <c r="C468" s="9">
        <v>1928</v>
      </c>
      <c r="D468" s="10">
        <v>45736</v>
      </c>
      <c r="E468" s="11" t="str">
        <f>+HYPERLINK("http://trademark.i-assist.jp/data/china/image_1928th/82352039.pdf","82352039")</f>
        <v>82352039</v>
      </c>
      <c r="F468" s="9" t="s">
        <v>1376</v>
      </c>
      <c r="G468" s="9" t="s">
        <v>1377</v>
      </c>
      <c r="H468" s="9" t="s">
        <v>1378</v>
      </c>
      <c r="I468" s="10">
        <v>45630</v>
      </c>
    </row>
    <row r="469" spans="1:9" x14ac:dyDescent="0.15">
      <c r="A469" s="9">
        <v>468</v>
      </c>
      <c r="B469" s="9" t="s">
        <v>9</v>
      </c>
      <c r="C469" s="9">
        <v>1928</v>
      </c>
      <c r="D469" s="10">
        <v>45736</v>
      </c>
      <c r="E469" s="11" t="str">
        <f>+HYPERLINK("http://trademark.i-assist.jp/data/china/image_1928th/82352344.pdf","82352344")</f>
        <v>82352344</v>
      </c>
      <c r="F469" s="9" t="s">
        <v>1379</v>
      </c>
      <c r="G469" s="9" t="s">
        <v>1380</v>
      </c>
      <c r="H469" s="9" t="s">
        <v>1381</v>
      </c>
      <c r="I469" s="10">
        <v>45630</v>
      </c>
    </row>
    <row r="470" spans="1:9" x14ac:dyDescent="0.15">
      <c r="A470" s="9">
        <v>469</v>
      </c>
      <c r="B470" s="9" t="s">
        <v>9</v>
      </c>
      <c r="C470" s="9">
        <v>1928</v>
      </c>
      <c r="D470" s="10">
        <v>45736</v>
      </c>
      <c r="E470" s="11" t="str">
        <f>+HYPERLINK("http://trademark.i-assist.jp/data/china/image_1928th/82352998.pdf","82352998")</f>
        <v>82352998</v>
      </c>
      <c r="F470" s="9" t="s">
        <v>1382</v>
      </c>
      <c r="G470" s="9" t="s">
        <v>1383</v>
      </c>
      <c r="H470" s="9" t="s">
        <v>1384</v>
      </c>
      <c r="I470" s="10">
        <v>45630</v>
      </c>
    </row>
    <row r="471" spans="1:9" x14ac:dyDescent="0.15">
      <c r="A471" s="9">
        <v>470</v>
      </c>
      <c r="B471" s="9" t="s">
        <v>9</v>
      </c>
      <c r="C471" s="9">
        <v>1928</v>
      </c>
      <c r="D471" s="10">
        <v>45736</v>
      </c>
      <c r="E471" s="11" t="str">
        <f>+HYPERLINK("http://trademark.i-assist.jp/data/china/image_1928th/82355417.pdf","82355417")</f>
        <v>82355417</v>
      </c>
      <c r="F471" s="9" t="s">
        <v>1385</v>
      </c>
      <c r="G471" s="9" t="s">
        <v>1386</v>
      </c>
      <c r="H471" s="9" t="s">
        <v>1387</v>
      </c>
      <c r="I471" s="10">
        <v>45630</v>
      </c>
    </row>
    <row r="472" spans="1:9" x14ac:dyDescent="0.15">
      <c r="A472" s="9">
        <v>471</v>
      </c>
      <c r="B472" s="9" t="s">
        <v>9</v>
      </c>
      <c r="C472" s="9">
        <v>1928</v>
      </c>
      <c r="D472" s="10">
        <v>45736</v>
      </c>
      <c r="E472" s="11" t="str">
        <f>+HYPERLINK("http://trademark.i-assist.jp/data/china/image_1928th/82356200.pdf","82356200")</f>
        <v>82356200</v>
      </c>
      <c r="F472" s="9" t="s">
        <v>1388</v>
      </c>
      <c r="G472" s="12" t="s">
        <v>1389</v>
      </c>
      <c r="H472" s="9" t="s">
        <v>1390</v>
      </c>
      <c r="I472" s="10">
        <v>45630</v>
      </c>
    </row>
    <row r="473" spans="1:9" x14ac:dyDescent="0.15">
      <c r="A473" s="9">
        <v>472</v>
      </c>
      <c r="B473" s="9" t="s">
        <v>9</v>
      </c>
      <c r="C473" s="9">
        <v>1928</v>
      </c>
      <c r="D473" s="10">
        <v>45736</v>
      </c>
      <c r="E473" s="11" t="str">
        <f>+HYPERLINK("http://trademark.i-assist.jp/data/china/image_1928th/82356356.pdf","82356356")</f>
        <v>82356356</v>
      </c>
      <c r="F473" s="9" t="s">
        <v>1391</v>
      </c>
      <c r="G473" s="9" t="s">
        <v>1392</v>
      </c>
      <c r="H473" s="9" t="s">
        <v>1393</v>
      </c>
      <c r="I473" s="10">
        <v>45630</v>
      </c>
    </row>
    <row r="474" spans="1:9" x14ac:dyDescent="0.15">
      <c r="A474" s="9">
        <v>473</v>
      </c>
      <c r="B474" s="9" t="s">
        <v>9</v>
      </c>
      <c r="C474" s="9">
        <v>1928</v>
      </c>
      <c r="D474" s="10">
        <v>45736</v>
      </c>
      <c r="E474" s="11" t="str">
        <f>+HYPERLINK("http://trademark.i-assist.jp/data/china/image_1928th/82358660.pdf","82358660")</f>
        <v>82358660</v>
      </c>
      <c r="F474" s="9" t="s">
        <v>1376</v>
      </c>
      <c r="G474" s="9" t="s">
        <v>1377</v>
      </c>
      <c r="H474" s="9" t="s">
        <v>1394</v>
      </c>
      <c r="I474" s="10">
        <v>45630</v>
      </c>
    </row>
    <row r="475" spans="1:9" x14ac:dyDescent="0.15">
      <c r="A475" s="9">
        <v>474</v>
      </c>
      <c r="B475" s="9" t="s">
        <v>9</v>
      </c>
      <c r="C475" s="9">
        <v>1928</v>
      </c>
      <c r="D475" s="10">
        <v>45736</v>
      </c>
      <c r="E475" s="11" t="str">
        <f>+HYPERLINK("http://trademark.i-assist.jp/data/china/image_1928th/82358663.pdf","82358663")</f>
        <v>82358663</v>
      </c>
      <c r="F475" s="9" t="s">
        <v>1395</v>
      </c>
      <c r="G475" s="9" t="s">
        <v>1396</v>
      </c>
      <c r="H475" s="9" t="s">
        <v>1397</v>
      </c>
      <c r="I475" s="10">
        <v>45630</v>
      </c>
    </row>
    <row r="476" spans="1:9" x14ac:dyDescent="0.15">
      <c r="A476" s="9">
        <v>475</v>
      </c>
      <c r="B476" s="9" t="s">
        <v>9</v>
      </c>
      <c r="C476" s="9">
        <v>1928</v>
      </c>
      <c r="D476" s="10">
        <v>45736</v>
      </c>
      <c r="E476" s="11" t="str">
        <f>+HYPERLINK("http://trademark.i-assist.jp/data/china/image_1928th/82359522.pdf","82359522")</f>
        <v>82359522</v>
      </c>
      <c r="F476" s="9" t="s">
        <v>1398</v>
      </c>
      <c r="G476" s="9" t="s">
        <v>1399</v>
      </c>
      <c r="H476" s="9" t="s">
        <v>1400</v>
      </c>
      <c r="I476" s="10">
        <v>45630</v>
      </c>
    </row>
    <row r="477" spans="1:9" x14ac:dyDescent="0.15">
      <c r="A477" s="9">
        <v>476</v>
      </c>
      <c r="B477" s="9" t="s">
        <v>9</v>
      </c>
      <c r="C477" s="9">
        <v>1928</v>
      </c>
      <c r="D477" s="10">
        <v>45736</v>
      </c>
      <c r="E477" s="11" t="str">
        <f>+HYPERLINK("http://trademark.i-assist.jp/data/china/image_1928th/82359548.pdf","82359548")</f>
        <v>82359548</v>
      </c>
      <c r="F477" s="9" t="s">
        <v>1401</v>
      </c>
      <c r="G477" s="9" t="s">
        <v>1402</v>
      </c>
      <c r="H477" s="9" t="s">
        <v>1403</v>
      </c>
      <c r="I477" s="10">
        <v>45630</v>
      </c>
    </row>
    <row r="478" spans="1:9" x14ac:dyDescent="0.15">
      <c r="A478" s="9">
        <v>477</v>
      </c>
      <c r="B478" s="9" t="s">
        <v>9</v>
      </c>
      <c r="C478" s="9">
        <v>1928</v>
      </c>
      <c r="D478" s="10">
        <v>45736</v>
      </c>
      <c r="E478" s="11" t="str">
        <f>+HYPERLINK("http://trademark.i-assist.jp/data/china/image_1928th/82360006.pdf","82360006")</f>
        <v>82360006</v>
      </c>
      <c r="F478" s="12" t="s">
        <v>1404</v>
      </c>
      <c r="G478" s="9" t="s">
        <v>1405</v>
      </c>
      <c r="H478" s="9" t="s">
        <v>1406</v>
      </c>
      <c r="I478" s="10">
        <v>45630</v>
      </c>
    </row>
    <row r="479" spans="1:9" x14ac:dyDescent="0.15">
      <c r="A479" s="9">
        <v>478</v>
      </c>
      <c r="B479" s="9" t="s">
        <v>9</v>
      </c>
      <c r="C479" s="9">
        <v>1928</v>
      </c>
      <c r="D479" s="10">
        <v>45736</v>
      </c>
      <c r="E479" s="11" t="str">
        <f>+HYPERLINK("http://trademark.i-assist.jp/data/china/image_1928th/82360027.pdf","82360027")</f>
        <v>82360027</v>
      </c>
      <c r="F479" s="9" t="s">
        <v>1407</v>
      </c>
      <c r="G479" s="12" t="s">
        <v>1408</v>
      </c>
      <c r="H479" s="9" t="s">
        <v>1409</v>
      </c>
      <c r="I479" s="10">
        <v>45630</v>
      </c>
    </row>
    <row r="480" spans="1:9" x14ac:dyDescent="0.15">
      <c r="A480" s="9">
        <v>479</v>
      </c>
      <c r="B480" s="9" t="s">
        <v>9</v>
      </c>
      <c r="C480" s="9">
        <v>1928</v>
      </c>
      <c r="D480" s="10">
        <v>45736</v>
      </c>
      <c r="E480" s="11" t="str">
        <f>+HYPERLINK("http://trademark.i-assist.jp/data/china/image_1928th/82360836.pdf","82360836")</f>
        <v>82360836</v>
      </c>
      <c r="F480" s="9" t="s">
        <v>1410</v>
      </c>
      <c r="G480" s="12" t="s">
        <v>1411</v>
      </c>
      <c r="H480" s="9" t="s">
        <v>1412</v>
      </c>
      <c r="I480" s="10">
        <v>45630</v>
      </c>
    </row>
    <row r="481" spans="1:9" x14ac:dyDescent="0.15">
      <c r="A481" s="9">
        <v>480</v>
      </c>
      <c r="B481" s="9" t="s">
        <v>9</v>
      </c>
      <c r="C481" s="9">
        <v>1928</v>
      </c>
      <c r="D481" s="10">
        <v>45736</v>
      </c>
      <c r="E481" s="11" t="str">
        <f>+HYPERLINK("http://trademark.i-assist.jp/data/china/image_1928th/82360947.pdf","82360947")</f>
        <v>82360947</v>
      </c>
      <c r="F481" s="12" t="s">
        <v>1413</v>
      </c>
      <c r="G481" s="9" t="s">
        <v>1354</v>
      </c>
      <c r="H481" s="9" t="s">
        <v>1414</v>
      </c>
      <c r="I481" s="10">
        <v>45630</v>
      </c>
    </row>
    <row r="482" spans="1:9" x14ac:dyDescent="0.15">
      <c r="A482" s="9">
        <v>481</v>
      </c>
      <c r="B482" s="9" t="s">
        <v>9</v>
      </c>
      <c r="C482" s="9">
        <v>1928</v>
      </c>
      <c r="D482" s="10">
        <v>45736</v>
      </c>
      <c r="E482" s="11" t="str">
        <f>+HYPERLINK("http://trademark.i-assist.jp/data/china/image_1928th/82361518.pdf","82361518")</f>
        <v>82361518</v>
      </c>
      <c r="F482" s="12" t="s">
        <v>18</v>
      </c>
      <c r="G482" s="9" t="s">
        <v>1415</v>
      </c>
      <c r="H482" s="9" t="s">
        <v>1416</v>
      </c>
      <c r="I482" s="10">
        <v>45630</v>
      </c>
    </row>
    <row r="483" spans="1:9" x14ac:dyDescent="0.15">
      <c r="A483" s="9">
        <v>482</v>
      </c>
      <c r="B483" s="9" t="s">
        <v>9</v>
      </c>
      <c r="C483" s="9">
        <v>1928</v>
      </c>
      <c r="D483" s="10">
        <v>45736</v>
      </c>
      <c r="E483" s="11" t="str">
        <f>+HYPERLINK("http://trademark.i-assist.jp/data/china/image_1928th/82361960.pdf","82361960")</f>
        <v>82361960</v>
      </c>
      <c r="F483" s="9" t="s">
        <v>1417</v>
      </c>
      <c r="G483" s="9" t="s">
        <v>1418</v>
      </c>
      <c r="H483" s="9" t="s">
        <v>1419</v>
      </c>
      <c r="I483" s="10">
        <v>45630</v>
      </c>
    </row>
    <row r="484" spans="1:9" x14ac:dyDescent="0.15">
      <c r="A484" s="9">
        <v>483</v>
      </c>
      <c r="B484" s="9" t="s">
        <v>9</v>
      </c>
      <c r="C484" s="9">
        <v>1928</v>
      </c>
      <c r="D484" s="10">
        <v>45736</v>
      </c>
      <c r="E484" s="11" t="str">
        <f>+HYPERLINK("http://trademark.i-assist.jp/data/china/image_1928th/82362337.pdf","82362337")</f>
        <v>82362337</v>
      </c>
      <c r="F484" s="9" t="s">
        <v>1420</v>
      </c>
      <c r="G484" s="9" t="s">
        <v>37</v>
      </c>
      <c r="H484" s="9" t="s">
        <v>1421</v>
      </c>
      <c r="I484" s="10">
        <v>45630</v>
      </c>
    </row>
    <row r="485" spans="1:9" x14ac:dyDescent="0.15">
      <c r="A485" s="9">
        <v>484</v>
      </c>
      <c r="B485" s="9" t="s">
        <v>9</v>
      </c>
      <c r="C485" s="9">
        <v>1928</v>
      </c>
      <c r="D485" s="10">
        <v>45736</v>
      </c>
      <c r="E485" s="11" t="str">
        <f>+HYPERLINK("http://trademark.i-assist.jp/data/china/image_1928th/82362711.pdf","82362711")</f>
        <v>82362711</v>
      </c>
      <c r="F485" s="9" t="s">
        <v>1422</v>
      </c>
      <c r="G485" s="9" t="s">
        <v>92</v>
      </c>
      <c r="H485" s="9" t="s">
        <v>1423</v>
      </c>
      <c r="I485" s="10">
        <v>45630</v>
      </c>
    </row>
    <row r="486" spans="1:9" x14ac:dyDescent="0.15">
      <c r="A486" s="9">
        <v>485</v>
      </c>
      <c r="B486" s="9" t="s">
        <v>9</v>
      </c>
      <c r="C486" s="9">
        <v>1928</v>
      </c>
      <c r="D486" s="10">
        <v>45736</v>
      </c>
      <c r="E486" s="11" t="str">
        <f>+HYPERLINK("http://trademark.i-assist.jp/data/china/image_1928th/82363371.pdf","82363371")</f>
        <v>82363371</v>
      </c>
      <c r="F486" s="9" t="s">
        <v>1424</v>
      </c>
      <c r="G486" s="9" t="s">
        <v>15</v>
      </c>
      <c r="H486" s="9" t="s">
        <v>1425</v>
      </c>
      <c r="I486" s="10">
        <v>45631</v>
      </c>
    </row>
    <row r="487" spans="1:9" x14ac:dyDescent="0.15">
      <c r="A487" s="9">
        <v>486</v>
      </c>
      <c r="B487" s="9" t="s">
        <v>9</v>
      </c>
      <c r="C487" s="9">
        <v>1928</v>
      </c>
      <c r="D487" s="10">
        <v>45736</v>
      </c>
      <c r="E487" s="11" t="str">
        <f>+HYPERLINK("http://trademark.i-assist.jp/data/china/image_1928th/82365456.pdf","82365456")</f>
        <v>82365456</v>
      </c>
      <c r="F487" s="9" t="s">
        <v>1426</v>
      </c>
      <c r="G487" s="9" t="s">
        <v>83</v>
      </c>
      <c r="H487" s="9" t="s">
        <v>1427</v>
      </c>
      <c r="I487" s="10">
        <v>45631</v>
      </c>
    </row>
    <row r="488" spans="1:9" x14ac:dyDescent="0.15">
      <c r="A488" s="9">
        <v>487</v>
      </c>
      <c r="B488" s="9" t="s">
        <v>9</v>
      </c>
      <c r="C488" s="9">
        <v>1928</v>
      </c>
      <c r="D488" s="10">
        <v>45736</v>
      </c>
      <c r="E488" s="11" t="str">
        <f>+HYPERLINK("http://trademark.i-assist.jp/data/china/image_1928th/82365642.pdf","82365642")</f>
        <v>82365642</v>
      </c>
      <c r="F488" s="9" t="s">
        <v>1428</v>
      </c>
      <c r="G488" s="9" t="s">
        <v>1429</v>
      </c>
      <c r="H488" s="9" t="s">
        <v>1430</v>
      </c>
      <c r="I488" s="10">
        <v>45631</v>
      </c>
    </row>
    <row r="489" spans="1:9" x14ac:dyDescent="0.15">
      <c r="A489" s="9">
        <v>488</v>
      </c>
      <c r="B489" s="9" t="s">
        <v>9</v>
      </c>
      <c r="C489" s="9">
        <v>1928</v>
      </c>
      <c r="D489" s="10">
        <v>45736</v>
      </c>
      <c r="E489" s="11" t="str">
        <f>+HYPERLINK("http://trademark.i-assist.jp/data/china/image_1928th/82366153.pdf","82366153")</f>
        <v>82366153</v>
      </c>
      <c r="F489" s="9" t="s">
        <v>1431</v>
      </c>
      <c r="G489" s="9" t="s">
        <v>1432</v>
      </c>
      <c r="H489" s="9" t="s">
        <v>1433</v>
      </c>
      <c r="I489" s="10">
        <v>45631</v>
      </c>
    </row>
    <row r="490" spans="1:9" x14ac:dyDescent="0.15">
      <c r="A490" s="9">
        <v>489</v>
      </c>
      <c r="B490" s="9" t="s">
        <v>9</v>
      </c>
      <c r="C490" s="9">
        <v>1928</v>
      </c>
      <c r="D490" s="10">
        <v>45736</v>
      </c>
      <c r="E490" s="11" t="str">
        <f>+HYPERLINK("http://trademark.i-assist.jp/data/china/image_1928th/82366234.pdf","82366234")</f>
        <v>82366234</v>
      </c>
      <c r="F490" s="9" t="s">
        <v>1434</v>
      </c>
      <c r="G490" s="9" t="s">
        <v>1435</v>
      </c>
      <c r="H490" s="9" t="s">
        <v>1436</v>
      </c>
      <c r="I490" s="10">
        <v>45631</v>
      </c>
    </row>
    <row r="491" spans="1:9" x14ac:dyDescent="0.15">
      <c r="A491" s="9">
        <v>490</v>
      </c>
      <c r="B491" s="9" t="s">
        <v>9</v>
      </c>
      <c r="C491" s="9">
        <v>1928</v>
      </c>
      <c r="D491" s="10">
        <v>45736</v>
      </c>
      <c r="E491" s="11" t="str">
        <f>+HYPERLINK("http://trademark.i-assist.jp/data/china/image_1928th/82366711.pdf","82366711")</f>
        <v>82366711</v>
      </c>
      <c r="F491" s="12" t="s">
        <v>1437</v>
      </c>
      <c r="G491" s="9" t="s">
        <v>1438</v>
      </c>
      <c r="H491" s="9" t="s">
        <v>1439</v>
      </c>
      <c r="I491" s="10">
        <v>45631</v>
      </c>
    </row>
    <row r="492" spans="1:9" x14ac:dyDescent="0.15">
      <c r="A492" s="9">
        <v>491</v>
      </c>
      <c r="B492" s="9" t="s">
        <v>9</v>
      </c>
      <c r="C492" s="9">
        <v>1928</v>
      </c>
      <c r="D492" s="10">
        <v>45736</v>
      </c>
      <c r="E492" s="11" t="str">
        <f>+HYPERLINK("http://trademark.i-assist.jp/data/china/image_1928th/82366972.pdf","82366972")</f>
        <v>82366972</v>
      </c>
      <c r="F492" s="12" t="s">
        <v>1440</v>
      </c>
      <c r="G492" s="12" t="s">
        <v>1441</v>
      </c>
      <c r="H492" s="9" t="s">
        <v>1442</v>
      </c>
      <c r="I492" s="10">
        <v>45631</v>
      </c>
    </row>
    <row r="493" spans="1:9" x14ac:dyDescent="0.15">
      <c r="A493" s="9">
        <v>492</v>
      </c>
      <c r="B493" s="9" t="s">
        <v>9</v>
      </c>
      <c r="C493" s="9">
        <v>1928</v>
      </c>
      <c r="D493" s="10">
        <v>45736</v>
      </c>
      <c r="E493" s="11" t="str">
        <f>+HYPERLINK("http://trademark.i-assist.jp/data/china/image_1928th/82367186.pdf","82367186")</f>
        <v>82367186</v>
      </c>
      <c r="F493" s="9" t="s">
        <v>1443</v>
      </c>
      <c r="G493" s="9" t="s">
        <v>1444</v>
      </c>
      <c r="H493" s="9" t="s">
        <v>1445</v>
      </c>
      <c r="I493" s="10">
        <v>45631</v>
      </c>
    </row>
    <row r="494" spans="1:9" x14ac:dyDescent="0.15">
      <c r="A494" s="9">
        <v>493</v>
      </c>
      <c r="B494" s="9" t="s">
        <v>9</v>
      </c>
      <c r="C494" s="9">
        <v>1928</v>
      </c>
      <c r="D494" s="10">
        <v>45736</v>
      </c>
      <c r="E494" s="11" t="str">
        <f>+HYPERLINK("http://trademark.i-assist.jp/data/china/image_1928th/82367561.pdf","82367561")</f>
        <v>82367561</v>
      </c>
      <c r="F494" s="9" t="s">
        <v>1446</v>
      </c>
      <c r="G494" s="9" t="s">
        <v>1447</v>
      </c>
      <c r="H494" s="9" t="s">
        <v>1448</v>
      </c>
      <c r="I494" s="10">
        <v>45631</v>
      </c>
    </row>
    <row r="495" spans="1:9" x14ac:dyDescent="0.15">
      <c r="A495" s="9">
        <v>494</v>
      </c>
      <c r="B495" s="9" t="s">
        <v>9</v>
      </c>
      <c r="C495" s="9">
        <v>1928</v>
      </c>
      <c r="D495" s="10">
        <v>45736</v>
      </c>
      <c r="E495" s="11" t="str">
        <f>+HYPERLINK("http://trademark.i-assist.jp/data/china/image_1928th/82368454.pdf","82368454")</f>
        <v>82368454</v>
      </c>
      <c r="F495" s="13" t="s">
        <v>1449</v>
      </c>
      <c r="G495" s="9" t="s">
        <v>1450</v>
      </c>
      <c r="H495" s="12" t="s">
        <v>1451</v>
      </c>
      <c r="I495" s="10">
        <v>45631</v>
      </c>
    </row>
    <row r="496" spans="1:9" x14ac:dyDescent="0.15">
      <c r="A496" s="9">
        <v>495</v>
      </c>
      <c r="B496" s="9" t="s">
        <v>9</v>
      </c>
      <c r="C496" s="9">
        <v>1928</v>
      </c>
      <c r="D496" s="10">
        <v>45736</v>
      </c>
      <c r="E496" s="11" t="str">
        <f>+HYPERLINK("http://trademark.i-assist.jp/data/china/image_1928th/82369313.pdf","82369313")</f>
        <v>82369313</v>
      </c>
      <c r="F496" s="12" t="s">
        <v>1452</v>
      </c>
      <c r="G496" s="9" t="s">
        <v>1453</v>
      </c>
      <c r="H496" s="9" t="s">
        <v>1454</v>
      </c>
      <c r="I496" s="10">
        <v>45631</v>
      </c>
    </row>
    <row r="497" spans="1:9" x14ac:dyDescent="0.15">
      <c r="A497" s="9">
        <v>496</v>
      </c>
      <c r="B497" s="9" t="s">
        <v>9</v>
      </c>
      <c r="C497" s="9">
        <v>1928</v>
      </c>
      <c r="D497" s="10">
        <v>45736</v>
      </c>
      <c r="E497" s="11" t="str">
        <f>+HYPERLINK("http://trademark.i-assist.jp/data/china/image_1928th/82369709.pdf","82369709")</f>
        <v>82369709</v>
      </c>
      <c r="F497" s="9" t="s">
        <v>1455</v>
      </c>
      <c r="G497" s="9" t="s">
        <v>1456</v>
      </c>
      <c r="H497" s="9" t="s">
        <v>1457</v>
      </c>
      <c r="I497" s="10">
        <v>45631</v>
      </c>
    </row>
    <row r="498" spans="1:9" x14ac:dyDescent="0.15">
      <c r="A498" s="9">
        <v>497</v>
      </c>
      <c r="B498" s="9" t="s">
        <v>9</v>
      </c>
      <c r="C498" s="9">
        <v>1928</v>
      </c>
      <c r="D498" s="10">
        <v>45736</v>
      </c>
      <c r="E498" s="11" t="str">
        <f>+HYPERLINK("http://trademark.i-assist.jp/data/china/image_1928th/82370795.pdf","82370795")</f>
        <v>82370795</v>
      </c>
      <c r="F498" s="9" t="s">
        <v>1458</v>
      </c>
      <c r="G498" s="9" t="s">
        <v>1459</v>
      </c>
      <c r="H498" s="9" t="s">
        <v>1460</v>
      </c>
      <c r="I498" s="10">
        <v>45631</v>
      </c>
    </row>
    <row r="499" spans="1:9" x14ac:dyDescent="0.15">
      <c r="A499" s="9">
        <v>498</v>
      </c>
      <c r="B499" s="9" t="s">
        <v>9</v>
      </c>
      <c r="C499" s="9">
        <v>1928</v>
      </c>
      <c r="D499" s="10">
        <v>45736</v>
      </c>
      <c r="E499" s="11" t="str">
        <f>+HYPERLINK("http://trademark.i-assist.jp/data/china/image_1928th/82371510.pdf","82371510")</f>
        <v>82371510</v>
      </c>
      <c r="F499" s="9" t="s">
        <v>1461</v>
      </c>
      <c r="G499" s="9" t="s">
        <v>1462</v>
      </c>
      <c r="H499" s="9" t="s">
        <v>1463</v>
      </c>
      <c r="I499" s="10">
        <v>45631</v>
      </c>
    </row>
    <row r="500" spans="1:9" x14ac:dyDescent="0.15">
      <c r="A500" s="9">
        <v>499</v>
      </c>
      <c r="B500" s="9" t="s">
        <v>9</v>
      </c>
      <c r="C500" s="9">
        <v>1928</v>
      </c>
      <c r="D500" s="10">
        <v>45736</v>
      </c>
      <c r="E500" s="11" t="str">
        <f>+HYPERLINK("http://trademark.i-assist.jp/data/china/image_1928th/82371880.pdf","82371880")</f>
        <v>82371880</v>
      </c>
      <c r="F500" s="9" t="s">
        <v>1464</v>
      </c>
      <c r="G500" s="12" t="s">
        <v>1465</v>
      </c>
      <c r="H500" s="9" t="s">
        <v>1466</v>
      </c>
      <c r="I500" s="10">
        <v>45631</v>
      </c>
    </row>
    <row r="501" spans="1:9" x14ac:dyDescent="0.15">
      <c r="A501" s="9">
        <v>500</v>
      </c>
      <c r="B501" s="9" t="s">
        <v>9</v>
      </c>
      <c r="C501" s="9">
        <v>1928</v>
      </c>
      <c r="D501" s="10">
        <v>45736</v>
      </c>
      <c r="E501" s="11" t="str">
        <f>+HYPERLINK("http://trademark.i-assist.jp/data/china/image_1928th/82372325.pdf","82372325")</f>
        <v>82372325</v>
      </c>
      <c r="F501" s="9" t="s">
        <v>1467</v>
      </c>
      <c r="G501" s="9" t="s">
        <v>1468</v>
      </c>
      <c r="H501" s="9" t="s">
        <v>1469</v>
      </c>
      <c r="I501" s="10">
        <v>45631</v>
      </c>
    </row>
    <row r="502" spans="1:9" x14ac:dyDescent="0.15">
      <c r="A502" s="9">
        <v>501</v>
      </c>
      <c r="B502" s="9" t="s">
        <v>9</v>
      </c>
      <c r="C502" s="9">
        <v>1928</v>
      </c>
      <c r="D502" s="10">
        <v>45736</v>
      </c>
      <c r="E502" s="11" t="str">
        <f>+HYPERLINK("http://trademark.i-assist.jp/data/china/image_1928th/82372621.pdf","82372621")</f>
        <v>82372621</v>
      </c>
      <c r="F502" s="9" t="s">
        <v>1470</v>
      </c>
      <c r="G502" s="9" t="s">
        <v>1471</v>
      </c>
      <c r="H502" s="9" t="s">
        <v>1472</v>
      </c>
      <c r="I502" s="10">
        <v>45631</v>
      </c>
    </row>
    <row r="503" spans="1:9" x14ac:dyDescent="0.15">
      <c r="A503" s="9">
        <v>502</v>
      </c>
      <c r="B503" s="9" t="s">
        <v>9</v>
      </c>
      <c r="C503" s="9">
        <v>1928</v>
      </c>
      <c r="D503" s="10">
        <v>45736</v>
      </c>
      <c r="E503" s="11" t="str">
        <f>+HYPERLINK("http://trademark.i-assist.jp/data/china/image_1928th/82372844.pdf","82372844")</f>
        <v>82372844</v>
      </c>
      <c r="F503" s="9" t="s">
        <v>1473</v>
      </c>
      <c r="G503" s="9" t="s">
        <v>1474</v>
      </c>
      <c r="H503" s="9" t="s">
        <v>1475</v>
      </c>
      <c r="I503" s="10">
        <v>45631</v>
      </c>
    </row>
    <row r="504" spans="1:9" x14ac:dyDescent="0.15">
      <c r="A504" s="9">
        <v>503</v>
      </c>
      <c r="B504" s="9" t="s">
        <v>9</v>
      </c>
      <c r="C504" s="9">
        <v>1928</v>
      </c>
      <c r="D504" s="10">
        <v>45736</v>
      </c>
      <c r="E504" s="11" t="str">
        <f>+HYPERLINK("http://trademark.i-assist.jp/data/china/image_1928th/82373367.pdf","82373367")</f>
        <v>82373367</v>
      </c>
      <c r="F504" s="9" t="s">
        <v>1476</v>
      </c>
      <c r="G504" s="12" t="s">
        <v>1477</v>
      </c>
      <c r="H504" s="9" t="s">
        <v>1478</v>
      </c>
      <c r="I504" s="10">
        <v>45631</v>
      </c>
    </row>
    <row r="505" spans="1:9" x14ac:dyDescent="0.15">
      <c r="A505" s="9">
        <v>504</v>
      </c>
      <c r="B505" s="9" t="s">
        <v>9</v>
      </c>
      <c r="C505" s="9">
        <v>1928</v>
      </c>
      <c r="D505" s="10">
        <v>45736</v>
      </c>
      <c r="E505" s="11" t="str">
        <f>+HYPERLINK("http://trademark.i-assist.jp/data/china/image_1928th/82373480.pdf","82373480")</f>
        <v>82373480</v>
      </c>
      <c r="F505" s="9" t="s">
        <v>1479</v>
      </c>
      <c r="G505" s="9" t="s">
        <v>95</v>
      </c>
      <c r="H505" s="12" t="s">
        <v>1480</v>
      </c>
      <c r="I505" s="10">
        <v>45631</v>
      </c>
    </row>
    <row r="506" spans="1:9" x14ac:dyDescent="0.15">
      <c r="A506" s="9">
        <v>505</v>
      </c>
      <c r="B506" s="9" t="s">
        <v>9</v>
      </c>
      <c r="C506" s="9">
        <v>1928</v>
      </c>
      <c r="D506" s="10">
        <v>45736</v>
      </c>
      <c r="E506" s="11" t="str">
        <f>+HYPERLINK("http://trademark.i-assist.jp/data/china/image_1928th/82374761.pdf","82374761")</f>
        <v>82374761</v>
      </c>
      <c r="F506" s="12" t="s">
        <v>1481</v>
      </c>
      <c r="G506" s="9" t="s">
        <v>1482</v>
      </c>
      <c r="H506" s="12" t="s">
        <v>1483</v>
      </c>
      <c r="I506" s="10">
        <v>45631</v>
      </c>
    </row>
    <row r="507" spans="1:9" x14ac:dyDescent="0.15">
      <c r="A507" s="9">
        <v>506</v>
      </c>
      <c r="B507" s="9" t="s">
        <v>9</v>
      </c>
      <c r="C507" s="9">
        <v>1928</v>
      </c>
      <c r="D507" s="10">
        <v>45736</v>
      </c>
      <c r="E507" s="11" t="str">
        <f>+HYPERLINK("http://trademark.i-assist.jp/data/china/image_1928th/82374771.pdf","82374771")</f>
        <v>82374771</v>
      </c>
      <c r="F507" s="12" t="s">
        <v>1484</v>
      </c>
      <c r="G507" s="9" t="s">
        <v>1482</v>
      </c>
      <c r="H507" s="9" t="s">
        <v>1485</v>
      </c>
      <c r="I507" s="10">
        <v>45631</v>
      </c>
    </row>
    <row r="508" spans="1:9" x14ac:dyDescent="0.15">
      <c r="A508" s="9">
        <v>507</v>
      </c>
      <c r="B508" s="9" t="s">
        <v>9</v>
      </c>
      <c r="C508" s="9">
        <v>1928</v>
      </c>
      <c r="D508" s="10">
        <v>45736</v>
      </c>
      <c r="E508" s="11" t="str">
        <f>+HYPERLINK("http://trademark.i-assist.jp/data/china/image_1928th/82375091.pdf","82375091")</f>
        <v>82375091</v>
      </c>
      <c r="F508" s="12" t="s">
        <v>1486</v>
      </c>
      <c r="G508" s="12" t="s">
        <v>1487</v>
      </c>
      <c r="H508" s="9" t="s">
        <v>1488</v>
      </c>
      <c r="I508" s="10">
        <v>45631</v>
      </c>
    </row>
    <row r="509" spans="1:9" x14ac:dyDescent="0.15">
      <c r="A509" s="9">
        <v>508</v>
      </c>
      <c r="B509" s="9" t="s">
        <v>9</v>
      </c>
      <c r="C509" s="9">
        <v>1928</v>
      </c>
      <c r="D509" s="10">
        <v>45736</v>
      </c>
      <c r="E509" s="11" t="str">
        <f>+HYPERLINK("http://trademark.i-assist.jp/data/china/image_1928th/82375123.pdf","82375123")</f>
        <v>82375123</v>
      </c>
      <c r="F509" s="9" t="s">
        <v>1489</v>
      </c>
      <c r="G509" s="9" t="s">
        <v>1490</v>
      </c>
      <c r="H509" s="9" t="s">
        <v>1491</v>
      </c>
      <c r="I509" s="10">
        <v>45631</v>
      </c>
    </row>
    <row r="510" spans="1:9" x14ac:dyDescent="0.15">
      <c r="A510" s="9">
        <v>509</v>
      </c>
      <c r="B510" s="9" t="s">
        <v>9</v>
      </c>
      <c r="C510" s="9">
        <v>1928</v>
      </c>
      <c r="D510" s="10">
        <v>45736</v>
      </c>
      <c r="E510" s="11" t="str">
        <f>+HYPERLINK("http://trademark.i-assist.jp/data/china/image_1928th/82375341.pdf","82375341")</f>
        <v>82375341</v>
      </c>
      <c r="F510" s="9" t="s">
        <v>1492</v>
      </c>
      <c r="G510" s="9" t="s">
        <v>1493</v>
      </c>
      <c r="H510" s="9" t="s">
        <v>1494</v>
      </c>
      <c r="I510" s="10">
        <v>45631</v>
      </c>
    </row>
    <row r="511" spans="1:9" x14ac:dyDescent="0.15">
      <c r="A511" s="9">
        <v>510</v>
      </c>
      <c r="B511" s="9" t="s">
        <v>9</v>
      </c>
      <c r="C511" s="9">
        <v>1928</v>
      </c>
      <c r="D511" s="10">
        <v>45736</v>
      </c>
      <c r="E511" s="11" t="str">
        <f>+HYPERLINK("http://trademark.i-assist.jp/data/china/image_1928th/82375417.pdf","82375417")</f>
        <v>82375417</v>
      </c>
      <c r="F511" s="9" t="s">
        <v>1495</v>
      </c>
      <c r="G511" s="9" t="s">
        <v>1432</v>
      </c>
      <c r="H511" s="9" t="s">
        <v>1496</v>
      </c>
      <c r="I511" s="10">
        <v>45631</v>
      </c>
    </row>
    <row r="512" spans="1:9" x14ac:dyDescent="0.15">
      <c r="A512" s="9">
        <v>511</v>
      </c>
      <c r="B512" s="9" t="s">
        <v>9</v>
      </c>
      <c r="C512" s="9">
        <v>1928</v>
      </c>
      <c r="D512" s="10">
        <v>45736</v>
      </c>
      <c r="E512" s="11" t="str">
        <f>+HYPERLINK("http://trademark.i-assist.jp/data/china/image_1928th/82375806.pdf","82375806")</f>
        <v>82375806</v>
      </c>
      <c r="F512" s="12" t="s">
        <v>1497</v>
      </c>
      <c r="G512" s="9" t="s">
        <v>1498</v>
      </c>
      <c r="H512" s="9" t="s">
        <v>1499</v>
      </c>
      <c r="I512" s="10">
        <v>45631</v>
      </c>
    </row>
    <row r="513" spans="1:9" x14ac:dyDescent="0.15">
      <c r="A513" s="9">
        <v>512</v>
      </c>
      <c r="B513" s="9" t="s">
        <v>9</v>
      </c>
      <c r="C513" s="9">
        <v>1928</v>
      </c>
      <c r="D513" s="10">
        <v>45736</v>
      </c>
      <c r="E513" s="11" t="str">
        <f>+HYPERLINK("http://trademark.i-assist.jp/data/china/image_1928th/82376412.pdf","82376412")</f>
        <v>82376412</v>
      </c>
      <c r="F513" s="12" t="s">
        <v>1500</v>
      </c>
      <c r="G513" s="9" t="s">
        <v>1501</v>
      </c>
      <c r="H513" s="9" t="s">
        <v>1502</v>
      </c>
      <c r="I513" s="10">
        <v>45631</v>
      </c>
    </row>
    <row r="514" spans="1:9" x14ac:dyDescent="0.15">
      <c r="A514" s="9">
        <v>513</v>
      </c>
      <c r="B514" s="9" t="s">
        <v>9</v>
      </c>
      <c r="C514" s="9">
        <v>1928</v>
      </c>
      <c r="D514" s="10">
        <v>45736</v>
      </c>
      <c r="E514" s="11" t="str">
        <f>+HYPERLINK("http://trademark.i-assist.jp/data/china/image_1928th/82376882.pdf","82376882")</f>
        <v>82376882</v>
      </c>
      <c r="F514" s="9" t="s">
        <v>1503</v>
      </c>
      <c r="G514" s="9" t="s">
        <v>1504</v>
      </c>
      <c r="H514" s="9" t="s">
        <v>1505</v>
      </c>
      <c r="I514" s="10">
        <v>45631</v>
      </c>
    </row>
    <row r="515" spans="1:9" x14ac:dyDescent="0.15">
      <c r="A515" s="9">
        <v>514</v>
      </c>
      <c r="B515" s="9" t="s">
        <v>9</v>
      </c>
      <c r="C515" s="9">
        <v>1928</v>
      </c>
      <c r="D515" s="10">
        <v>45736</v>
      </c>
      <c r="E515" s="11" t="str">
        <f>+HYPERLINK("http://trademark.i-assist.jp/data/china/image_1928th/82378372.pdf","82378372")</f>
        <v>82378372</v>
      </c>
      <c r="F515" s="9" t="s">
        <v>1506</v>
      </c>
      <c r="G515" s="12" t="s">
        <v>1507</v>
      </c>
      <c r="H515" s="9" t="s">
        <v>1508</v>
      </c>
      <c r="I515" s="10">
        <v>45631</v>
      </c>
    </row>
    <row r="516" spans="1:9" x14ac:dyDescent="0.15">
      <c r="A516" s="9">
        <v>515</v>
      </c>
      <c r="B516" s="9" t="s">
        <v>9</v>
      </c>
      <c r="C516" s="9">
        <v>1928</v>
      </c>
      <c r="D516" s="10">
        <v>45736</v>
      </c>
      <c r="E516" s="11" t="str">
        <f>+HYPERLINK("http://trademark.i-assist.jp/data/china/image_1928th/82379034.pdf","82379034")</f>
        <v>82379034</v>
      </c>
      <c r="F516" s="9" t="s">
        <v>1509</v>
      </c>
      <c r="G516" s="9" t="s">
        <v>91</v>
      </c>
      <c r="H516" s="9" t="s">
        <v>1510</v>
      </c>
      <c r="I516" s="10">
        <v>45631</v>
      </c>
    </row>
    <row r="517" spans="1:9" x14ac:dyDescent="0.15">
      <c r="A517" s="9">
        <v>516</v>
      </c>
      <c r="B517" s="9" t="s">
        <v>9</v>
      </c>
      <c r="C517" s="9">
        <v>1928</v>
      </c>
      <c r="D517" s="10">
        <v>45736</v>
      </c>
      <c r="E517" s="11" t="str">
        <f>+HYPERLINK("http://trademark.i-assist.jp/data/china/image_1928th/82379075.pdf","82379075")</f>
        <v>82379075</v>
      </c>
      <c r="F517" s="9" t="s">
        <v>1511</v>
      </c>
      <c r="G517" s="9" t="s">
        <v>1512</v>
      </c>
      <c r="H517" s="9" t="s">
        <v>1513</v>
      </c>
      <c r="I517" s="10">
        <v>45631</v>
      </c>
    </row>
    <row r="518" spans="1:9" x14ac:dyDescent="0.15">
      <c r="A518" s="9">
        <v>517</v>
      </c>
      <c r="B518" s="9" t="s">
        <v>9</v>
      </c>
      <c r="C518" s="9">
        <v>1928</v>
      </c>
      <c r="D518" s="10">
        <v>45736</v>
      </c>
      <c r="E518" s="11" t="str">
        <f>+HYPERLINK("http://trademark.i-assist.jp/data/china/image_1928th/82380596.pdf","82380596")</f>
        <v>82380596</v>
      </c>
      <c r="F518" s="9" t="s">
        <v>1514</v>
      </c>
      <c r="G518" s="9" t="s">
        <v>1515</v>
      </c>
      <c r="H518" s="12" t="s">
        <v>1516</v>
      </c>
      <c r="I518" s="10">
        <v>45631</v>
      </c>
    </row>
    <row r="519" spans="1:9" x14ac:dyDescent="0.15">
      <c r="A519" s="9">
        <v>518</v>
      </c>
      <c r="B519" s="9" t="s">
        <v>9</v>
      </c>
      <c r="C519" s="9">
        <v>1928</v>
      </c>
      <c r="D519" s="10">
        <v>45736</v>
      </c>
      <c r="E519" s="11" t="str">
        <f>+HYPERLINK("http://trademark.i-assist.jp/data/china/image_1928th/82381362.pdf","82381362")</f>
        <v>82381362</v>
      </c>
      <c r="F519" s="9" t="s">
        <v>1517</v>
      </c>
      <c r="G519" s="9" t="s">
        <v>1518</v>
      </c>
      <c r="H519" s="9" t="s">
        <v>1519</v>
      </c>
      <c r="I519" s="10">
        <v>45631</v>
      </c>
    </row>
    <row r="520" spans="1:9" x14ac:dyDescent="0.15">
      <c r="A520" s="9">
        <v>519</v>
      </c>
      <c r="B520" s="9" t="s">
        <v>9</v>
      </c>
      <c r="C520" s="9">
        <v>1928</v>
      </c>
      <c r="D520" s="10">
        <v>45736</v>
      </c>
      <c r="E520" s="11" t="str">
        <f>+HYPERLINK("http://trademark.i-assist.jp/data/china/image_1928th/82381535.pdf","82381535")</f>
        <v>82381535</v>
      </c>
      <c r="F520" s="9" t="s">
        <v>1520</v>
      </c>
      <c r="G520" s="9" t="s">
        <v>23</v>
      </c>
      <c r="H520" s="9" t="s">
        <v>1521</v>
      </c>
      <c r="I520" s="10">
        <v>45631</v>
      </c>
    </row>
    <row r="521" spans="1:9" x14ac:dyDescent="0.15">
      <c r="A521" s="9">
        <v>520</v>
      </c>
      <c r="B521" s="9" t="s">
        <v>9</v>
      </c>
      <c r="C521" s="9">
        <v>1928</v>
      </c>
      <c r="D521" s="10">
        <v>45736</v>
      </c>
      <c r="E521" s="11" t="str">
        <f>+HYPERLINK("http://trademark.i-assist.jp/data/china/image_1928th/82381811.pdf","82381811")</f>
        <v>82381811</v>
      </c>
      <c r="F521" s="12" t="s">
        <v>1522</v>
      </c>
      <c r="G521" s="12" t="s">
        <v>1523</v>
      </c>
      <c r="H521" s="9" t="s">
        <v>1524</v>
      </c>
      <c r="I521" s="10">
        <v>45631</v>
      </c>
    </row>
    <row r="522" spans="1:9" x14ac:dyDescent="0.15">
      <c r="A522" s="9">
        <v>521</v>
      </c>
      <c r="B522" s="9" t="s">
        <v>9</v>
      </c>
      <c r="C522" s="9">
        <v>1928</v>
      </c>
      <c r="D522" s="10">
        <v>45736</v>
      </c>
      <c r="E522" s="11" t="str">
        <f>+HYPERLINK("http://trademark.i-assist.jp/data/china/image_1928th/82381977.pdf","82381977")</f>
        <v>82381977</v>
      </c>
      <c r="F522" s="9" t="s">
        <v>1525</v>
      </c>
      <c r="G522" s="9" t="s">
        <v>1526</v>
      </c>
      <c r="H522" s="12" t="s">
        <v>1527</v>
      </c>
      <c r="I522" s="10">
        <v>45631</v>
      </c>
    </row>
    <row r="523" spans="1:9" x14ac:dyDescent="0.15">
      <c r="A523" s="9">
        <v>522</v>
      </c>
      <c r="B523" s="9" t="s">
        <v>9</v>
      </c>
      <c r="C523" s="9">
        <v>1928</v>
      </c>
      <c r="D523" s="10">
        <v>45736</v>
      </c>
      <c r="E523" s="11" t="str">
        <f>+HYPERLINK("http://trademark.i-assist.jp/data/china/image_1928th/82382319.pdf","82382319")</f>
        <v>82382319</v>
      </c>
      <c r="F523" s="12" t="s">
        <v>1528</v>
      </c>
      <c r="G523" s="9" t="s">
        <v>1529</v>
      </c>
      <c r="H523" s="9" t="s">
        <v>1530</v>
      </c>
      <c r="I523" s="10">
        <v>45631</v>
      </c>
    </row>
    <row r="524" spans="1:9" x14ac:dyDescent="0.15">
      <c r="A524" s="9">
        <v>523</v>
      </c>
      <c r="B524" s="9" t="s">
        <v>9</v>
      </c>
      <c r="C524" s="9">
        <v>1928</v>
      </c>
      <c r="D524" s="10">
        <v>45736</v>
      </c>
      <c r="E524" s="11" t="str">
        <f>+HYPERLINK("http://trademark.i-assist.jp/data/china/image_1928th/82382880.pdf","82382880")</f>
        <v>82382880</v>
      </c>
      <c r="F524" s="9" t="s">
        <v>1531</v>
      </c>
      <c r="G524" s="13" t="s">
        <v>1532</v>
      </c>
      <c r="H524" s="9" t="s">
        <v>1533</v>
      </c>
      <c r="I524" s="10">
        <v>45631</v>
      </c>
    </row>
    <row r="525" spans="1:9" x14ac:dyDescent="0.15">
      <c r="A525" s="9">
        <v>524</v>
      </c>
      <c r="B525" s="9" t="s">
        <v>9</v>
      </c>
      <c r="C525" s="9">
        <v>1928</v>
      </c>
      <c r="D525" s="10">
        <v>45736</v>
      </c>
      <c r="E525" s="11" t="str">
        <f>+HYPERLINK("http://trademark.i-assist.jp/data/china/image_1928th/82383529.pdf","82383529")</f>
        <v>82383529</v>
      </c>
      <c r="F525" s="9" t="s">
        <v>1534</v>
      </c>
      <c r="G525" s="9" t="s">
        <v>1535</v>
      </c>
      <c r="H525" s="9" t="s">
        <v>1536</v>
      </c>
      <c r="I525" s="10">
        <v>45631</v>
      </c>
    </row>
    <row r="526" spans="1:9" x14ac:dyDescent="0.15">
      <c r="A526" s="9">
        <v>525</v>
      </c>
      <c r="B526" s="9" t="s">
        <v>9</v>
      </c>
      <c r="C526" s="9">
        <v>1928</v>
      </c>
      <c r="D526" s="10">
        <v>45736</v>
      </c>
      <c r="E526" s="11" t="str">
        <f>+HYPERLINK("http://trademark.i-assist.jp/data/china/image_1928th/82383583.pdf","82383583")</f>
        <v>82383583</v>
      </c>
      <c r="F526" s="9" t="s">
        <v>1537</v>
      </c>
      <c r="G526" s="9" t="s">
        <v>1538</v>
      </c>
      <c r="H526" s="9" t="s">
        <v>1539</v>
      </c>
      <c r="I526" s="10">
        <v>45631</v>
      </c>
    </row>
    <row r="527" spans="1:9" x14ac:dyDescent="0.15">
      <c r="A527" s="9">
        <v>526</v>
      </c>
      <c r="B527" s="9" t="s">
        <v>9</v>
      </c>
      <c r="C527" s="9">
        <v>1928</v>
      </c>
      <c r="D527" s="10">
        <v>45736</v>
      </c>
      <c r="E527" s="11" t="str">
        <f>+HYPERLINK("http://trademark.i-assist.jp/data/china/image_1928th/82385661.pdf","82385661")</f>
        <v>82385661</v>
      </c>
      <c r="F527" s="12" t="s">
        <v>1540</v>
      </c>
      <c r="G527" s="12" t="s">
        <v>1017</v>
      </c>
      <c r="H527" s="9" t="s">
        <v>1541</v>
      </c>
      <c r="I527" s="10">
        <v>45631</v>
      </c>
    </row>
    <row r="528" spans="1:9" x14ac:dyDescent="0.15">
      <c r="A528" s="9">
        <v>527</v>
      </c>
      <c r="B528" s="9" t="s">
        <v>9</v>
      </c>
      <c r="C528" s="9">
        <v>1928</v>
      </c>
      <c r="D528" s="10">
        <v>45736</v>
      </c>
      <c r="E528" s="11" t="str">
        <f>+HYPERLINK("http://trademark.i-assist.jp/data/china/image_1928th/82388204.pdf","82388204")</f>
        <v>82388204</v>
      </c>
      <c r="F528" s="9" t="s">
        <v>1542</v>
      </c>
      <c r="G528" s="9" t="s">
        <v>1543</v>
      </c>
      <c r="H528" s="9" t="s">
        <v>1544</v>
      </c>
      <c r="I528" s="10">
        <v>45632</v>
      </c>
    </row>
    <row r="529" spans="1:9" x14ac:dyDescent="0.15">
      <c r="A529" s="9">
        <v>528</v>
      </c>
      <c r="B529" s="9" t="s">
        <v>9</v>
      </c>
      <c r="C529" s="9">
        <v>1928</v>
      </c>
      <c r="D529" s="10">
        <v>45736</v>
      </c>
      <c r="E529" s="11" t="str">
        <f>+HYPERLINK("http://trademark.i-assist.jp/data/china/image_1928th/82389677.pdf","82389677")</f>
        <v>82389677</v>
      </c>
      <c r="F529" s="12" t="s">
        <v>1545</v>
      </c>
      <c r="G529" s="9" t="s">
        <v>1546</v>
      </c>
      <c r="H529" s="9" t="s">
        <v>1547</v>
      </c>
      <c r="I529" s="10">
        <v>45632</v>
      </c>
    </row>
    <row r="530" spans="1:9" x14ac:dyDescent="0.15">
      <c r="A530" s="9">
        <v>529</v>
      </c>
      <c r="B530" s="9" t="s">
        <v>9</v>
      </c>
      <c r="C530" s="9">
        <v>1928</v>
      </c>
      <c r="D530" s="10">
        <v>45736</v>
      </c>
      <c r="E530" s="11" t="str">
        <f>+HYPERLINK("http://trademark.i-assist.jp/data/china/image_1928th/82390468.pdf","82390468")</f>
        <v>82390468</v>
      </c>
      <c r="F530" s="9" t="s">
        <v>1548</v>
      </c>
      <c r="G530" s="9" t="s">
        <v>1549</v>
      </c>
      <c r="H530" s="9" t="s">
        <v>1550</v>
      </c>
      <c r="I530" s="10">
        <v>45632</v>
      </c>
    </row>
    <row r="531" spans="1:9" x14ac:dyDescent="0.15">
      <c r="A531" s="9">
        <v>530</v>
      </c>
      <c r="B531" s="9" t="s">
        <v>9</v>
      </c>
      <c r="C531" s="9">
        <v>1928</v>
      </c>
      <c r="D531" s="10">
        <v>45736</v>
      </c>
      <c r="E531" s="11" t="str">
        <f>+HYPERLINK("http://trademark.i-assist.jp/data/china/image_1928th/82390632.pdf","82390632")</f>
        <v>82390632</v>
      </c>
      <c r="F531" s="9" t="s">
        <v>1551</v>
      </c>
      <c r="G531" s="9" t="s">
        <v>1552</v>
      </c>
      <c r="H531" s="9" t="s">
        <v>1553</v>
      </c>
      <c r="I531" s="10">
        <v>45632</v>
      </c>
    </row>
    <row r="532" spans="1:9" x14ac:dyDescent="0.15">
      <c r="A532" s="9">
        <v>531</v>
      </c>
      <c r="B532" s="9" t="s">
        <v>9</v>
      </c>
      <c r="C532" s="9">
        <v>1928</v>
      </c>
      <c r="D532" s="10">
        <v>45736</v>
      </c>
      <c r="E532" s="11" t="str">
        <f>+HYPERLINK("http://trademark.i-assist.jp/data/china/image_1928th/82391137.pdf","82391137")</f>
        <v>82391137</v>
      </c>
      <c r="F532" s="12" t="s">
        <v>18</v>
      </c>
      <c r="G532" s="12" t="s">
        <v>1554</v>
      </c>
      <c r="H532" s="9" t="s">
        <v>1555</v>
      </c>
      <c r="I532" s="10">
        <v>45632</v>
      </c>
    </row>
    <row r="533" spans="1:9" x14ac:dyDescent="0.15">
      <c r="A533" s="9">
        <v>532</v>
      </c>
      <c r="B533" s="9" t="s">
        <v>9</v>
      </c>
      <c r="C533" s="9">
        <v>1928</v>
      </c>
      <c r="D533" s="10">
        <v>45736</v>
      </c>
      <c r="E533" s="11" t="str">
        <f>+HYPERLINK("http://trademark.i-assist.jp/data/china/image_1928th/82392719.pdf","82392719")</f>
        <v>82392719</v>
      </c>
      <c r="F533" s="9" t="s">
        <v>1556</v>
      </c>
      <c r="G533" s="9" t="s">
        <v>1557</v>
      </c>
      <c r="H533" s="9" t="s">
        <v>1558</v>
      </c>
      <c r="I533" s="10">
        <v>45632</v>
      </c>
    </row>
    <row r="534" spans="1:9" x14ac:dyDescent="0.15">
      <c r="A534" s="9">
        <v>533</v>
      </c>
      <c r="B534" s="9" t="s">
        <v>9</v>
      </c>
      <c r="C534" s="9">
        <v>1928</v>
      </c>
      <c r="D534" s="10">
        <v>45736</v>
      </c>
      <c r="E534" s="11" t="str">
        <f>+HYPERLINK("http://trademark.i-assist.jp/data/china/image_1928th/82392872.pdf","82392872")</f>
        <v>82392872</v>
      </c>
      <c r="F534" s="9" t="s">
        <v>1559</v>
      </c>
      <c r="G534" s="9" t="s">
        <v>71</v>
      </c>
      <c r="H534" s="9" t="s">
        <v>1560</v>
      </c>
      <c r="I534" s="10">
        <v>45632</v>
      </c>
    </row>
    <row r="535" spans="1:9" x14ac:dyDescent="0.15">
      <c r="A535" s="9">
        <v>534</v>
      </c>
      <c r="B535" s="9" t="s">
        <v>9</v>
      </c>
      <c r="C535" s="9">
        <v>1928</v>
      </c>
      <c r="D535" s="10">
        <v>45736</v>
      </c>
      <c r="E535" s="11" t="str">
        <f>+HYPERLINK("http://trademark.i-assist.jp/data/china/image_1928th/82392884.pdf","82392884")</f>
        <v>82392884</v>
      </c>
      <c r="F535" s="12" t="s">
        <v>1561</v>
      </c>
      <c r="G535" s="9" t="s">
        <v>1562</v>
      </c>
      <c r="H535" s="9" t="s">
        <v>1563</v>
      </c>
      <c r="I535" s="10">
        <v>45632</v>
      </c>
    </row>
    <row r="536" spans="1:9" x14ac:dyDescent="0.15">
      <c r="A536" s="9">
        <v>535</v>
      </c>
      <c r="B536" s="9" t="s">
        <v>9</v>
      </c>
      <c r="C536" s="9">
        <v>1928</v>
      </c>
      <c r="D536" s="10">
        <v>45736</v>
      </c>
      <c r="E536" s="11" t="str">
        <f>+HYPERLINK("http://trademark.i-assist.jp/data/china/image_1928th/82394472.pdf","82394472")</f>
        <v>82394472</v>
      </c>
      <c r="F536" s="9" t="s">
        <v>1548</v>
      </c>
      <c r="G536" s="9" t="s">
        <v>1549</v>
      </c>
      <c r="H536" s="9" t="s">
        <v>1564</v>
      </c>
      <c r="I536" s="10">
        <v>45632</v>
      </c>
    </row>
    <row r="537" spans="1:9" x14ac:dyDescent="0.15">
      <c r="A537" s="9">
        <v>536</v>
      </c>
      <c r="B537" s="9" t="s">
        <v>9</v>
      </c>
      <c r="C537" s="9">
        <v>1928</v>
      </c>
      <c r="D537" s="10">
        <v>45736</v>
      </c>
      <c r="E537" s="11" t="str">
        <f>+HYPERLINK("http://trademark.i-assist.jp/data/china/image_1928th/82394627.pdf","82394627")</f>
        <v>82394627</v>
      </c>
      <c r="F537" s="12" t="s">
        <v>1565</v>
      </c>
      <c r="G537" s="9" t="s">
        <v>1566</v>
      </c>
      <c r="H537" s="9" t="s">
        <v>1567</v>
      </c>
      <c r="I537" s="10">
        <v>45632</v>
      </c>
    </row>
    <row r="538" spans="1:9" x14ac:dyDescent="0.15">
      <c r="A538" s="9">
        <v>537</v>
      </c>
      <c r="B538" s="9" t="s">
        <v>9</v>
      </c>
      <c r="C538" s="9">
        <v>1928</v>
      </c>
      <c r="D538" s="10">
        <v>45736</v>
      </c>
      <c r="E538" s="11" t="str">
        <f>+HYPERLINK("http://trademark.i-assist.jp/data/china/image_1928th/82395053.pdf","82395053")</f>
        <v>82395053</v>
      </c>
      <c r="F538" s="9" t="s">
        <v>1568</v>
      </c>
      <c r="G538" s="9" t="s">
        <v>1543</v>
      </c>
      <c r="H538" s="9" t="s">
        <v>1569</v>
      </c>
      <c r="I538" s="10">
        <v>45632</v>
      </c>
    </row>
    <row r="539" spans="1:9" x14ac:dyDescent="0.15">
      <c r="A539" s="9">
        <v>538</v>
      </c>
      <c r="B539" s="9" t="s">
        <v>9</v>
      </c>
      <c r="C539" s="9">
        <v>1928</v>
      </c>
      <c r="D539" s="10">
        <v>45736</v>
      </c>
      <c r="E539" s="11" t="str">
        <f>+HYPERLINK("http://trademark.i-assist.jp/data/china/image_1928th/82398792.pdf","82398792")</f>
        <v>82398792</v>
      </c>
      <c r="F539" s="12" t="s">
        <v>1570</v>
      </c>
      <c r="G539" s="9" t="s">
        <v>1571</v>
      </c>
      <c r="H539" s="9" t="s">
        <v>1572</v>
      </c>
      <c r="I539" s="10">
        <v>45632</v>
      </c>
    </row>
    <row r="540" spans="1:9" x14ac:dyDescent="0.15">
      <c r="A540" s="9">
        <v>539</v>
      </c>
      <c r="B540" s="9" t="s">
        <v>9</v>
      </c>
      <c r="C540" s="9">
        <v>1928</v>
      </c>
      <c r="D540" s="10">
        <v>45736</v>
      </c>
      <c r="E540" s="11" t="str">
        <f>+HYPERLINK("http://trademark.i-assist.jp/data/china/image_1928th/82400653.pdf","82400653")</f>
        <v>82400653</v>
      </c>
      <c r="F540" s="9" t="s">
        <v>1573</v>
      </c>
      <c r="G540" s="9" t="s">
        <v>1574</v>
      </c>
      <c r="H540" s="9" t="s">
        <v>1575</v>
      </c>
      <c r="I540" s="10">
        <v>45632</v>
      </c>
    </row>
    <row r="541" spans="1:9" x14ac:dyDescent="0.15">
      <c r="A541" s="9">
        <v>540</v>
      </c>
      <c r="B541" s="9" t="s">
        <v>9</v>
      </c>
      <c r="C541" s="9">
        <v>1928</v>
      </c>
      <c r="D541" s="10">
        <v>45736</v>
      </c>
      <c r="E541" s="11" t="str">
        <f>+HYPERLINK("http://trademark.i-assist.jp/data/china/image_1928th/82400731.pdf","82400731")</f>
        <v>82400731</v>
      </c>
      <c r="F541" s="9" t="s">
        <v>1576</v>
      </c>
      <c r="G541" s="12" t="s">
        <v>1577</v>
      </c>
      <c r="H541" s="9" t="s">
        <v>1578</v>
      </c>
      <c r="I541" s="10">
        <v>45632</v>
      </c>
    </row>
    <row r="542" spans="1:9" x14ac:dyDescent="0.15">
      <c r="A542" s="9">
        <v>541</v>
      </c>
      <c r="B542" s="9" t="s">
        <v>9</v>
      </c>
      <c r="C542" s="9">
        <v>1928</v>
      </c>
      <c r="D542" s="10">
        <v>45736</v>
      </c>
      <c r="E542" s="11" t="str">
        <f>+HYPERLINK("http://trademark.i-assist.jp/data/china/image_1928th/82400914.pdf","82400914")</f>
        <v>82400914</v>
      </c>
      <c r="F542" s="9" t="s">
        <v>1579</v>
      </c>
      <c r="G542" s="12" t="s">
        <v>1580</v>
      </c>
      <c r="H542" s="9" t="s">
        <v>1581</v>
      </c>
      <c r="I542" s="10">
        <v>45632</v>
      </c>
    </row>
    <row r="543" spans="1:9" x14ac:dyDescent="0.15">
      <c r="A543" s="9">
        <v>542</v>
      </c>
      <c r="B543" s="9" t="s">
        <v>9</v>
      </c>
      <c r="C543" s="9">
        <v>1928</v>
      </c>
      <c r="D543" s="10">
        <v>45736</v>
      </c>
      <c r="E543" s="11" t="str">
        <f>+HYPERLINK("http://trademark.i-assist.jp/data/china/image_1928th/82402147.pdf","82402147")</f>
        <v>82402147</v>
      </c>
      <c r="F543" s="9" t="s">
        <v>1582</v>
      </c>
      <c r="G543" s="9" t="s">
        <v>1583</v>
      </c>
      <c r="H543" s="9" t="s">
        <v>1584</v>
      </c>
      <c r="I543" s="10">
        <v>45632</v>
      </c>
    </row>
    <row r="544" spans="1:9" x14ac:dyDescent="0.15">
      <c r="A544" s="9">
        <v>543</v>
      </c>
      <c r="B544" s="9" t="s">
        <v>9</v>
      </c>
      <c r="C544" s="9">
        <v>1928</v>
      </c>
      <c r="D544" s="10">
        <v>45736</v>
      </c>
      <c r="E544" s="11" t="str">
        <f>+HYPERLINK("http://trademark.i-assist.jp/data/china/image_1928th/82402706.pdf","82402706")</f>
        <v>82402706</v>
      </c>
      <c r="F544" s="9" t="s">
        <v>1585</v>
      </c>
      <c r="G544" s="9" t="s">
        <v>1586</v>
      </c>
      <c r="H544" s="9" t="s">
        <v>1587</v>
      </c>
      <c r="I544" s="10">
        <v>45632</v>
      </c>
    </row>
    <row r="545" spans="1:9" x14ac:dyDescent="0.15">
      <c r="A545" s="9">
        <v>544</v>
      </c>
      <c r="B545" s="9" t="s">
        <v>9</v>
      </c>
      <c r="C545" s="9">
        <v>1928</v>
      </c>
      <c r="D545" s="10">
        <v>45736</v>
      </c>
      <c r="E545" s="11" t="str">
        <f>+HYPERLINK("http://trademark.i-assist.jp/data/china/image_1928th/82402945.pdf","82402945")</f>
        <v>82402945</v>
      </c>
      <c r="F545" s="9" t="s">
        <v>1588</v>
      </c>
      <c r="G545" s="9" t="s">
        <v>1589</v>
      </c>
      <c r="H545" s="9" t="s">
        <v>1590</v>
      </c>
      <c r="I545" s="10">
        <v>45632</v>
      </c>
    </row>
    <row r="546" spans="1:9" x14ac:dyDescent="0.15">
      <c r="A546" s="9">
        <v>545</v>
      </c>
      <c r="B546" s="9" t="s">
        <v>9</v>
      </c>
      <c r="C546" s="9">
        <v>1928</v>
      </c>
      <c r="D546" s="10">
        <v>45736</v>
      </c>
      <c r="E546" s="11" t="str">
        <f>+HYPERLINK("http://trademark.i-assist.jp/data/china/image_1928th/82403194.pdf","82403194")</f>
        <v>82403194</v>
      </c>
      <c r="F546" s="12" t="s">
        <v>1591</v>
      </c>
      <c r="G546" s="12" t="s">
        <v>1592</v>
      </c>
      <c r="H546" s="9" t="s">
        <v>1593</v>
      </c>
      <c r="I546" s="10">
        <v>45632</v>
      </c>
    </row>
    <row r="547" spans="1:9" x14ac:dyDescent="0.15">
      <c r="A547" s="9">
        <v>546</v>
      </c>
      <c r="B547" s="9" t="s">
        <v>9</v>
      </c>
      <c r="C547" s="9">
        <v>1928</v>
      </c>
      <c r="D547" s="10">
        <v>45736</v>
      </c>
      <c r="E547" s="11" t="str">
        <f>+HYPERLINK("http://trademark.i-assist.jp/data/china/image_1928th/82406110.pdf","82406110")</f>
        <v>82406110</v>
      </c>
      <c r="F547" s="9" t="s">
        <v>1594</v>
      </c>
      <c r="G547" s="12" t="s">
        <v>1595</v>
      </c>
      <c r="H547" s="9" t="s">
        <v>1596</v>
      </c>
      <c r="I547" s="10">
        <v>45632</v>
      </c>
    </row>
    <row r="548" spans="1:9" x14ac:dyDescent="0.15">
      <c r="A548" s="9">
        <v>547</v>
      </c>
      <c r="B548" s="9" t="s">
        <v>9</v>
      </c>
      <c r="C548" s="9">
        <v>1928</v>
      </c>
      <c r="D548" s="10">
        <v>45736</v>
      </c>
      <c r="E548" s="11" t="str">
        <f>+HYPERLINK("http://trademark.i-assist.jp/data/china/image_1928th/82406259.pdf","82406259")</f>
        <v>82406259</v>
      </c>
      <c r="F548" s="9" t="s">
        <v>1597</v>
      </c>
      <c r="G548" s="9" t="s">
        <v>1598</v>
      </c>
      <c r="H548" s="9" t="s">
        <v>1599</v>
      </c>
      <c r="I548" s="10">
        <v>45632</v>
      </c>
    </row>
    <row r="549" spans="1:9" x14ac:dyDescent="0.15">
      <c r="A549" s="9">
        <v>548</v>
      </c>
      <c r="B549" s="9" t="s">
        <v>9</v>
      </c>
      <c r="C549" s="9">
        <v>1928</v>
      </c>
      <c r="D549" s="10">
        <v>45736</v>
      </c>
      <c r="E549" s="11" t="str">
        <f>+HYPERLINK("http://trademark.i-assist.jp/data/china/image_1928th/82406924.pdf","82406924")</f>
        <v>82406924</v>
      </c>
      <c r="F549" s="12" t="s">
        <v>1600</v>
      </c>
      <c r="G549" s="9" t="s">
        <v>1601</v>
      </c>
      <c r="H549" s="12" t="s">
        <v>1602</v>
      </c>
      <c r="I549" s="10">
        <v>45632</v>
      </c>
    </row>
    <row r="550" spans="1:9" x14ac:dyDescent="0.15">
      <c r="A550" s="9">
        <v>549</v>
      </c>
      <c r="B550" s="9" t="s">
        <v>9</v>
      </c>
      <c r="C550" s="9">
        <v>1928</v>
      </c>
      <c r="D550" s="10">
        <v>45736</v>
      </c>
      <c r="E550" s="11" t="str">
        <f>+HYPERLINK("http://trademark.i-assist.jp/data/china/image_1928th/82408528.pdf","82408528")</f>
        <v>82408528</v>
      </c>
      <c r="F550" s="9" t="s">
        <v>1603</v>
      </c>
      <c r="G550" s="9" t="s">
        <v>1604</v>
      </c>
      <c r="H550" s="9" t="s">
        <v>1605</v>
      </c>
      <c r="I550" s="10">
        <v>45632</v>
      </c>
    </row>
    <row r="551" spans="1:9" x14ac:dyDescent="0.15">
      <c r="A551" s="9">
        <v>550</v>
      </c>
      <c r="B551" s="9" t="s">
        <v>9</v>
      </c>
      <c r="C551" s="9">
        <v>1928</v>
      </c>
      <c r="D551" s="10">
        <v>45736</v>
      </c>
      <c r="E551" s="11" t="str">
        <f>+HYPERLINK("http://trademark.i-assist.jp/data/china/image_1928th/82408690.pdf","82408690")</f>
        <v>82408690</v>
      </c>
      <c r="F551" s="12" t="s">
        <v>1606</v>
      </c>
      <c r="G551" s="9" t="s">
        <v>1607</v>
      </c>
      <c r="H551" s="12" t="s">
        <v>1608</v>
      </c>
      <c r="I551" s="10">
        <v>45632</v>
      </c>
    </row>
    <row r="552" spans="1:9" x14ac:dyDescent="0.15">
      <c r="A552" s="9">
        <v>551</v>
      </c>
      <c r="B552" s="9" t="s">
        <v>9</v>
      </c>
      <c r="C552" s="9">
        <v>1928</v>
      </c>
      <c r="D552" s="10">
        <v>45736</v>
      </c>
      <c r="E552" s="11" t="str">
        <f>+HYPERLINK("http://trademark.i-assist.jp/data/china/image_1928th/82409902.pdf","82409902")</f>
        <v>82409902</v>
      </c>
      <c r="F552" s="9" t="s">
        <v>1609</v>
      </c>
      <c r="G552" s="9" t="s">
        <v>1610</v>
      </c>
      <c r="H552" s="9" t="s">
        <v>1611</v>
      </c>
      <c r="I552" s="10">
        <v>45632</v>
      </c>
    </row>
    <row r="553" spans="1:9" x14ac:dyDescent="0.15">
      <c r="A553" s="9">
        <v>552</v>
      </c>
      <c r="B553" s="9" t="s">
        <v>9</v>
      </c>
      <c r="C553" s="9">
        <v>1928</v>
      </c>
      <c r="D553" s="10">
        <v>45736</v>
      </c>
      <c r="E553" s="11" t="str">
        <f>+HYPERLINK("http://trademark.i-assist.jp/data/china/image_1928th/82410063.pdf","82410063")</f>
        <v>82410063</v>
      </c>
      <c r="F553" s="9" t="s">
        <v>1612</v>
      </c>
      <c r="G553" s="9" t="s">
        <v>1613</v>
      </c>
      <c r="H553" s="9" t="s">
        <v>1614</v>
      </c>
      <c r="I553" s="10">
        <v>45632</v>
      </c>
    </row>
    <row r="554" spans="1:9" x14ac:dyDescent="0.15">
      <c r="A554" s="9">
        <v>553</v>
      </c>
      <c r="B554" s="9" t="s">
        <v>9</v>
      </c>
      <c r="C554" s="9">
        <v>1928</v>
      </c>
      <c r="D554" s="10">
        <v>45736</v>
      </c>
      <c r="E554" s="11" t="str">
        <f>+HYPERLINK("http://trademark.i-assist.jp/data/china/image_1928th/82410565.pdf","82410565")</f>
        <v>82410565</v>
      </c>
      <c r="F554" s="12" t="s">
        <v>1615</v>
      </c>
      <c r="G554" s="9" t="s">
        <v>1601</v>
      </c>
      <c r="H554" s="12" t="s">
        <v>1616</v>
      </c>
      <c r="I554" s="10">
        <v>45632</v>
      </c>
    </row>
    <row r="555" spans="1:9" x14ac:dyDescent="0.15">
      <c r="A555" s="9">
        <v>554</v>
      </c>
      <c r="B555" s="9" t="s">
        <v>9</v>
      </c>
      <c r="C555" s="9">
        <v>1928</v>
      </c>
      <c r="D555" s="10">
        <v>45736</v>
      </c>
      <c r="E555" s="11" t="str">
        <f>+HYPERLINK("http://trademark.i-assist.jp/data/china/image_1928th/82411622.pdf","82411622")</f>
        <v>82411622</v>
      </c>
      <c r="F555" s="9" t="s">
        <v>1617</v>
      </c>
      <c r="G555" s="9" t="s">
        <v>1618</v>
      </c>
      <c r="H555" s="9" t="s">
        <v>1619</v>
      </c>
      <c r="I555" s="10">
        <v>45632</v>
      </c>
    </row>
    <row r="556" spans="1:9" x14ac:dyDescent="0.15">
      <c r="A556" s="9">
        <v>555</v>
      </c>
      <c r="B556" s="9" t="s">
        <v>9</v>
      </c>
      <c r="C556" s="9">
        <v>1928</v>
      </c>
      <c r="D556" s="10">
        <v>45736</v>
      </c>
      <c r="E556" s="11" t="str">
        <f>+HYPERLINK("http://trademark.i-assist.jp/data/china/image_1928th/82411788.pdf","82411788")</f>
        <v>82411788</v>
      </c>
      <c r="F556" s="9" t="s">
        <v>1620</v>
      </c>
      <c r="G556" s="9" t="s">
        <v>1621</v>
      </c>
      <c r="H556" s="9" t="s">
        <v>1622</v>
      </c>
      <c r="I556" s="10">
        <v>45632</v>
      </c>
    </row>
    <row r="557" spans="1:9" x14ac:dyDescent="0.15">
      <c r="A557" s="9">
        <v>556</v>
      </c>
      <c r="B557" s="9" t="s">
        <v>9</v>
      </c>
      <c r="C557" s="9">
        <v>1928</v>
      </c>
      <c r="D557" s="10">
        <v>45736</v>
      </c>
      <c r="E557" s="11" t="str">
        <f>+HYPERLINK("http://trademark.i-assist.jp/data/china/image_1928th/82412565.pdf","82412565")</f>
        <v>82412565</v>
      </c>
      <c r="F557" s="12" t="s">
        <v>18</v>
      </c>
      <c r="G557" s="9" t="s">
        <v>1623</v>
      </c>
      <c r="H557" s="12" t="s">
        <v>1624</v>
      </c>
      <c r="I557" s="10">
        <v>45632</v>
      </c>
    </row>
    <row r="558" spans="1:9" x14ac:dyDescent="0.15">
      <c r="A558" s="9">
        <v>557</v>
      </c>
      <c r="B558" s="9" t="s">
        <v>9</v>
      </c>
      <c r="C558" s="9">
        <v>1928</v>
      </c>
      <c r="D558" s="10">
        <v>45736</v>
      </c>
      <c r="E558" s="11" t="str">
        <f>+HYPERLINK("http://trademark.i-assist.jp/data/china/image_1928th/82413229.pdf","82413229")</f>
        <v>82413229</v>
      </c>
      <c r="F558" s="9" t="s">
        <v>1625</v>
      </c>
      <c r="G558" s="9" t="s">
        <v>1626</v>
      </c>
      <c r="H558" s="12" t="s">
        <v>1627</v>
      </c>
      <c r="I558" s="10">
        <v>45633</v>
      </c>
    </row>
    <row r="559" spans="1:9" x14ac:dyDescent="0.15">
      <c r="A559" s="9">
        <v>558</v>
      </c>
      <c r="B559" s="9" t="s">
        <v>9</v>
      </c>
      <c r="C559" s="9">
        <v>1928</v>
      </c>
      <c r="D559" s="10">
        <v>45736</v>
      </c>
      <c r="E559" s="11" t="str">
        <f>+HYPERLINK("http://trademark.i-assist.jp/data/china/image_1928th/82414445.pdf","82414445")</f>
        <v>82414445</v>
      </c>
      <c r="F559" s="9" t="s">
        <v>1628</v>
      </c>
      <c r="G559" s="9" t="s">
        <v>1629</v>
      </c>
      <c r="H559" s="9" t="s">
        <v>1630</v>
      </c>
      <c r="I559" s="10">
        <v>45633</v>
      </c>
    </row>
    <row r="560" spans="1:9" x14ac:dyDescent="0.15">
      <c r="A560" s="9">
        <v>559</v>
      </c>
      <c r="B560" s="9" t="s">
        <v>9</v>
      </c>
      <c r="C560" s="9">
        <v>1928</v>
      </c>
      <c r="D560" s="10">
        <v>45736</v>
      </c>
      <c r="E560" s="11" t="str">
        <f>+HYPERLINK("http://trademark.i-assist.jp/data/china/image_1928th/82414732.pdf","82414732")</f>
        <v>82414732</v>
      </c>
      <c r="F560" s="12" t="s">
        <v>1631</v>
      </c>
      <c r="G560" s="9" t="s">
        <v>1632</v>
      </c>
      <c r="H560" s="9" t="s">
        <v>1633</v>
      </c>
      <c r="I560" s="10">
        <v>45633</v>
      </c>
    </row>
    <row r="561" spans="1:9" x14ac:dyDescent="0.15">
      <c r="A561" s="9">
        <v>560</v>
      </c>
      <c r="B561" s="9" t="s">
        <v>9</v>
      </c>
      <c r="C561" s="9">
        <v>1928</v>
      </c>
      <c r="D561" s="10">
        <v>45736</v>
      </c>
      <c r="E561" s="11" t="str">
        <f>+HYPERLINK("http://trademark.i-assist.jp/data/china/image_1928th/82415320.pdf","82415320")</f>
        <v>82415320</v>
      </c>
      <c r="F561" s="9" t="s">
        <v>1628</v>
      </c>
      <c r="G561" s="9" t="s">
        <v>1629</v>
      </c>
      <c r="H561" s="12" t="s">
        <v>1634</v>
      </c>
      <c r="I561" s="10">
        <v>45633</v>
      </c>
    </row>
    <row r="562" spans="1:9" x14ac:dyDescent="0.15">
      <c r="A562" s="9">
        <v>561</v>
      </c>
      <c r="B562" s="9" t="s">
        <v>9</v>
      </c>
      <c r="C562" s="9">
        <v>1928</v>
      </c>
      <c r="D562" s="10">
        <v>45736</v>
      </c>
      <c r="E562" s="11" t="str">
        <f>+HYPERLINK("http://trademark.i-assist.jp/data/china/image_1928th/82416524.pdf","82416524")</f>
        <v>82416524</v>
      </c>
      <c r="F562" s="9" t="s">
        <v>1635</v>
      </c>
      <c r="G562" s="9" t="s">
        <v>1636</v>
      </c>
      <c r="H562" s="12" t="s">
        <v>1637</v>
      </c>
      <c r="I562" s="10">
        <v>45633</v>
      </c>
    </row>
    <row r="563" spans="1:9" x14ac:dyDescent="0.15">
      <c r="A563" s="9">
        <v>562</v>
      </c>
      <c r="B563" s="9" t="s">
        <v>9</v>
      </c>
      <c r="C563" s="9">
        <v>1928</v>
      </c>
      <c r="D563" s="10">
        <v>45736</v>
      </c>
      <c r="E563" s="11" t="str">
        <f>+HYPERLINK("http://trademark.i-assist.jp/data/china/image_1928th/82416641.pdf","82416641")</f>
        <v>82416641</v>
      </c>
      <c r="F563" s="9" t="s">
        <v>1638</v>
      </c>
      <c r="G563" s="9" t="s">
        <v>1639</v>
      </c>
      <c r="H563" s="9" t="s">
        <v>1640</v>
      </c>
      <c r="I563" s="10">
        <v>45633</v>
      </c>
    </row>
    <row r="564" spans="1:9" x14ac:dyDescent="0.15">
      <c r="A564" s="9">
        <v>563</v>
      </c>
      <c r="B564" s="9" t="s">
        <v>9</v>
      </c>
      <c r="C564" s="9">
        <v>1928</v>
      </c>
      <c r="D564" s="10">
        <v>45736</v>
      </c>
      <c r="E564" s="11" t="str">
        <f>+HYPERLINK("http://trademark.i-assist.jp/data/china/image_1928th/82417702.pdf","82417702")</f>
        <v>82417702</v>
      </c>
      <c r="F564" s="9" t="s">
        <v>1641</v>
      </c>
      <c r="G564" s="9" t="s">
        <v>1642</v>
      </c>
      <c r="H564" s="9" t="s">
        <v>1643</v>
      </c>
      <c r="I564" s="10">
        <v>45633</v>
      </c>
    </row>
    <row r="565" spans="1:9" x14ac:dyDescent="0.15">
      <c r="A565" s="9">
        <v>564</v>
      </c>
      <c r="B565" s="9" t="s">
        <v>9</v>
      </c>
      <c r="C565" s="9">
        <v>1928</v>
      </c>
      <c r="D565" s="10">
        <v>45736</v>
      </c>
      <c r="E565" s="11" t="str">
        <f>+HYPERLINK("http://trademark.i-assist.jp/data/china/image_1928th/82417743.pdf","82417743")</f>
        <v>82417743</v>
      </c>
      <c r="F565" s="9" t="s">
        <v>1644</v>
      </c>
      <c r="G565" s="9" t="s">
        <v>1645</v>
      </c>
      <c r="H565" s="9" t="s">
        <v>1646</v>
      </c>
      <c r="I565" s="10">
        <v>45633</v>
      </c>
    </row>
    <row r="566" spans="1:9" x14ac:dyDescent="0.15">
      <c r="A566" s="9">
        <v>565</v>
      </c>
      <c r="B566" s="9" t="s">
        <v>9</v>
      </c>
      <c r="C566" s="9">
        <v>1928</v>
      </c>
      <c r="D566" s="10">
        <v>45736</v>
      </c>
      <c r="E566" s="11" t="str">
        <f>+HYPERLINK("http://trademark.i-assist.jp/data/china/image_1928th/82418545.pdf","82418545")</f>
        <v>82418545</v>
      </c>
      <c r="F566" s="9" t="s">
        <v>1647</v>
      </c>
      <c r="G566" s="9" t="s">
        <v>1636</v>
      </c>
      <c r="H566" s="9" t="s">
        <v>1648</v>
      </c>
      <c r="I566" s="10">
        <v>45633</v>
      </c>
    </row>
    <row r="567" spans="1:9" x14ac:dyDescent="0.15">
      <c r="A567" s="9">
        <v>566</v>
      </c>
      <c r="B567" s="9" t="s">
        <v>9</v>
      </c>
      <c r="C567" s="9">
        <v>1928</v>
      </c>
      <c r="D567" s="10">
        <v>45736</v>
      </c>
      <c r="E567" s="11" t="str">
        <f>+HYPERLINK("http://trademark.i-assist.jp/data/china/image_1928th/82419180.pdf","82419180")</f>
        <v>82419180</v>
      </c>
      <c r="F567" s="9" t="s">
        <v>1649</v>
      </c>
      <c r="G567" s="9" t="s">
        <v>1650</v>
      </c>
      <c r="H567" s="9" t="s">
        <v>1651</v>
      </c>
      <c r="I567" s="10">
        <v>45633</v>
      </c>
    </row>
    <row r="568" spans="1:9" x14ac:dyDescent="0.15">
      <c r="A568" s="9">
        <v>567</v>
      </c>
      <c r="B568" s="9" t="s">
        <v>9</v>
      </c>
      <c r="C568" s="9">
        <v>1928</v>
      </c>
      <c r="D568" s="10">
        <v>45736</v>
      </c>
      <c r="E568" s="11" t="str">
        <f>+HYPERLINK("http://trademark.i-assist.jp/data/china/image_1928th/82419385.pdf","82419385")</f>
        <v>82419385</v>
      </c>
      <c r="F568" s="9" t="s">
        <v>1652</v>
      </c>
      <c r="G568" s="12" t="s">
        <v>1653</v>
      </c>
      <c r="H568" s="9" t="s">
        <v>1654</v>
      </c>
      <c r="I568" s="10">
        <v>45634</v>
      </c>
    </row>
    <row r="569" spans="1:9" x14ac:dyDescent="0.15">
      <c r="A569" s="9">
        <v>568</v>
      </c>
      <c r="B569" s="9" t="s">
        <v>9</v>
      </c>
      <c r="C569" s="9">
        <v>1928</v>
      </c>
      <c r="D569" s="10">
        <v>45736</v>
      </c>
      <c r="E569" s="11" t="str">
        <f>+HYPERLINK("http://trademark.i-assist.jp/data/china/image_1928th/82420336.pdf","82420336")</f>
        <v>82420336</v>
      </c>
      <c r="F569" s="9" t="s">
        <v>1655</v>
      </c>
      <c r="G569" s="9" t="s">
        <v>1656</v>
      </c>
      <c r="H569" s="9" t="s">
        <v>1657</v>
      </c>
      <c r="I569" s="10">
        <v>45634</v>
      </c>
    </row>
    <row r="570" spans="1:9" x14ac:dyDescent="0.15">
      <c r="A570" s="9">
        <v>569</v>
      </c>
      <c r="B570" s="9" t="s">
        <v>9</v>
      </c>
      <c r="C570" s="9">
        <v>1928</v>
      </c>
      <c r="D570" s="10">
        <v>45736</v>
      </c>
      <c r="E570" s="11" t="str">
        <f>+HYPERLINK("http://trademark.i-assist.jp/data/china/image_1928th/82422834.pdf","82422834")</f>
        <v>82422834</v>
      </c>
      <c r="F570" s="12" t="s">
        <v>1658</v>
      </c>
      <c r="G570" s="9" t="s">
        <v>1659</v>
      </c>
      <c r="H570" s="9" t="s">
        <v>1660</v>
      </c>
      <c r="I570" s="10">
        <v>45635</v>
      </c>
    </row>
    <row r="571" spans="1:9" x14ac:dyDescent="0.15">
      <c r="A571" s="9">
        <v>570</v>
      </c>
      <c r="B571" s="9" t="s">
        <v>9</v>
      </c>
      <c r="C571" s="9">
        <v>1928</v>
      </c>
      <c r="D571" s="10">
        <v>45736</v>
      </c>
      <c r="E571" s="11" t="str">
        <f>+HYPERLINK("http://trademark.i-assist.jp/data/china/image_1928th/82423892.pdf","82423892")</f>
        <v>82423892</v>
      </c>
      <c r="F571" s="9" t="s">
        <v>1661</v>
      </c>
      <c r="G571" s="9" t="s">
        <v>1662</v>
      </c>
      <c r="H571" s="9" t="s">
        <v>1663</v>
      </c>
      <c r="I571" s="10">
        <v>45635</v>
      </c>
    </row>
    <row r="572" spans="1:9" x14ac:dyDescent="0.15">
      <c r="A572" s="9">
        <v>571</v>
      </c>
      <c r="B572" s="9" t="s">
        <v>9</v>
      </c>
      <c r="C572" s="9">
        <v>1928</v>
      </c>
      <c r="D572" s="10">
        <v>45736</v>
      </c>
      <c r="E572" s="11" t="str">
        <f>+HYPERLINK("http://trademark.i-assist.jp/data/china/image_1928th/82423956.pdf","82423956")</f>
        <v>82423956</v>
      </c>
      <c r="F572" s="12" t="s">
        <v>1664</v>
      </c>
      <c r="G572" s="9" t="s">
        <v>1665</v>
      </c>
      <c r="H572" s="9" t="s">
        <v>1666</v>
      </c>
      <c r="I572" s="10">
        <v>45635</v>
      </c>
    </row>
    <row r="573" spans="1:9" x14ac:dyDescent="0.15">
      <c r="A573" s="9">
        <v>572</v>
      </c>
      <c r="B573" s="9" t="s">
        <v>9</v>
      </c>
      <c r="C573" s="9">
        <v>1928</v>
      </c>
      <c r="D573" s="10">
        <v>45736</v>
      </c>
      <c r="E573" s="11" t="str">
        <f>+HYPERLINK("http://trademark.i-assist.jp/data/china/image_1928th/82424021.pdf","82424021")</f>
        <v>82424021</v>
      </c>
      <c r="F573" s="9" t="s">
        <v>1667</v>
      </c>
      <c r="G573" s="9" t="s">
        <v>1668</v>
      </c>
      <c r="H573" s="9" t="s">
        <v>1669</v>
      </c>
      <c r="I573" s="10">
        <v>45635</v>
      </c>
    </row>
    <row r="574" spans="1:9" x14ac:dyDescent="0.15">
      <c r="A574" s="9">
        <v>573</v>
      </c>
      <c r="B574" s="9" t="s">
        <v>9</v>
      </c>
      <c r="C574" s="9">
        <v>1928</v>
      </c>
      <c r="D574" s="10">
        <v>45736</v>
      </c>
      <c r="E574" s="11" t="str">
        <f>+HYPERLINK("http://trademark.i-assist.jp/data/china/image_1928th/82424986.pdf","82424986")</f>
        <v>82424986</v>
      </c>
      <c r="F574" s="12" t="s">
        <v>18</v>
      </c>
      <c r="G574" s="9" t="s">
        <v>1670</v>
      </c>
      <c r="H574" s="9" t="s">
        <v>1671</v>
      </c>
      <c r="I574" s="10">
        <v>45635</v>
      </c>
    </row>
    <row r="575" spans="1:9" x14ac:dyDescent="0.15">
      <c r="A575" s="9">
        <v>574</v>
      </c>
      <c r="B575" s="9" t="s">
        <v>9</v>
      </c>
      <c r="C575" s="9">
        <v>1928</v>
      </c>
      <c r="D575" s="10">
        <v>45736</v>
      </c>
      <c r="E575" s="11" t="str">
        <f>+HYPERLINK("http://trademark.i-assist.jp/data/china/image_1928th/82427000.pdf","82427000")</f>
        <v>82427000</v>
      </c>
      <c r="F575" s="9" t="s">
        <v>1672</v>
      </c>
      <c r="G575" s="12" t="s">
        <v>1673</v>
      </c>
      <c r="H575" s="12" t="s">
        <v>1674</v>
      </c>
      <c r="I575" s="10">
        <v>45635</v>
      </c>
    </row>
    <row r="576" spans="1:9" x14ac:dyDescent="0.15">
      <c r="A576" s="9">
        <v>575</v>
      </c>
      <c r="B576" s="9" t="s">
        <v>9</v>
      </c>
      <c r="C576" s="9">
        <v>1928</v>
      </c>
      <c r="D576" s="10">
        <v>45736</v>
      </c>
      <c r="E576" s="11" t="str">
        <f>+HYPERLINK("http://trademark.i-assist.jp/data/china/image_1928th/82427369.pdf","82427369")</f>
        <v>82427369</v>
      </c>
      <c r="F576" s="9" t="s">
        <v>1675</v>
      </c>
      <c r="G576" s="9" t="s">
        <v>1676</v>
      </c>
      <c r="H576" s="9" t="s">
        <v>1677</v>
      </c>
      <c r="I576" s="10">
        <v>45635</v>
      </c>
    </row>
    <row r="577" spans="1:9" x14ac:dyDescent="0.15">
      <c r="A577" s="9">
        <v>576</v>
      </c>
      <c r="B577" s="9" t="s">
        <v>9</v>
      </c>
      <c r="C577" s="9">
        <v>1928</v>
      </c>
      <c r="D577" s="10">
        <v>45736</v>
      </c>
      <c r="E577" s="11" t="str">
        <f>+HYPERLINK("http://trademark.i-assist.jp/data/china/image_1928th/82429749.pdf","82429749")</f>
        <v>82429749</v>
      </c>
      <c r="F577" s="9" t="s">
        <v>1678</v>
      </c>
      <c r="G577" s="9" t="s">
        <v>1679</v>
      </c>
      <c r="H577" s="9" t="s">
        <v>19</v>
      </c>
      <c r="I577" s="10">
        <v>45635</v>
      </c>
    </row>
    <row r="578" spans="1:9" x14ac:dyDescent="0.15">
      <c r="A578" s="9">
        <v>577</v>
      </c>
      <c r="B578" s="9" t="s">
        <v>9</v>
      </c>
      <c r="C578" s="9">
        <v>1928</v>
      </c>
      <c r="D578" s="10">
        <v>45736</v>
      </c>
      <c r="E578" s="11" t="str">
        <f>+HYPERLINK("http://trademark.i-assist.jp/data/china/image_1928th/82429928.pdf","82429928")</f>
        <v>82429928</v>
      </c>
      <c r="F578" s="9" t="s">
        <v>1680</v>
      </c>
      <c r="G578" s="9" t="s">
        <v>1681</v>
      </c>
      <c r="H578" s="9" t="s">
        <v>1682</v>
      </c>
      <c r="I578" s="10">
        <v>45635</v>
      </c>
    </row>
    <row r="579" spans="1:9" x14ac:dyDescent="0.15">
      <c r="A579" s="9">
        <v>578</v>
      </c>
      <c r="B579" s="9" t="s">
        <v>9</v>
      </c>
      <c r="C579" s="9">
        <v>1928</v>
      </c>
      <c r="D579" s="10">
        <v>45736</v>
      </c>
      <c r="E579" s="11" t="str">
        <f>+HYPERLINK("http://trademark.i-assist.jp/data/china/image_1928th/82430612.pdf","82430612")</f>
        <v>82430612</v>
      </c>
      <c r="F579" s="9" t="s">
        <v>1683</v>
      </c>
      <c r="G579" s="9" t="s">
        <v>1684</v>
      </c>
      <c r="H579" s="9" t="s">
        <v>1685</v>
      </c>
      <c r="I579" s="10">
        <v>45635</v>
      </c>
    </row>
    <row r="580" spans="1:9" x14ac:dyDescent="0.15">
      <c r="A580" s="9">
        <v>579</v>
      </c>
      <c r="B580" s="9" t="s">
        <v>9</v>
      </c>
      <c r="C580" s="9">
        <v>1928</v>
      </c>
      <c r="D580" s="10">
        <v>45736</v>
      </c>
      <c r="E580" s="11" t="str">
        <f>+HYPERLINK("http://trademark.i-assist.jp/data/china/image_1928th/82430684.pdf","82430684")</f>
        <v>82430684</v>
      </c>
      <c r="F580" s="12" t="s">
        <v>1686</v>
      </c>
      <c r="G580" s="9" t="s">
        <v>98</v>
      </c>
      <c r="H580" s="9" t="s">
        <v>1687</v>
      </c>
      <c r="I580" s="10">
        <v>45635</v>
      </c>
    </row>
    <row r="581" spans="1:9" x14ac:dyDescent="0.15">
      <c r="A581" s="9">
        <v>580</v>
      </c>
      <c r="B581" s="9" t="s">
        <v>9</v>
      </c>
      <c r="C581" s="9">
        <v>1928</v>
      </c>
      <c r="D581" s="10">
        <v>45736</v>
      </c>
      <c r="E581" s="11" t="str">
        <f>+HYPERLINK("http://trademark.i-assist.jp/data/china/image_1928th/82430804.pdf","82430804")</f>
        <v>82430804</v>
      </c>
      <c r="F581" s="9" t="s">
        <v>1688</v>
      </c>
      <c r="G581" s="9" t="s">
        <v>1689</v>
      </c>
      <c r="H581" s="9" t="s">
        <v>1690</v>
      </c>
      <c r="I581" s="10">
        <v>45635</v>
      </c>
    </row>
    <row r="582" spans="1:9" x14ac:dyDescent="0.15">
      <c r="A582" s="9">
        <v>581</v>
      </c>
      <c r="B582" s="9" t="s">
        <v>9</v>
      </c>
      <c r="C582" s="9">
        <v>1928</v>
      </c>
      <c r="D582" s="10">
        <v>45736</v>
      </c>
      <c r="E582" s="11" t="str">
        <f>+HYPERLINK("http://trademark.i-assist.jp/data/china/image_1928th/82431085.pdf","82431085")</f>
        <v>82431085</v>
      </c>
      <c r="F582" s="12" t="s">
        <v>1691</v>
      </c>
      <c r="G582" s="9" t="s">
        <v>65</v>
      </c>
      <c r="H582" s="9" t="s">
        <v>1692</v>
      </c>
      <c r="I582" s="10">
        <v>45635</v>
      </c>
    </row>
    <row r="583" spans="1:9" x14ac:dyDescent="0.15">
      <c r="A583" s="9">
        <v>582</v>
      </c>
      <c r="B583" s="9" t="s">
        <v>9</v>
      </c>
      <c r="C583" s="9">
        <v>1928</v>
      </c>
      <c r="D583" s="10">
        <v>45736</v>
      </c>
      <c r="E583" s="11" t="str">
        <f>+HYPERLINK("http://trademark.i-assist.jp/data/china/image_1928th/82431138.pdf","82431138")</f>
        <v>82431138</v>
      </c>
      <c r="F583" s="12" t="s">
        <v>1693</v>
      </c>
      <c r="G583" s="12" t="s">
        <v>1694</v>
      </c>
      <c r="H583" s="9" t="s">
        <v>1695</v>
      </c>
      <c r="I583" s="10">
        <v>45635</v>
      </c>
    </row>
    <row r="584" spans="1:9" x14ac:dyDescent="0.15">
      <c r="A584" s="9">
        <v>583</v>
      </c>
      <c r="B584" s="9" t="s">
        <v>9</v>
      </c>
      <c r="C584" s="9">
        <v>1928</v>
      </c>
      <c r="D584" s="10">
        <v>45736</v>
      </c>
      <c r="E584" s="11" t="str">
        <f>+HYPERLINK("http://trademark.i-assist.jp/data/china/image_1928th/82432386.pdf","82432386")</f>
        <v>82432386</v>
      </c>
      <c r="F584" s="9" t="s">
        <v>1696</v>
      </c>
      <c r="G584" s="9" t="s">
        <v>1697</v>
      </c>
      <c r="H584" s="9" t="s">
        <v>1698</v>
      </c>
      <c r="I584" s="10">
        <v>45635</v>
      </c>
    </row>
    <row r="585" spans="1:9" x14ac:dyDescent="0.15">
      <c r="A585" s="9">
        <v>584</v>
      </c>
      <c r="B585" s="9" t="s">
        <v>9</v>
      </c>
      <c r="C585" s="9">
        <v>1928</v>
      </c>
      <c r="D585" s="10">
        <v>45736</v>
      </c>
      <c r="E585" s="11" t="str">
        <f>+HYPERLINK("http://trademark.i-assist.jp/data/china/image_1928th/82432874.pdf","82432874")</f>
        <v>82432874</v>
      </c>
      <c r="F585" s="9" t="s">
        <v>1699</v>
      </c>
      <c r="G585" s="12" t="s">
        <v>1700</v>
      </c>
      <c r="H585" s="9" t="s">
        <v>1701</v>
      </c>
      <c r="I585" s="10">
        <v>45635</v>
      </c>
    </row>
    <row r="586" spans="1:9" x14ac:dyDescent="0.15">
      <c r="A586" s="9">
        <v>585</v>
      </c>
      <c r="B586" s="9" t="s">
        <v>9</v>
      </c>
      <c r="C586" s="9">
        <v>1928</v>
      </c>
      <c r="D586" s="10">
        <v>45736</v>
      </c>
      <c r="E586" s="11" t="str">
        <f>+HYPERLINK("http://trademark.i-assist.jp/data/china/image_1928th/82433667.pdf","82433667")</f>
        <v>82433667</v>
      </c>
      <c r="F586" s="9" t="s">
        <v>1702</v>
      </c>
      <c r="G586" s="9" t="s">
        <v>1703</v>
      </c>
      <c r="H586" s="9" t="s">
        <v>1704</v>
      </c>
      <c r="I586" s="10">
        <v>45635</v>
      </c>
    </row>
    <row r="587" spans="1:9" x14ac:dyDescent="0.15">
      <c r="A587" s="9">
        <v>586</v>
      </c>
      <c r="B587" s="9" t="s">
        <v>9</v>
      </c>
      <c r="C587" s="9">
        <v>1928</v>
      </c>
      <c r="D587" s="10">
        <v>45736</v>
      </c>
      <c r="E587" s="11" t="str">
        <f>+HYPERLINK("http://trademark.i-assist.jp/data/china/image_1928th/82435207.pdf","82435207")</f>
        <v>82435207</v>
      </c>
      <c r="F587" s="9" t="s">
        <v>1705</v>
      </c>
      <c r="G587" s="12" t="s">
        <v>1673</v>
      </c>
      <c r="H587" s="9" t="s">
        <v>1706</v>
      </c>
      <c r="I587" s="10">
        <v>45635</v>
      </c>
    </row>
    <row r="588" spans="1:9" x14ac:dyDescent="0.15">
      <c r="A588" s="9">
        <v>587</v>
      </c>
      <c r="B588" s="9" t="s">
        <v>9</v>
      </c>
      <c r="C588" s="9">
        <v>1928</v>
      </c>
      <c r="D588" s="10">
        <v>45736</v>
      </c>
      <c r="E588" s="11" t="str">
        <f>+HYPERLINK("http://trademark.i-assist.jp/data/china/image_1928th/82435367.pdf","82435367")</f>
        <v>82435367</v>
      </c>
      <c r="F588" s="12" t="s">
        <v>1707</v>
      </c>
      <c r="G588" s="9" t="s">
        <v>56</v>
      </c>
      <c r="H588" s="12" t="s">
        <v>1708</v>
      </c>
      <c r="I588" s="10">
        <v>45635</v>
      </c>
    </row>
    <row r="589" spans="1:9" x14ac:dyDescent="0.15">
      <c r="A589" s="9">
        <v>588</v>
      </c>
      <c r="B589" s="9" t="s">
        <v>9</v>
      </c>
      <c r="C589" s="9">
        <v>1928</v>
      </c>
      <c r="D589" s="10">
        <v>45736</v>
      </c>
      <c r="E589" s="11" t="str">
        <f>+HYPERLINK("http://trademark.i-assist.jp/data/china/image_1928th/82436108.pdf","82436108")</f>
        <v>82436108</v>
      </c>
      <c r="F589" s="9" t="s">
        <v>1709</v>
      </c>
      <c r="G589" s="9" t="s">
        <v>1710</v>
      </c>
      <c r="H589" s="9" t="s">
        <v>1711</v>
      </c>
      <c r="I589" s="10">
        <v>45635</v>
      </c>
    </row>
    <row r="590" spans="1:9" x14ac:dyDescent="0.15">
      <c r="A590" s="9">
        <v>589</v>
      </c>
      <c r="B590" s="9" t="s">
        <v>9</v>
      </c>
      <c r="C590" s="9">
        <v>1928</v>
      </c>
      <c r="D590" s="10">
        <v>45736</v>
      </c>
      <c r="E590" s="11" t="str">
        <f>+HYPERLINK("http://trademark.i-assist.jp/data/china/image_1928th/82437269.pdf","82437269")</f>
        <v>82437269</v>
      </c>
      <c r="F590" s="9" t="s">
        <v>1712</v>
      </c>
      <c r="G590" s="12" t="s">
        <v>1713</v>
      </c>
      <c r="H590" s="9" t="s">
        <v>1714</v>
      </c>
      <c r="I590" s="10">
        <v>45635</v>
      </c>
    </row>
    <row r="591" spans="1:9" x14ac:dyDescent="0.15">
      <c r="A591" s="9">
        <v>590</v>
      </c>
      <c r="B591" s="9" t="s">
        <v>9</v>
      </c>
      <c r="C591" s="9">
        <v>1928</v>
      </c>
      <c r="D591" s="10">
        <v>45736</v>
      </c>
      <c r="E591" s="11" t="str">
        <f>+HYPERLINK("http://trademark.i-assist.jp/data/china/image_1928th/82437621.pdf","82437621")</f>
        <v>82437621</v>
      </c>
      <c r="F591" s="9" t="s">
        <v>1715</v>
      </c>
      <c r="G591" s="9" t="s">
        <v>1716</v>
      </c>
      <c r="H591" s="9" t="s">
        <v>1717</v>
      </c>
      <c r="I591" s="10">
        <v>45635</v>
      </c>
    </row>
    <row r="592" spans="1:9" x14ac:dyDescent="0.15">
      <c r="A592" s="9">
        <v>591</v>
      </c>
      <c r="B592" s="9" t="s">
        <v>9</v>
      </c>
      <c r="C592" s="9">
        <v>1928</v>
      </c>
      <c r="D592" s="10">
        <v>45736</v>
      </c>
      <c r="E592" s="11" t="str">
        <f>+HYPERLINK("http://trademark.i-assist.jp/data/china/image_1928th/82437800.pdf","82437800")</f>
        <v>82437800</v>
      </c>
      <c r="F592" s="13" t="s">
        <v>1718</v>
      </c>
      <c r="G592" s="9" t="s">
        <v>1719</v>
      </c>
      <c r="H592" s="9" t="s">
        <v>1720</v>
      </c>
      <c r="I592" s="10">
        <v>45635</v>
      </c>
    </row>
    <row r="593" spans="1:9" x14ac:dyDescent="0.15">
      <c r="A593" s="9">
        <v>592</v>
      </c>
      <c r="B593" s="9" t="s">
        <v>9</v>
      </c>
      <c r="C593" s="9">
        <v>1928</v>
      </c>
      <c r="D593" s="10">
        <v>45736</v>
      </c>
      <c r="E593" s="11" t="str">
        <f>+HYPERLINK("http://trademark.i-assist.jp/data/china/image_1928th/82438267.pdf","82438267")</f>
        <v>82438267</v>
      </c>
      <c r="F593" s="9" t="s">
        <v>1721</v>
      </c>
      <c r="G593" s="9" t="s">
        <v>1722</v>
      </c>
      <c r="H593" s="9" t="s">
        <v>1723</v>
      </c>
      <c r="I593" s="10">
        <v>45635</v>
      </c>
    </row>
    <row r="594" spans="1:9" x14ac:dyDescent="0.15">
      <c r="A594" s="9">
        <v>593</v>
      </c>
      <c r="B594" s="9" t="s">
        <v>9</v>
      </c>
      <c r="C594" s="9">
        <v>1928</v>
      </c>
      <c r="D594" s="10">
        <v>45736</v>
      </c>
      <c r="E594" s="11" t="str">
        <f>+HYPERLINK("http://trademark.i-assist.jp/data/china/image_1928th/82439748.pdf","82439748")</f>
        <v>82439748</v>
      </c>
      <c r="F594" s="9" t="s">
        <v>1724</v>
      </c>
      <c r="G594" s="9" t="s">
        <v>1725</v>
      </c>
      <c r="H594" s="9" t="s">
        <v>1726</v>
      </c>
      <c r="I594" s="10">
        <v>45635</v>
      </c>
    </row>
    <row r="595" spans="1:9" x14ac:dyDescent="0.15">
      <c r="A595" s="9">
        <v>594</v>
      </c>
      <c r="B595" s="9" t="s">
        <v>9</v>
      </c>
      <c r="C595" s="9">
        <v>1928</v>
      </c>
      <c r="D595" s="10">
        <v>45736</v>
      </c>
      <c r="E595" s="11" t="str">
        <f>+HYPERLINK("http://trademark.i-assist.jp/data/china/image_1928th/82440180.pdf","82440180")</f>
        <v>82440180</v>
      </c>
      <c r="F595" s="9" t="s">
        <v>1727</v>
      </c>
      <c r="G595" s="9" t="s">
        <v>1728</v>
      </c>
      <c r="H595" s="9" t="s">
        <v>1729</v>
      </c>
      <c r="I595" s="10">
        <v>45635</v>
      </c>
    </row>
    <row r="596" spans="1:9" x14ac:dyDescent="0.15">
      <c r="A596" s="9">
        <v>595</v>
      </c>
      <c r="B596" s="9" t="s">
        <v>9</v>
      </c>
      <c r="C596" s="9">
        <v>1928</v>
      </c>
      <c r="D596" s="10">
        <v>45736</v>
      </c>
      <c r="E596" s="11" t="str">
        <f>+HYPERLINK("http://trademark.i-assist.jp/data/china/image_1928th/82442124.pdf","82442124")</f>
        <v>82442124</v>
      </c>
      <c r="F596" s="9" t="s">
        <v>1730</v>
      </c>
      <c r="G596" s="9" t="s">
        <v>1731</v>
      </c>
      <c r="H596" s="12" t="s">
        <v>1732</v>
      </c>
      <c r="I596" s="10">
        <v>45635</v>
      </c>
    </row>
    <row r="597" spans="1:9" x14ac:dyDescent="0.15">
      <c r="A597" s="9">
        <v>596</v>
      </c>
      <c r="B597" s="9" t="s">
        <v>9</v>
      </c>
      <c r="C597" s="9">
        <v>1928</v>
      </c>
      <c r="D597" s="10">
        <v>45736</v>
      </c>
      <c r="E597" s="11" t="str">
        <f>+HYPERLINK("http://trademark.i-assist.jp/data/china/image_1928th/82442266.pdf","82442266")</f>
        <v>82442266</v>
      </c>
      <c r="F597" s="13" t="s">
        <v>1733</v>
      </c>
      <c r="G597" s="12" t="s">
        <v>1734</v>
      </c>
      <c r="H597" s="9" t="s">
        <v>1735</v>
      </c>
      <c r="I597" s="10">
        <v>45635</v>
      </c>
    </row>
    <row r="598" spans="1:9" x14ac:dyDescent="0.15">
      <c r="A598" s="9">
        <v>597</v>
      </c>
      <c r="B598" s="9" t="s">
        <v>9</v>
      </c>
      <c r="C598" s="9">
        <v>1928</v>
      </c>
      <c r="D598" s="10">
        <v>45736</v>
      </c>
      <c r="E598" s="11" t="str">
        <f>+HYPERLINK("http://trademark.i-assist.jp/data/china/image_1928th/82442348.pdf","82442348")</f>
        <v>82442348</v>
      </c>
      <c r="F598" s="9" t="s">
        <v>1736</v>
      </c>
      <c r="G598" s="9" t="s">
        <v>1737</v>
      </c>
      <c r="H598" s="9" t="s">
        <v>1738</v>
      </c>
      <c r="I598" s="10">
        <v>45635</v>
      </c>
    </row>
    <row r="599" spans="1:9" x14ac:dyDescent="0.15">
      <c r="A599" s="9">
        <v>598</v>
      </c>
      <c r="B599" s="9" t="s">
        <v>9</v>
      </c>
      <c r="C599" s="9">
        <v>1928</v>
      </c>
      <c r="D599" s="10">
        <v>45736</v>
      </c>
      <c r="E599" s="11" t="str">
        <f>+HYPERLINK("http://trademark.i-assist.jp/data/china/image_1928th/82442769.pdf","82442769")</f>
        <v>82442769</v>
      </c>
      <c r="F599" s="9" t="s">
        <v>1739</v>
      </c>
      <c r="G599" s="9" t="s">
        <v>1740</v>
      </c>
      <c r="H599" s="9" t="s">
        <v>1741</v>
      </c>
      <c r="I599" s="10">
        <v>45635</v>
      </c>
    </row>
    <row r="600" spans="1:9" x14ac:dyDescent="0.15">
      <c r="A600" s="9">
        <v>599</v>
      </c>
      <c r="B600" s="9" t="s">
        <v>9</v>
      </c>
      <c r="C600" s="9">
        <v>1928</v>
      </c>
      <c r="D600" s="10">
        <v>45736</v>
      </c>
      <c r="E600" s="11" t="str">
        <f>+HYPERLINK("http://trademark.i-assist.jp/data/china/image_1928th/82443242.pdf","82443242")</f>
        <v>82443242</v>
      </c>
      <c r="F600" s="12" t="s">
        <v>18</v>
      </c>
      <c r="G600" s="9" t="s">
        <v>1742</v>
      </c>
      <c r="H600" s="9" t="s">
        <v>1743</v>
      </c>
      <c r="I600" s="10">
        <v>45635</v>
      </c>
    </row>
    <row r="601" spans="1:9" x14ac:dyDescent="0.15">
      <c r="A601" s="9">
        <v>600</v>
      </c>
      <c r="B601" s="9" t="s">
        <v>9</v>
      </c>
      <c r="C601" s="9">
        <v>1928</v>
      </c>
      <c r="D601" s="10">
        <v>45736</v>
      </c>
      <c r="E601" s="11" t="str">
        <f>+HYPERLINK("http://trademark.i-assist.jp/data/china/image_1928th/82443532.pdf","82443532")</f>
        <v>82443532</v>
      </c>
      <c r="F601" s="9" t="s">
        <v>1744</v>
      </c>
      <c r="G601" s="9" t="s">
        <v>1745</v>
      </c>
      <c r="H601" s="12" t="s">
        <v>1746</v>
      </c>
      <c r="I601" s="10">
        <v>45635</v>
      </c>
    </row>
    <row r="602" spans="1:9" x14ac:dyDescent="0.15">
      <c r="A602" s="9">
        <v>601</v>
      </c>
      <c r="B602" s="9" t="s">
        <v>9</v>
      </c>
      <c r="C602" s="9">
        <v>1928</v>
      </c>
      <c r="D602" s="10">
        <v>45736</v>
      </c>
      <c r="E602" s="11" t="str">
        <f>+HYPERLINK("http://trademark.i-assist.jp/data/china/image_1928th/82443784.pdf","82443784")</f>
        <v>82443784</v>
      </c>
      <c r="F602" s="9" t="s">
        <v>1747</v>
      </c>
      <c r="G602" s="12" t="s">
        <v>1713</v>
      </c>
      <c r="H602" s="9" t="s">
        <v>1748</v>
      </c>
      <c r="I602" s="10">
        <v>45635</v>
      </c>
    </row>
    <row r="603" spans="1:9" x14ac:dyDescent="0.15">
      <c r="A603" s="9">
        <v>602</v>
      </c>
      <c r="B603" s="9" t="s">
        <v>9</v>
      </c>
      <c r="C603" s="9">
        <v>1928</v>
      </c>
      <c r="D603" s="10">
        <v>45736</v>
      </c>
      <c r="E603" s="11" t="str">
        <f>+HYPERLINK("http://trademark.i-assist.jp/data/china/image_1928th/82445288.pdf","82445288")</f>
        <v>82445288</v>
      </c>
      <c r="F603" s="9" t="s">
        <v>1749</v>
      </c>
      <c r="G603" s="9" t="s">
        <v>1750</v>
      </c>
      <c r="H603" s="9" t="s">
        <v>1751</v>
      </c>
      <c r="I603" s="10">
        <v>45635</v>
      </c>
    </row>
    <row r="604" spans="1:9" x14ac:dyDescent="0.15">
      <c r="A604" s="9">
        <v>603</v>
      </c>
      <c r="B604" s="9" t="s">
        <v>9</v>
      </c>
      <c r="C604" s="9">
        <v>1928</v>
      </c>
      <c r="D604" s="10">
        <v>45736</v>
      </c>
      <c r="E604" s="11" t="str">
        <f>+HYPERLINK("http://trademark.i-assist.jp/data/china/image_1928th/82445312.pdf","82445312")</f>
        <v>82445312</v>
      </c>
      <c r="F604" s="12" t="s">
        <v>1752</v>
      </c>
      <c r="G604" s="12" t="s">
        <v>1753</v>
      </c>
      <c r="H604" s="9" t="s">
        <v>1754</v>
      </c>
      <c r="I604" s="10">
        <v>45635</v>
      </c>
    </row>
    <row r="605" spans="1:9" x14ac:dyDescent="0.15">
      <c r="A605" s="9">
        <v>604</v>
      </c>
      <c r="B605" s="9" t="s">
        <v>9</v>
      </c>
      <c r="C605" s="9">
        <v>1928</v>
      </c>
      <c r="D605" s="10">
        <v>45736</v>
      </c>
      <c r="E605" s="11" t="str">
        <f>+HYPERLINK("http://trademark.i-assist.jp/data/china/image_1928th/82445947.pdf","82445947")</f>
        <v>82445947</v>
      </c>
      <c r="F605" s="9" t="s">
        <v>1755</v>
      </c>
      <c r="G605" s="9" t="s">
        <v>1756</v>
      </c>
      <c r="H605" s="9" t="s">
        <v>1757</v>
      </c>
      <c r="I605" s="10">
        <v>45635</v>
      </c>
    </row>
    <row r="606" spans="1:9" x14ac:dyDescent="0.15">
      <c r="A606" s="9">
        <v>605</v>
      </c>
      <c r="B606" s="9" t="s">
        <v>9</v>
      </c>
      <c r="C606" s="9">
        <v>1928</v>
      </c>
      <c r="D606" s="10">
        <v>45736</v>
      </c>
      <c r="E606" s="11" t="str">
        <f>+HYPERLINK("http://trademark.i-assist.jp/data/china/image_1928th/82446454.pdf","82446454")</f>
        <v>82446454</v>
      </c>
      <c r="F606" s="12" t="s">
        <v>1758</v>
      </c>
      <c r="G606" s="9" t="s">
        <v>1759</v>
      </c>
      <c r="H606" s="9" t="s">
        <v>1760</v>
      </c>
      <c r="I606" s="10">
        <v>45635</v>
      </c>
    </row>
    <row r="607" spans="1:9" x14ac:dyDescent="0.15">
      <c r="A607" s="9">
        <v>606</v>
      </c>
      <c r="B607" s="9" t="s">
        <v>9</v>
      </c>
      <c r="C607" s="9">
        <v>1928</v>
      </c>
      <c r="D607" s="10">
        <v>45736</v>
      </c>
      <c r="E607" s="11" t="str">
        <f>+HYPERLINK("http://trademark.i-assist.jp/data/china/image_1928th/82447079.pdf","82447079")</f>
        <v>82447079</v>
      </c>
      <c r="F607" s="9" t="s">
        <v>1761</v>
      </c>
      <c r="G607" s="9" t="s">
        <v>1762</v>
      </c>
      <c r="H607" s="9" t="s">
        <v>1763</v>
      </c>
      <c r="I607" s="10">
        <v>45635</v>
      </c>
    </row>
    <row r="608" spans="1:9" x14ac:dyDescent="0.15">
      <c r="A608" s="9">
        <v>607</v>
      </c>
      <c r="B608" s="9" t="s">
        <v>9</v>
      </c>
      <c r="C608" s="9">
        <v>1928</v>
      </c>
      <c r="D608" s="10">
        <v>45736</v>
      </c>
      <c r="E608" s="11" t="str">
        <f>+HYPERLINK("http://trademark.i-assist.jp/data/china/image_1928th/82447118.pdf","82447118")</f>
        <v>82447118</v>
      </c>
      <c r="F608" s="9" t="s">
        <v>1667</v>
      </c>
      <c r="G608" s="9" t="s">
        <v>1668</v>
      </c>
      <c r="H608" s="9" t="s">
        <v>1764</v>
      </c>
      <c r="I608" s="10">
        <v>45635</v>
      </c>
    </row>
    <row r="609" spans="1:9" x14ac:dyDescent="0.15">
      <c r="A609" s="9">
        <v>608</v>
      </c>
      <c r="B609" s="9" t="s">
        <v>9</v>
      </c>
      <c r="C609" s="9">
        <v>1928</v>
      </c>
      <c r="D609" s="10">
        <v>45736</v>
      </c>
      <c r="E609" s="11" t="str">
        <f>+HYPERLINK("http://trademark.i-assist.jp/data/china/image_1928th/82448111.pdf","82448111")</f>
        <v>82448111</v>
      </c>
      <c r="F609" s="9" t="s">
        <v>1765</v>
      </c>
      <c r="G609" s="9" t="s">
        <v>1766</v>
      </c>
      <c r="H609" s="9" t="s">
        <v>1767</v>
      </c>
      <c r="I609" s="10">
        <v>45635</v>
      </c>
    </row>
    <row r="610" spans="1:9" x14ac:dyDescent="0.15">
      <c r="A610" s="9">
        <v>609</v>
      </c>
      <c r="B610" s="9" t="s">
        <v>9</v>
      </c>
      <c r="C610" s="9">
        <v>1928</v>
      </c>
      <c r="D610" s="10">
        <v>45736</v>
      </c>
      <c r="E610" s="11" t="str">
        <f>+HYPERLINK("http://trademark.i-assist.jp/data/china/image_1928th/82448641.pdf","82448641")</f>
        <v>82448641</v>
      </c>
      <c r="F610" s="9" t="s">
        <v>1768</v>
      </c>
      <c r="G610" s="9" t="s">
        <v>1769</v>
      </c>
      <c r="H610" s="9" t="s">
        <v>1770</v>
      </c>
      <c r="I610" s="10">
        <v>45636</v>
      </c>
    </row>
    <row r="611" spans="1:9" x14ac:dyDescent="0.15">
      <c r="A611" s="9">
        <v>610</v>
      </c>
      <c r="B611" s="9" t="s">
        <v>9</v>
      </c>
      <c r="C611" s="9">
        <v>1928</v>
      </c>
      <c r="D611" s="10">
        <v>45736</v>
      </c>
      <c r="E611" s="11" t="str">
        <f>+HYPERLINK("http://trademark.i-assist.jp/data/china/image_1928th/82448902.pdf","82448902")</f>
        <v>82448902</v>
      </c>
      <c r="F611" s="9" t="s">
        <v>1771</v>
      </c>
      <c r="G611" s="12" t="s">
        <v>1772</v>
      </c>
      <c r="H611" s="9" t="s">
        <v>1773</v>
      </c>
      <c r="I611" s="10">
        <v>45636</v>
      </c>
    </row>
    <row r="612" spans="1:9" x14ac:dyDescent="0.15">
      <c r="A612" s="9">
        <v>611</v>
      </c>
      <c r="B612" s="9" t="s">
        <v>9</v>
      </c>
      <c r="C612" s="9">
        <v>1928</v>
      </c>
      <c r="D612" s="10">
        <v>45736</v>
      </c>
      <c r="E612" s="11" t="str">
        <f>+HYPERLINK("http://trademark.i-assist.jp/data/china/image_1928th/82449048.pdf","82449048")</f>
        <v>82449048</v>
      </c>
      <c r="F612" s="9" t="s">
        <v>1774</v>
      </c>
      <c r="G612" s="9" t="s">
        <v>1775</v>
      </c>
      <c r="H612" s="9" t="s">
        <v>1776</v>
      </c>
      <c r="I612" s="10">
        <v>45636</v>
      </c>
    </row>
    <row r="613" spans="1:9" x14ac:dyDescent="0.15">
      <c r="A613" s="9">
        <v>612</v>
      </c>
      <c r="B613" s="9" t="s">
        <v>9</v>
      </c>
      <c r="C613" s="9">
        <v>1928</v>
      </c>
      <c r="D613" s="10">
        <v>45736</v>
      </c>
      <c r="E613" s="11" t="str">
        <f>+HYPERLINK("http://trademark.i-assist.jp/data/china/image_1928th/82449294.pdf","82449294")</f>
        <v>82449294</v>
      </c>
      <c r="F613" s="9" t="s">
        <v>1777</v>
      </c>
      <c r="G613" s="9" t="s">
        <v>1778</v>
      </c>
      <c r="H613" s="9" t="s">
        <v>1779</v>
      </c>
      <c r="I613" s="10">
        <v>45636</v>
      </c>
    </row>
    <row r="614" spans="1:9" x14ac:dyDescent="0.15">
      <c r="A614" s="9">
        <v>613</v>
      </c>
      <c r="B614" s="9" t="s">
        <v>9</v>
      </c>
      <c r="C614" s="9">
        <v>1928</v>
      </c>
      <c r="D614" s="10">
        <v>45736</v>
      </c>
      <c r="E614" s="11" t="str">
        <f>+HYPERLINK("http://trademark.i-assist.jp/data/china/image_1928th/82449520.pdf","82449520")</f>
        <v>82449520</v>
      </c>
      <c r="F614" s="12" t="s">
        <v>1780</v>
      </c>
      <c r="G614" s="9" t="s">
        <v>1781</v>
      </c>
      <c r="H614" s="9" t="s">
        <v>1782</v>
      </c>
      <c r="I614" s="10">
        <v>45636</v>
      </c>
    </row>
    <row r="615" spans="1:9" x14ac:dyDescent="0.15">
      <c r="A615" s="9">
        <v>614</v>
      </c>
      <c r="B615" s="9" t="s">
        <v>9</v>
      </c>
      <c r="C615" s="9">
        <v>1928</v>
      </c>
      <c r="D615" s="10">
        <v>45736</v>
      </c>
      <c r="E615" s="11" t="str">
        <f>+HYPERLINK("http://trademark.i-assist.jp/data/china/image_1928th/82449717.pdf","82449717")</f>
        <v>82449717</v>
      </c>
      <c r="F615" s="12" t="s">
        <v>1783</v>
      </c>
      <c r="G615" s="9" t="s">
        <v>1784</v>
      </c>
      <c r="H615" s="9" t="s">
        <v>1785</v>
      </c>
      <c r="I615" s="10">
        <v>45636</v>
      </c>
    </row>
    <row r="616" spans="1:9" x14ac:dyDescent="0.15">
      <c r="A616" s="9">
        <v>615</v>
      </c>
      <c r="B616" s="9" t="s">
        <v>9</v>
      </c>
      <c r="C616" s="9">
        <v>1928</v>
      </c>
      <c r="D616" s="10">
        <v>45736</v>
      </c>
      <c r="E616" s="11" t="str">
        <f>+HYPERLINK("http://trademark.i-assist.jp/data/china/image_1928th/82449839.pdf","82449839")</f>
        <v>82449839</v>
      </c>
      <c r="F616" s="9" t="s">
        <v>1786</v>
      </c>
      <c r="G616" s="12" t="s">
        <v>1787</v>
      </c>
      <c r="H616" s="9" t="s">
        <v>1788</v>
      </c>
      <c r="I616" s="10">
        <v>45636</v>
      </c>
    </row>
    <row r="617" spans="1:9" x14ac:dyDescent="0.15">
      <c r="A617" s="9">
        <v>616</v>
      </c>
      <c r="B617" s="9" t="s">
        <v>9</v>
      </c>
      <c r="C617" s="9">
        <v>1928</v>
      </c>
      <c r="D617" s="10">
        <v>45736</v>
      </c>
      <c r="E617" s="11" t="str">
        <f>+HYPERLINK("http://trademark.i-assist.jp/data/china/image_1928th/82449851.pdf","82449851")</f>
        <v>82449851</v>
      </c>
      <c r="F617" s="9" t="s">
        <v>1789</v>
      </c>
      <c r="G617" s="9" t="s">
        <v>1790</v>
      </c>
      <c r="H617" s="9" t="s">
        <v>1791</v>
      </c>
      <c r="I617" s="10">
        <v>45636</v>
      </c>
    </row>
    <row r="618" spans="1:9" x14ac:dyDescent="0.15">
      <c r="A618" s="9">
        <v>617</v>
      </c>
      <c r="B618" s="9" t="s">
        <v>9</v>
      </c>
      <c r="C618" s="9">
        <v>1928</v>
      </c>
      <c r="D618" s="10">
        <v>45736</v>
      </c>
      <c r="E618" s="11" t="str">
        <f>+HYPERLINK("http://trademark.i-assist.jp/data/china/image_1928th/82450751.pdf","82450751")</f>
        <v>82450751</v>
      </c>
      <c r="F618" s="9" t="s">
        <v>1792</v>
      </c>
      <c r="G618" s="12" t="s">
        <v>1793</v>
      </c>
      <c r="H618" s="9" t="s">
        <v>1794</v>
      </c>
      <c r="I618" s="10">
        <v>45636</v>
      </c>
    </row>
    <row r="619" spans="1:9" x14ac:dyDescent="0.15">
      <c r="A619" s="9">
        <v>618</v>
      </c>
      <c r="B619" s="9" t="s">
        <v>9</v>
      </c>
      <c r="C619" s="9">
        <v>1928</v>
      </c>
      <c r="D619" s="10">
        <v>45736</v>
      </c>
      <c r="E619" s="11" t="str">
        <f>+HYPERLINK("http://trademark.i-assist.jp/data/china/image_1928th/82451174.pdf","82451174")</f>
        <v>82451174</v>
      </c>
      <c r="F619" s="9" t="s">
        <v>1795</v>
      </c>
      <c r="G619" s="9" t="s">
        <v>1796</v>
      </c>
      <c r="H619" s="9" t="s">
        <v>1797</v>
      </c>
      <c r="I619" s="10">
        <v>45636</v>
      </c>
    </row>
    <row r="620" spans="1:9" x14ac:dyDescent="0.15">
      <c r="A620" s="9">
        <v>619</v>
      </c>
      <c r="B620" s="9" t="s">
        <v>9</v>
      </c>
      <c r="C620" s="9">
        <v>1928</v>
      </c>
      <c r="D620" s="10">
        <v>45736</v>
      </c>
      <c r="E620" s="11" t="str">
        <f>+HYPERLINK("http://trademark.i-assist.jp/data/china/image_1928th/82451328.pdf","82451328")</f>
        <v>82451328</v>
      </c>
      <c r="F620" s="9" t="s">
        <v>1798</v>
      </c>
      <c r="G620" s="9" t="s">
        <v>1799</v>
      </c>
      <c r="H620" s="9" t="s">
        <v>1800</v>
      </c>
      <c r="I620" s="10">
        <v>45636</v>
      </c>
    </row>
    <row r="621" spans="1:9" x14ac:dyDescent="0.15">
      <c r="A621" s="9">
        <v>620</v>
      </c>
      <c r="B621" s="9" t="s">
        <v>9</v>
      </c>
      <c r="C621" s="9">
        <v>1928</v>
      </c>
      <c r="D621" s="10">
        <v>45736</v>
      </c>
      <c r="E621" s="11" t="str">
        <f>+HYPERLINK("http://trademark.i-assist.jp/data/china/image_1928th/82452267.pdf","82452267")</f>
        <v>82452267</v>
      </c>
      <c r="F621" s="9" t="s">
        <v>1801</v>
      </c>
      <c r="G621" s="9" t="s">
        <v>1775</v>
      </c>
      <c r="H621" s="9" t="s">
        <v>1802</v>
      </c>
      <c r="I621" s="10">
        <v>45636</v>
      </c>
    </row>
    <row r="622" spans="1:9" x14ac:dyDescent="0.15">
      <c r="A622" s="9">
        <v>621</v>
      </c>
      <c r="B622" s="9" t="s">
        <v>9</v>
      </c>
      <c r="C622" s="9">
        <v>1928</v>
      </c>
      <c r="D622" s="10">
        <v>45736</v>
      </c>
      <c r="E622" s="11" t="str">
        <f>+HYPERLINK("http://trademark.i-assist.jp/data/china/image_1928th/82452557.pdf","82452557")</f>
        <v>82452557</v>
      </c>
      <c r="F622" s="9" t="s">
        <v>1803</v>
      </c>
      <c r="G622" s="9" t="s">
        <v>1775</v>
      </c>
      <c r="H622" s="9" t="s">
        <v>1804</v>
      </c>
      <c r="I622" s="10">
        <v>45636</v>
      </c>
    </row>
    <row r="623" spans="1:9" x14ac:dyDescent="0.15">
      <c r="A623" s="9">
        <v>622</v>
      </c>
      <c r="B623" s="9" t="s">
        <v>9</v>
      </c>
      <c r="C623" s="9">
        <v>1928</v>
      </c>
      <c r="D623" s="10">
        <v>45736</v>
      </c>
      <c r="E623" s="11" t="str">
        <f>+HYPERLINK("http://trademark.i-assist.jp/data/china/image_1928th/82452561.pdf","82452561")</f>
        <v>82452561</v>
      </c>
      <c r="F623" s="9" t="s">
        <v>1805</v>
      </c>
      <c r="G623" s="9" t="s">
        <v>1806</v>
      </c>
      <c r="H623" s="9" t="s">
        <v>1807</v>
      </c>
      <c r="I623" s="10">
        <v>45636</v>
      </c>
    </row>
    <row r="624" spans="1:9" x14ac:dyDescent="0.15">
      <c r="A624" s="9">
        <v>623</v>
      </c>
      <c r="B624" s="9" t="s">
        <v>9</v>
      </c>
      <c r="C624" s="9">
        <v>1928</v>
      </c>
      <c r="D624" s="10">
        <v>45736</v>
      </c>
      <c r="E624" s="11" t="str">
        <f>+HYPERLINK("http://trademark.i-assist.jp/data/china/image_1928th/82452722.pdf","82452722")</f>
        <v>82452722</v>
      </c>
      <c r="F624" s="9" t="s">
        <v>1808</v>
      </c>
      <c r="G624" s="9" t="s">
        <v>1809</v>
      </c>
      <c r="H624" s="9" t="s">
        <v>1810</v>
      </c>
      <c r="I624" s="10">
        <v>45636</v>
      </c>
    </row>
    <row r="625" spans="1:9" x14ac:dyDescent="0.15">
      <c r="A625" s="9">
        <v>624</v>
      </c>
      <c r="B625" s="9" t="s">
        <v>9</v>
      </c>
      <c r="C625" s="9">
        <v>1928</v>
      </c>
      <c r="D625" s="10">
        <v>45736</v>
      </c>
      <c r="E625" s="11" t="str">
        <f>+HYPERLINK("http://trademark.i-assist.jp/data/china/image_1928th/82453024.pdf","82453024")</f>
        <v>82453024</v>
      </c>
      <c r="F625" s="9" t="s">
        <v>1811</v>
      </c>
      <c r="G625" s="9" t="s">
        <v>1812</v>
      </c>
      <c r="H625" s="9" t="s">
        <v>1813</v>
      </c>
      <c r="I625" s="10">
        <v>45636</v>
      </c>
    </row>
    <row r="626" spans="1:9" x14ac:dyDescent="0.15">
      <c r="A626" s="9">
        <v>625</v>
      </c>
      <c r="B626" s="9" t="s">
        <v>9</v>
      </c>
      <c r="C626" s="9">
        <v>1928</v>
      </c>
      <c r="D626" s="10">
        <v>45736</v>
      </c>
      <c r="E626" s="11" t="str">
        <f>+HYPERLINK("http://trademark.i-assist.jp/data/china/image_1928th/82453117.pdf","82453117")</f>
        <v>82453117</v>
      </c>
      <c r="F626" s="12" t="s">
        <v>1814</v>
      </c>
      <c r="G626" s="9" t="s">
        <v>1815</v>
      </c>
      <c r="H626" s="9" t="s">
        <v>1816</v>
      </c>
      <c r="I626" s="10">
        <v>45636</v>
      </c>
    </row>
    <row r="627" spans="1:9" x14ac:dyDescent="0.15">
      <c r="A627" s="9">
        <v>626</v>
      </c>
      <c r="B627" s="9" t="s">
        <v>9</v>
      </c>
      <c r="C627" s="9">
        <v>1928</v>
      </c>
      <c r="D627" s="10">
        <v>45736</v>
      </c>
      <c r="E627" s="11" t="str">
        <f>+HYPERLINK("http://trademark.i-assist.jp/data/china/image_1928th/82453696.pdf","82453696")</f>
        <v>82453696</v>
      </c>
      <c r="F627" s="12" t="s">
        <v>1817</v>
      </c>
      <c r="G627" s="9" t="s">
        <v>1784</v>
      </c>
      <c r="H627" s="9" t="s">
        <v>1818</v>
      </c>
      <c r="I627" s="10">
        <v>45636</v>
      </c>
    </row>
    <row r="628" spans="1:9" x14ac:dyDescent="0.15">
      <c r="A628" s="9">
        <v>627</v>
      </c>
      <c r="B628" s="9" t="s">
        <v>9</v>
      </c>
      <c r="C628" s="9">
        <v>1928</v>
      </c>
      <c r="D628" s="10">
        <v>45736</v>
      </c>
      <c r="E628" s="11" t="str">
        <f>+HYPERLINK("http://trademark.i-assist.jp/data/china/image_1928th/82453738.pdf","82453738")</f>
        <v>82453738</v>
      </c>
      <c r="F628" s="12" t="s">
        <v>1819</v>
      </c>
      <c r="G628" s="9" t="s">
        <v>1784</v>
      </c>
      <c r="H628" s="9" t="s">
        <v>1820</v>
      </c>
      <c r="I628" s="10">
        <v>45636</v>
      </c>
    </row>
    <row r="629" spans="1:9" x14ac:dyDescent="0.15">
      <c r="A629" s="9">
        <v>628</v>
      </c>
      <c r="B629" s="9" t="s">
        <v>9</v>
      </c>
      <c r="C629" s="9">
        <v>1928</v>
      </c>
      <c r="D629" s="10">
        <v>45736</v>
      </c>
      <c r="E629" s="11" t="str">
        <f>+HYPERLINK("http://trademark.i-assist.jp/data/china/image_1928th/82456624.pdf","82456624")</f>
        <v>82456624</v>
      </c>
      <c r="F629" s="9" t="s">
        <v>1821</v>
      </c>
      <c r="G629" s="9" t="s">
        <v>60</v>
      </c>
      <c r="H629" s="9" t="s">
        <v>1822</v>
      </c>
      <c r="I629" s="10">
        <v>45636</v>
      </c>
    </row>
    <row r="630" spans="1:9" x14ac:dyDescent="0.15">
      <c r="A630" s="9">
        <v>629</v>
      </c>
      <c r="B630" s="9" t="s">
        <v>9</v>
      </c>
      <c r="C630" s="9">
        <v>1928</v>
      </c>
      <c r="D630" s="10">
        <v>45736</v>
      </c>
      <c r="E630" s="11" t="str">
        <f>+HYPERLINK("http://trademark.i-assist.jp/data/china/image_1928th/82456824.pdf","82456824")</f>
        <v>82456824</v>
      </c>
      <c r="F630" s="9" t="s">
        <v>1823</v>
      </c>
      <c r="G630" s="12" t="s">
        <v>1824</v>
      </c>
      <c r="H630" s="9" t="s">
        <v>1825</v>
      </c>
      <c r="I630" s="10">
        <v>45636</v>
      </c>
    </row>
    <row r="631" spans="1:9" x14ac:dyDescent="0.15">
      <c r="A631" s="9">
        <v>630</v>
      </c>
      <c r="B631" s="9" t="s">
        <v>9</v>
      </c>
      <c r="C631" s="9">
        <v>1928</v>
      </c>
      <c r="D631" s="10">
        <v>45736</v>
      </c>
      <c r="E631" s="11" t="str">
        <f>+HYPERLINK("http://trademark.i-assist.jp/data/china/image_1928th/82457920.pdf","82457920")</f>
        <v>82457920</v>
      </c>
      <c r="F631" s="9" t="s">
        <v>1826</v>
      </c>
      <c r="G631" s="9" t="s">
        <v>1827</v>
      </c>
      <c r="H631" s="9" t="s">
        <v>1828</v>
      </c>
      <c r="I631" s="10">
        <v>45636</v>
      </c>
    </row>
    <row r="632" spans="1:9" x14ac:dyDescent="0.15">
      <c r="A632" s="9">
        <v>631</v>
      </c>
      <c r="B632" s="9" t="s">
        <v>9</v>
      </c>
      <c r="C632" s="9">
        <v>1928</v>
      </c>
      <c r="D632" s="10">
        <v>45736</v>
      </c>
      <c r="E632" s="11" t="str">
        <f>+HYPERLINK("http://trademark.i-assist.jp/data/china/image_1928th/82458192.pdf","82458192")</f>
        <v>82458192</v>
      </c>
      <c r="F632" s="9" t="s">
        <v>1829</v>
      </c>
      <c r="G632" s="9" t="s">
        <v>1812</v>
      </c>
      <c r="H632" s="9" t="s">
        <v>1830</v>
      </c>
      <c r="I632" s="10">
        <v>45636</v>
      </c>
    </row>
    <row r="633" spans="1:9" x14ac:dyDescent="0.15">
      <c r="A633" s="9">
        <v>632</v>
      </c>
      <c r="B633" s="9" t="s">
        <v>9</v>
      </c>
      <c r="C633" s="9">
        <v>1928</v>
      </c>
      <c r="D633" s="10">
        <v>45736</v>
      </c>
      <c r="E633" s="11" t="str">
        <f>+HYPERLINK("http://trademark.i-assist.jp/data/china/image_1928th/82458851.pdf","82458851")</f>
        <v>82458851</v>
      </c>
      <c r="F633" s="12" t="s">
        <v>1831</v>
      </c>
      <c r="G633" s="9" t="s">
        <v>1832</v>
      </c>
      <c r="H633" s="9" t="s">
        <v>1833</v>
      </c>
      <c r="I633" s="10">
        <v>45636</v>
      </c>
    </row>
    <row r="634" spans="1:9" x14ac:dyDescent="0.15">
      <c r="A634" s="9">
        <v>633</v>
      </c>
      <c r="B634" s="9" t="s">
        <v>9</v>
      </c>
      <c r="C634" s="9">
        <v>1928</v>
      </c>
      <c r="D634" s="10">
        <v>45736</v>
      </c>
      <c r="E634" s="11" t="str">
        <f>+HYPERLINK("http://trademark.i-assist.jp/data/china/image_1928th/82459685.pdf","82459685")</f>
        <v>82459685</v>
      </c>
      <c r="F634" s="9" t="s">
        <v>1834</v>
      </c>
      <c r="G634" s="9" t="s">
        <v>1835</v>
      </c>
      <c r="H634" s="9" t="s">
        <v>1836</v>
      </c>
      <c r="I634" s="10">
        <v>45636</v>
      </c>
    </row>
    <row r="635" spans="1:9" x14ac:dyDescent="0.15">
      <c r="A635" s="9">
        <v>634</v>
      </c>
      <c r="B635" s="9" t="s">
        <v>9</v>
      </c>
      <c r="C635" s="9">
        <v>1928</v>
      </c>
      <c r="D635" s="10">
        <v>45736</v>
      </c>
      <c r="E635" s="11" t="str">
        <f>+HYPERLINK("http://trademark.i-assist.jp/data/china/image_1928th/82461290.pdf","82461290")</f>
        <v>82461290</v>
      </c>
      <c r="F635" s="12" t="s">
        <v>1837</v>
      </c>
      <c r="G635" s="9" t="s">
        <v>1812</v>
      </c>
      <c r="H635" s="9" t="s">
        <v>1838</v>
      </c>
      <c r="I635" s="10">
        <v>45636</v>
      </c>
    </row>
    <row r="636" spans="1:9" x14ac:dyDescent="0.15">
      <c r="A636" s="9">
        <v>635</v>
      </c>
      <c r="B636" s="9" t="s">
        <v>9</v>
      </c>
      <c r="C636" s="9">
        <v>1928</v>
      </c>
      <c r="D636" s="10">
        <v>45736</v>
      </c>
      <c r="E636" s="11" t="str">
        <f>+HYPERLINK("http://trademark.i-assist.jp/data/china/image_1928th/82461298.pdf","82461298")</f>
        <v>82461298</v>
      </c>
      <c r="F636" s="9" t="s">
        <v>1839</v>
      </c>
      <c r="G636" s="9" t="s">
        <v>1812</v>
      </c>
      <c r="H636" s="9" t="s">
        <v>1840</v>
      </c>
      <c r="I636" s="10">
        <v>45636</v>
      </c>
    </row>
    <row r="637" spans="1:9" x14ac:dyDescent="0.15">
      <c r="A637" s="9">
        <v>636</v>
      </c>
      <c r="B637" s="9" t="s">
        <v>9</v>
      </c>
      <c r="C637" s="9">
        <v>1928</v>
      </c>
      <c r="D637" s="10">
        <v>45736</v>
      </c>
      <c r="E637" s="11" t="str">
        <f>+HYPERLINK("http://trademark.i-assist.jp/data/china/image_1928th/82461742.pdf","82461742")</f>
        <v>82461742</v>
      </c>
      <c r="F637" s="9" t="s">
        <v>1841</v>
      </c>
      <c r="G637" s="9" t="s">
        <v>1842</v>
      </c>
      <c r="H637" s="9" t="s">
        <v>1843</v>
      </c>
      <c r="I637" s="10">
        <v>45636</v>
      </c>
    </row>
    <row r="638" spans="1:9" x14ac:dyDescent="0.15">
      <c r="A638" s="9">
        <v>637</v>
      </c>
      <c r="B638" s="9" t="s">
        <v>9</v>
      </c>
      <c r="C638" s="9">
        <v>1928</v>
      </c>
      <c r="D638" s="10">
        <v>45736</v>
      </c>
      <c r="E638" s="11" t="str">
        <f>+HYPERLINK("http://trademark.i-assist.jp/data/china/image_1928th/82462186.pdf","82462186")</f>
        <v>82462186</v>
      </c>
      <c r="F638" s="9" t="s">
        <v>1844</v>
      </c>
      <c r="G638" s="9" t="s">
        <v>1812</v>
      </c>
      <c r="H638" s="9" t="s">
        <v>1845</v>
      </c>
      <c r="I638" s="10">
        <v>45636</v>
      </c>
    </row>
    <row r="639" spans="1:9" x14ac:dyDescent="0.15">
      <c r="A639" s="9">
        <v>638</v>
      </c>
      <c r="B639" s="9" t="s">
        <v>9</v>
      </c>
      <c r="C639" s="9">
        <v>1928</v>
      </c>
      <c r="D639" s="10">
        <v>45736</v>
      </c>
      <c r="E639" s="11" t="str">
        <f>+HYPERLINK("http://trademark.i-assist.jp/data/china/image_1928th/82463207.pdf","82463207")</f>
        <v>82463207</v>
      </c>
      <c r="F639" s="9" t="s">
        <v>1846</v>
      </c>
      <c r="G639" s="9" t="s">
        <v>1847</v>
      </c>
      <c r="H639" s="9" t="s">
        <v>1848</v>
      </c>
      <c r="I639" s="10">
        <v>45636</v>
      </c>
    </row>
    <row r="640" spans="1:9" x14ac:dyDescent="0.15">
      <c r="A640" s="9">
        <v>639</v>
      </c>
      <c r="B640" s="9" t="s">
        <v>9</v>
      </c>
      <c r="C640" s="9">
        <v>1928</v>
      </c>
      <c r="D640" s="10">
        <v>45736</v>
      </c>
      <c r="E640" s="11" t="str">
        <f>+HYPERLINK("http://trademark.i-assist.jp/data/china/image_1928th/82463387.pdf","82463387")</f>
        <v>82463387</v>
      </c>
      <c r="F640" s="12" t="s">
        <v>18</v>
      </c>
      <c r="G640" s="9" t="s">
        <v>1849</v>
      </c>
      <c r="H640" s="9" t="s">
        <v>1850</v>
      </c>
      <c r="I640" s="10">
        <v>45636</v>
      </c>
    </row>
    <row r="641" spans="1:9" x14ac:dyDescent="0.15">
      <c r="A641" s="9">
        <v>640</v>
      </c>
      <c r="B641" s="9" t="s">
        <v>9</v>
      </c>
      <c r="C641" s="9">
        <v>1928</v>
      </c>
      <c r="D641" s="10">
        <v>45736</v>
      </c>
      <c r="E641" s="11" t="str">
        <f>+HYPERLINK("http://trademark.i-assist.jp/data/china/image_1928th/82464883.pdf","82464883")</f>
        <v>82464883</v>
      </c>
      <c r="F641" s="9" t="s">
        <v>1851</v>
      </c>
      <c r="G641" s="9" t="s">
        <v>1852</v>
      </c>
      <c r="H641" s="9" t="s">
        <v>1853</v>
      </c>
      <c r="I641" s="10">
        <v>45636</v>
      </c>
    </row>
    <row r="642" spans="1:9" x14ac:dyDescent="0.15">
      <c r="A642" s="9">
        <v>641</v>
      </c>
      <c r="B642" s="9" t="s">
        <v>9</v>
      </c>
      <c r="C642" s="9">
        <v>1928</v>
      </c>
      <c r="D642" s="10">
        <v>45736</v>
      </c>
      <c r="E642" s="11" t="str">
        <f>+HYPERLINK("http://trademark.i-assist.jp/data/china/image_1928th/82464911.pdf","82464911")</f>
        <v>82464911</v>
      </c>
      <c r="F642" s="9" t="s">
        <v>1854</v>
      </c>
      <c r="G642" s="12" t="s">
        <v>1855</v>
      </c>
      <c r="H642" s="9" t="s">
        <v>1856</v>
      </c>
      <c r="I642" s="10">
        <v>45636</v>
      </c>
    </row>
    <row r="643" spans="1:9" x14ac:dyDescent="0.15">
      <c r="A643" s="9">
        <v>642</v>
      </c>
      <c r="B643" s="9" t="s">
        <v>9</v>
      </c>
      <c r="C643" s="9">
        <v>1928</v>
      </c>
      <c r="D643" s="10">
        <v>45736</v>
      </c>
      <c r="E643" s="11" t="str">
        <f>+HYPERLINK("http://trademark.i-assist.jp/data/china/image_1928th/82464945.pdf","82464945")</f>
        <v>82464945</v>
      </c>
      <c r="F643" s="9" t="s">
        <v>1857</v>
      </c>
      <c r="G643" s="9" t="s">
        <v>1858</v>
      </c>
      <c r="H643" s="9" t="s">
        <v>1859</v>
      </c>
      <c r="I643" s="10">
        <v>45636</v>
      </c>
    </row>
    <row r="644" spans="1:9" x14ac:dyDescent="0.15">
      <c r="A644" s="9">
        <v>643</v>
      </c>
      <c r="B644" s="9" t="s">
        <v>9</v>
      </c>
      <c r="C644" s="9">
        <v>1928</v>
      </c>
      <c r="D644" s="10">
        <v>45736</v>
      </c>
      <c r="E644" s="11" t="str">
        <f>+HYPERLINK("http://trademark.i-assist.jp/data/china/image_1928th/82465117.pdf","82465117")</f>
        <v>82465117</v>
      </c>
      <c r="F644" s="9" t="s">
        <v>1860</v>
      </c>
      <c r="G644" s="9" t="s">
        <v>1832</v>
      </c>
      <c r="H644" s="9" t="s">
        <v>1861</v>
      </c>
      <c r="I644" s="10">
        <v>45636</v>
      </c>
    </row>
    <row r="645" spans="1:9" x14ac:dyDescent="0.15">
      <c r="A645" s="9">
        <v>644</v>
      </c>
      <c r="B645" s="9" t="s">
        <v>9</v>
      </c>
      <c r="C645" s="9">
        <v>1928</v>
      </c>
      <c r="D645" s="10">
        <v>45736</v>
      </c>
      <c r="E645" s="11" t="str">
        <f>+HYPERLINK("http://trademark.i-assist.jp/data/china/image_1928th/82465378.pdf","82465378")</f>
        <v>82465378</v>
      </c>
      <c r="F645" s="12" t="s">
        <v>18</v>
      </c>
      <c r="G645" s="9" t="s">
        <v>1862</v>
      </c>
      <c r="H645" s="9" t="s">
        <v>1863</v>
      </c>
      <c r="I645" s="10">
        <v>45636</v>
      </c>
    </row>
    <row r="646" spans="1:9" x14ac:dyDescent="0.15">
      <c r="A646" s="9">
        <v>645</v>
      </c>
      <c r="B646" s="9" t="s">
        <v>9</v>
      </c>
      <c r="C646" s="9">
        <v>1928</v>
      </c>
      <c r="D646" s="10">
        <v>45736</v>
      </c>
      <c r="E646" s="11" t="str">
        <f>+HYPERLINK("http://trademark.i-assist.jp/data/china/image_1928th/82466482.pdf","82466482")</f>
        <v>82466482</v>
      </c>
      <c r="F646" s="9" t="s">
        <v>1864</v>
      </c>
      <c r="G646" s="9" t="s">
        <v>1865</v>
      </c>
      <c r="H646" s="9" t="s">
        <v>1866</v>
      </c>
      <c r="I646" s="10">
        <v>45636</v>
      </c>
    </row>
    <row r="647" spans="1:9" x14ac:dyDescent="0.15">
      <c r="A647" s="9">
        <v>646</v>
      </c>
      <c r="B647" s="9" t="s">
        <v>9</v>
      </c>
      <c r="C647" s="9">
        <v>1928</v>
      </c>
      <c r="D647" s="10">
        <v>45736</v>
      </c>
      <c r="E647" s="11" t="str">
        <f>+HYPERLINK("http://trademark.i-assist.jp/data/china/image_1928th/82466963.pdf","82466963")</f>
        <v>82466963</v>
      </c>
      <c r="F647" s="9" t="s">
        <v>1867</v>
      </c>
      <c r="G647" s="9" t="s">
        <v>1868</v>
      </c>
      <c r="H647" s="9" t="s">
        <v>1869</v>
      </c>
      <c r="I647" s="10">
        <v>45636</v>
      </c>
    </row>
    <row r="648" spans="1:9" x14ac:dyDescent="0.15">
      <c r="A648" s="9">
        <v>647</v>
      </c>
      <c r="B648" s="9" t="s">
        <v>9</v>
      </c>
      <c r="C648" s="9">
        <v>1928</v>
      </c>
      <c r="D648" s="10">
        <v>45736</v>
      </c>
      <c r="E648" s="11" t="str">
        <f>+HYPERLINK("http://trademark.i-assist.jp/data/china/image_1928th/82468256.pdf","82468256")</f>
        <v>82468256</v>
      </c>
      <c r="F648" s="9" t="s">
        <v>1870</v>
      </c>
      <c r="G648" s="9" t="s">
        <v>1871</v>
      </c>
      <c r="H648" s="9" t="s">
        <v>1872</v>
      </c>
      <c r="I648" s="10">
        <v>45636</v>
      </c>
    </row>
    <row r="649" spans="1:9" x14ac:dyDescent="0.15">
      <c r="A649" s="9">
        <v>648</v>
      </c>
      <c r="B649" s="9" t="s">
        <v>9</v>
      </c>
      <c r="C649" s="9">
        <v>1928</v>
      </c>
      <c r="D649" s="10">
        <v>45736</v>
      </c>
      <c r="E649" s="11" t="str">
        <f>+HYPERLINK("http://trademark.i-assist.jp/data/china/image_1928th/82468268.pdf","82468268")</f>
        <v>82468268</v>
      </c>
      <c r="F649" s="12" t="s">
        <v>1873</v>
      </c>
      <c r="G649" s="9" t="s">
        <v>1874</v>
      </c>
      <c r="H649" s="9" t="s">
        <v>1875</v>
      </c>
      <c r="I649" s="10">
        <v>45636</v>
      </c>
    </row>
    <row r="650" spans="1:9" x14ac:dyDescent="0.15">
      <c r="A650" s="9">
        <v>649</v>
      </c>
      <c r="B650" s="9" t="s">
        <v>9</v>
      </c>
      <c r="C650" s="9">
        <v>1928</v>
      </c>
      <c r="D650" s="10">
        <v>45736</v>
      </c>
      <c r="E650" s="11" t="str">
        <f>+HYPERLINK("http://trademark.i-assist.jp/data/china/image_1928th/82468369.pdf","82468369")</f>
        <v>82468369</v>
      </c>
      <c r="F650" s="12" t="s">
        <v>1876</v>
      </c>
      <c r="G650" s="9" t="s">
        <v>1812</v>
      </c>
      <c r="H650" s="9" t="s">
        <v>1877</v>
      </c>
      <c r="I650" s="10">
        <v>45636</v>
      </c>
    </row>
    <row r="651" spans="1:9" x14ac:dyDescent="0.15">
      <c r="A651" s="9">
        <v>650</v>
      </c>
      <c r="B651" s="9" t="s">
        <v>9</v>
      </c>
      <c r="C651" s="9">
        <v>1928</v>
      </c>
      <c r="D651" s="10">
        <v>45736</v>
      </c>
      <c r="E651" s="11" t="str">
        <f>+HYPERLINK("http://trademark.i-assist.jp/data/china/image_1928th/82469635.pdf","82469635")</f>
        <v>82469635</v>
      </c>
      <c r="F651" s="9" t="s">
        <v>1878</v>
      </c>
      <c r="G651" s="9" t="s">
        <v>1879</v>
      </c>
      <c r="H651" s="9" t="s">
        <v>1880</v>
      </c>
      <c r="I651" s="10">
        <v>45636</v>
      </c>
    </row>
    <row r="652" spans="1:9" x14ac:dyDescent="0.15">
      <c r="A652" s="9">
        <v>651</v>
      </c>
      <c r="B652" s="9" t="s">
        <v>9</v>
      </c>
      <c r="C652" s="9">
        <v>1928</v>
      </c>
      <c r="D652" s="10">
        <v>45736</v>
      </c>
      <c r="E652" s="11" t="str">
        <f>+HYPERLINK("http://trademark.i-assist.jp/data/china/image_1928th/82469894.pdf","82469894")</f>
        <v>82469894</v>
      </c>
      <c r="F652" s="9" t="s">
        <v>1881</v>
      </c>
      <c r="G652" s="12" t="s">
        <v>1882</v>
      </c>
      <c r="H652" s="9" t="s">
        <v>1883</v>
      </c>
      <c r="I652" s="10">
        <v>45636</v>
      </c>
    </row>
    <row r="653" spans="1:9" x14ac:dyDescent="0.15">
      <c r="A653" s="9">
        <v>652</v>
      </c>
      <c r="B653" s="9" t="s">
        <v>9</v>
      </c>
      <c r="C653" s="9">
        <v>1928</v>
      </c>
      <c r="D653" s="10">
        <v>45736</v>
      </c>
      <c r="E653" s="11" t="str">
        <f>+HYPERLINK("http://trademark.i-assist.jp/data/china/image_1928th/82470273.pdf","82470273")</f>
        <v>82470273</v>
      </c>
      <c r="F653" s="9" t="s">
        <v>1884</v>
      </c>
      <c r="G653" s="9" t="s">
        <v>1885</v>
      </c>
      <c r="H653" s="9" t="s">
        <v>1886</v>
      </c>
      <c r="I653" s="10">
        <v>45636</v>
      </c>
    </row>
    <row r="654" spans="1:9" x14ac:dyDescent="0.15">
      <c r="A654" s="9">
        <v>653</v>
      </c>
      <c r="B654" s="9" t="s">
        <v>9</v>
      </c>
      <c r="C654" s="9">
        <v>1928</v>
      </c>
      <c r="D654" s="10">
        <v>45736</v>
      </c>
      <c r="E654" s="11" t="str">
        <f>+HYPERLINK("http://trademark.i-assist.jp/data/china/image_1928th/82470371.pdf","82470371")</f>
        <v>82470371</v>
      </c>
      <c r="F654" s="12" t="s">
        <v>1887</v>
      </c>
      <c r="G654" s="9" t="s">
        <v>1888</v>
      </c>
      <c r="H654" s="9" t="s">
        <v>1889</v>
      </c>
      <c r="I654" s="10">
        <v>45636</v>
      </c>
    </row>
    <row r="655" spans="1:9" x14ac:dyDescent="0.15">
      <c r="A655" s="9">
        <v>654</v>
      </c>
      <c r="B655" s="9" t="s">
        <v>9</v>
      </c>
      <c r="C655" s="9">
        <v>1928</v>
      </c>
      <c r="D655" s="10">
        <v>45736</v>
      </c>
      <c r="E655" s="11" t="str">
        <f>+HYPERLINK("http://trademark.i-assist.jp/data/china/image_1928th/82471357.pdf","82471357")</f>
        <v>82471357</v>
      </c>
      <c r="F655" s="9" t="s">
        <v>1890</v>
      </c>
      <c r="G655" s="9" t="s">
        <v>1891</v>
      </c>
      <c r="H655" s="9" t="s">
        <v>1892</v>
      </c>
      <c r="I655" s="10">
        <v>45636</v>
      </c>
    </row>
    <row r="656" spans="1:9" x14ac:dyDescent="0.15">
      <c r="A656" s="9">
        <v>655</v>
      </c>
      <c r="B656" s="9" t="s">
        <v>9</v>
      </c>
      <c r="C656" s="9">
        <v>1928</v>
      </c>
      <c r="D656" s="10">
        <v>45736</v>
      </c>
      <c r="E656" s="11" t="str">
        <f>+HYPERLINK("http://trademark.i-assist.jp/data/china/image_1928th/82471506.pdf","82471506")</f>
        <v>82471506</v>
      </c>
      <c r="F656" s="9" t="s">
        <v>1893</v>
      </c>
      <c r="G656" s="9" t="s">
        <v>1812</v>
      </c>
      <c r="H656" s="9" t="s">
        <v>1894</v>
      </c>
      <c r="I656" s="10">
        <v>45636</v>
      </c>
    </row>
    <row r="657" spans="1:9" x14ac:dyDescent="0.15">
      <c r="A657" s="9">
        <v>656</v>
      </c>
      <c r="B657" s="9" t="s">
        <v>9</v>
      </c>
      <c r="C657" s="9">
        <v>1928</v>
      </c>
      <c r="D657" s="10">
        <v>45736</v>
      </c>
      <c r="E657" s="11" t="str">
        <f>+HYPERLINK("http://trademark.i-assist.jp/data/china/image_1928th/82471519.pdf","82471519")</f>
        <v>82471519</v>
      </c>
      <c r="F657" s="9" t="s">
        <v>1895</v>
      </c>
      <c r="G657" s="9" t="s">
        <v>1812</v>
      </c>
      <c r="H657" s="9" t="s">
        <v>1896</v>
      </c>
      <c r="I657" s="10">
        <v>45636</v>
      </c>
    </row>
    <row r="658" spans="1:9" x14ac:dyDescent="0.15">
      <c r="A658" s="9">
        <v>657</v>
      </c>
      <c r="B658" s="9" t="s">
        <v>9</v>
      </c>
      <c r="C658" s="9">
        <v>1928</v>
      </c>
      <c r="D658" s="10">
        <v>45736</v>
      </c>
      <c r="E658" s="11" t="str">
        <f>+HYPERLINK("http://trademark.i-assist.jp/data/china/image_1928th/82471866.pdf","82471866")</f>
        <v>82471866</v>
      </c>
      <c r="F658" s="12" t="s">
        <v>1897</v>
      </c>
      <c r="G658" s="9" t="s">
        <v>1812</v>
      </c>
      <c r="H658" s="9" t="s">
        <v>1898</v>
      </c>
      <c r="I658" s="10">
        <v>45636</v>
      </c>
    </row>
    <row r="659" spans="1:9" x14ac:dyDescent="0.15">
      <c r="A659" s="9">
        <v>658</v>
      </c>
      <c r="B659" s="9" t="s">
        <v>9</v>
      </c>
      <c r="C659" s="9">
        <v>1928</v>
      </c>
      <c r="D659" s="10">
        <v>45736</v>
      </c>
      <c r="E659" s="11" t="str">
        <f>+HYPERLINK("http://trademark.i-assist.jp/data/china/image_1928th/82471971.pdf","82471971")</f>
        <v>82471971</v>
      </c>
      <c r="F659" s="9" t="s">
        <v>1899</v>
      </c>
      <c r="G659" s="9" t="s">
        <v>1900</v>
      </c>
      <c r="H659" s="9" t="s">
        <v>1901</v>
      </c>
      <c r="I659" s="10">
        <v>45636</v>
      </c>
    </row>
    <row r="660" spans="1:9" x14ac:dyDescent="0.15">
      <c r="A660" s="9">
        <v>659</v>
      </c>
      <c r="B660" s="9" t="s">
        <v>9</v>
      </c>
      <c r="C660" s="9">
        <v>1928</v>
      </c>
      <c r="D660" s="10">
        <v>45736</v>
      </c>
      <c r="E660" s="11" t="str">
        <f>+HYPERLINK("http://trademark.i-assist.jp/data/china/image_1928th/82472393.pdf","82472393")</f>
        <v>82472393</v>
      </c>
      <c r="F660" s="9" t="s">
        <v>1902</v>
      </c>
      <c r="G660" s="9" t="s">
        <v>16</v>
      </c>
      <c r="H660" s="9" t="s">
        <v>1903</v>
      </c>
      <c r="I660" s="10">
        <v>45636</v>
      </c>
    </row>
    <row r="661" spans="1:9" x14ac:dyDescent="0.15">
      <c r="A661" s="9">
        <v>660</v>
      </c>
      <c r="B661" s="9" t="s">
        <v>9</v>
      </c>
      <c r="C661" s="9">
        <v>1928</v>
      </c>
      <c r="D661" s="10">
        <v>45736</v>
      </c>
      <c r="E661" s="11" t="str">
        <f>+HYPERLINK("http://trademark.i-assist.jp/data/china/image_1928th/82473447.pdf","82473447")</f>
        <v>82473447</v>
      </c>
      <c r="F661" s="9" t="s">
        <v>1904</v>
      </c>
      <c r="G661" s="9" t="s">
        <v>1905</v>
      </c>
      <c r="H661" s="9" t="s">
        <v>1906</v>
      </c>
      <c r="I661" s="10">
        <v>45636</v>
      </c>
    </row>
    <row r="662" spans="1:9" x14ac:dyDescent="0.15">
      <c r="A662" s="9">
        <v>661</v>
      </c>
      <c r="B662" s="9" t="s">
        <v>9</v>
      </c>
      <c r="C662" s="9">
        <v>1928</v>
      </c>
      <c r="D662" s="10">
        <v>45736</v>
      </c>
      <c r="E662" s="11" t="str">
        <f>+HYPERLINK("http://trademark.i-assist.jp/data/china/image_1928th/82473702.pdf","82473702")</f>
        <v>82473702</v>
      </c>
      <c r="F662" s="12" t="s">
        <v>1873</v>
      </c>
      <c r="G662" s="9" t="s">
        <v>1874</v>
      </c>
      <c r="H662" s="9" t="s">
        <v>1907</v>
      </c>
      <c r="I662" s="10">
        <v>45636</v>
      </c>
    </row>
    <row r="663" spans="1:9" x14ac:dyDescent="0.15">
      <c r="A663" s="9">
        <v>662</v>
      </c>
      <c r="B663" s="9" t="s">
        <v>9</v>
      </c>
      <c r="C663" s="9">
        <v>1928</v>
      </c>
      <c r="D663" s="10">
        <v>45736</v>
      </c>
      <c r="E663" s="11" t="str">
        <f>+HYPERLINK("http://trademark.i-assist.jp/data/china/image_1928th/82473826.pdf","82473826")</f>
        <v>82473826</v>
      </c>
      <c r="F663" s="9" t="s">
        <v>1908</v>
      </c>
      <c r="G663" s="9" t="s">
        <v>1909</v>
      </c>
      <c r="H663" s="12" t="s">
        <v>1910</v>
      </c>
      <c r="I663" s="10">
        <v>45636</v>
      </c>
    </row>
    <row r="664" spans="1:9" x14ac:dyDescent="0.15">
      <c r="A664" s="9">
        <v>663</v>
      </c>
      <c r="B664" s="9" t="s">
        <v>9</v>
      </c>
      <c r="C664" s="9">
        <v>1928</v>
      </c>
      <c r="D664" s="10">
        <v>45736</v>
      </c>
      <c r="E664" s="11" t="str">
        <f>+HYPERLINK("http://trademark.i-assist.jp/data/china/image_1928th/82474326.pdf","82474326")</f>
        <v>82474326</v>
      </c>
      <c r="F664" s="9" t="s">
        <v>1911</v>
      </c>
      <c r="G664" s="9" t="s">
        <v>60</v>
      </c>
      <c r="H664" s="9" t="s">
        <v>1912</v>
      </c>
      <c r="I664" s="10">
        <v>45636</v>
      </c>
    </row>
    <row r="665" spans="1:9" x14ac:dyDescent="0.15">
      <c r="A665" s="9">
        <v>664</v>
      </c>
      <c r="B665" s="9" t="s">
        <v>9</v>
      </c>
      <c r="C665" s="9">
        <v>1928</v>
      </c>
      <c r="D665" s="10">
        <v>45736</v>
      </c>
      <c r="E665" s="11" t="str">
        <f>+HYPERLINK("http://trademark.i-assist.jp/data/china/image_1928th/82474448.pdf","82474448")</f>
        <v>82474448</v>
      </c>
      <c r="F665" s="12" t="s">
        <v>1913</v>
      </c>
      <c r="G665" s="9" t="s">
        <v>1815</v>
      </c>
      <c r="H665" s="9" t="s">
        <v>1914</v>
      </c>
      <c r="I665" s="10">
        <v>45636</v>
      </c>
    </row>
    <row r="666" spans="1:9" x14ac:dyDescent="0.15">
      <c r="A666" s="9">
        <v>665</v>
      </c>
      <c r="B666" s="9" t="s">
        <v>9</v>
      </c>
      <c r="C666" s="9">
        <v>1928</v>
      </c>
      <c r="D666" s="10">
        <v>45736</v>
      </c>
      <c r="E666" s="11" t="str">
        <f>+HYPERLINK("http://trademark.i-assist.jp/data/china/image_1928th/82474751.pdf","82474751")</f>
        <v>82474751</v>
      </c>
      <c r="F666" s="9" t="s">
        <v>1915</v>
      </c>
      <c r="G666" s="12" t="s">
        <v>1916</v>
      </c>
      <c r="H666" s="9" t="s">
        <v>1917</v>
      </c>
      <c r="I666" s="10">
        <v>45636</v>
      </c>
    </row>
    <row r="667" spans="1:9" x14ac:dyDescent="0.15">
      <c r="A667" s="9">
        <v>666</v>
      </c>
      <c r="B667" s="9" t="s">
        <v>9</v>
      </c>
      <c r="C667" s="9">
        <v>1928</v>
      </c>
      <c r="D667" s="10">
        <v>45736</v>
      </c>
      <c r="E667" s="11" t="str">
        <f>+HYPERLINK("http://trademark.i-assist.jp/data/china/image_1928th/82475493.pdf","82475493")</f>
        <v>82475493</v>
      </c>
      <c r="F667" s="9" t="s">
        <v>1918</v>
      </c>
      <c r="G667" s="9" t="s">
        <v>1919</v>
      </c>
      <c r="H667" s="9" t="s">
        <v>1920</v>
      </c>
      <c r="I667" s="10">
        <v>45637</v>
      </c>
    </row>
    <row r="668" spans="1:9" x14ac:dyDescent="0.15">
      <c r="A668" s="9">
        <v>667</v>
      </c>
      <c r="B668" s="9" t="s">
        <v>9</v>
      </c>
      <c r="C668" s="9">
        <v>1928</v>
      </c>
      <c r="D668" s="10">
        <v>45736</v>
      </c>
      <c r="E668" s="11" t="str">
        <f>+HYPERLINK("http://trademark.i-assist.jp/data/china/image_1928th/82475975.pdf","82475975")</f>
        <v>82475975</v>
      </c>
      <c r="F668" s="9" t="s">
        <v>1921</v>
      </c>
      <c r="G668" s="12" t="s">
        <v>1922</v>
      </c>
      <c r="H668" s="9" t="s">
        <v>1923</v>
      </c>
      <c r="I668" s="10">
        <v>45637</v>
      </c>
    </row>
    <row r="669" spans="1:9" x14ac:dyDescent="0.15">
      <c r="A669" s="9">
        <v>668</v>
      </c>
      <c r="B669" s="9" t="s">
        <v>9</v>
      </c>
      <c r="C669" s="9">
        <v>1928</v>
      </c>
      <c r="D669" s="10">
        <v>45736</v>
      </c>
      <c r="E669" s="11" t="str">
        <f>+HYPERLINK("http://trademark.i-assist.jp/data/china/image_1928th/82477932.pdf","82477932")</f>
        <v>82477932</v>
      </c>
      <c r="F669" s="9" t="s">
        <v>1924</v>
      </c>
      <c r="G669" s="9" t="s">
        <v>1925</v>
      </c>
      <c r="H669" s="9" t="s">
        <v>1926</v>
      </c>
      <c r="I669" s="10">
        <v>45637</v>
      </c>
    </row>
    <row r="670" spans="1:9" x14ac:dyDescent="0.15">
      <c r="A670" s="9">
        <v>669</v>
      </c>
      <c r="B670" s="9" t="s">
        <v>9</v>
      </c>
      <c r="C670" s="9">
        <v>1928</v>
      </c>
      <c r="D670" s="10">
        <v>45736</v>
      </c>
      <c r="E670" s="11" t="str">
        <f>+HYPERLINK("http://trademark.i-assist.jp/data/china/image_1928th/82480890.pdf","82480890")</f>
        <v>82480890</v>
      </c>
      <c r="F670" s="9" t="s">
        <v>1927</v>
      </c>
      <c r="G670" s="12" t="s">
        <v>1928</v>
      </c>
      <c r="H670" s="9" t="s">
        <v>1929</v>
      </c>
      <c r="I670" s="10">
        <v>45637</v>
      </c>
    </row>
    <row r="671" spans="1:9" x14ac:dyDescent="0.15">
      <c r="A671" s="9">
        <v>670</v>
      </c>
      <c r="B671" s="9" t="s">
        <v>9</v>
      </c>
      <c r="C671" s="9">
        <v>1928</v>
      </c>
      <c r="D671" s="10">
        <v>45736</v>
      </c>
      <c r="E671" s="11" t="str">
        <f>+HYPERLINK("http://trademark.i-assist.jp/data/china/image_1928th/82481064.pdf","82481064")</f>
        <v>82481064</v>
      </c>
      <c r="F671" s="9" t="s">
        <v>1930</v>
      </c>
      <c r="G671" s="9" t="s">
        <v>1931</v>
      </c>
      <c r="H671" s="9" t="s">
        <v>1932</v>
      </c>
      <c r="I671" s="10">
        <v>45637</v>
      </c>
    </row>
    <row r="672" spans="1:9" x14ac:dyDescent="0.15">
      <c r="A672" s="9">
        <v>671</v>
      </c>
      <c r="B672" s="9" t="s">
        <v>9</v>
      </c>
      <c r="C672" s="9">
        <v>1928</v>
      </c>
      <c r="D672" s="10">
        <v>45736</v>
      </c>
      <c r="E672" s="11" t="str">
        <f>+HYPERLINK("http://trademark.i-assist.jp/data/china/image_1928th/82482290.pdf","82482290")</f>
        <v>82482290</v>
      </c>
      <c r="F672" s="12" t="s">
        <v>18</v>
      </c>
      <c r="G672" s="9" t="s">
        <v>83</v>
      </c>
      <c r="H672" s="9" t="s">
        <v>1933</v>
      </c>
      <c r="I672" s="10">
        <v>45637</v>
      </c>
    </row>
    <row r="673" spans="1:9" x14ac:dyDescent="0.15">
      <c r="A673" s="9">
        <v>672</v>
      </c>
      <c r="B673" s="9" t="s">
        <v>9</v>
      </c>
      <c r="C673" s="9">
        <v>1928</v>
      </c>
      <c r="D673" s="10">
        <v>45736</v>
      </c>
      <c r="E673" s="11" t="str">
        <f>+HYPERLINK("http://trademark.i-assist.jp/data/china/image_1928th/82482719.pdf","82482719")</f>
        <v>82482719</v>
      </c>
      <c r="F673" s="9" t="s">
        <v>1934</v>
      </c>
      <c r="G673" s="12" t="s">
        <v>1935</v>
      </c>
      <c r="H673" s="9" t="s">
        <v>1936</v>
      </c>
      <c r="I673" s="10">
        <v>45637</v>
      </c>
    </row>
    <row r="674" spans="1:9" x14ac:dyDescent="0.15">
      <c r="A674" s="9">
        <v>673</v>
      </c>
      <c r="B674" s="9" t="s">
        <v>9</v>
      </c>
      <c r="C674" s="9">
        <v>1928</v>
      </c>
      <c r="D674" s="10">
        <v>45736</v>
      </c>
      <c r="E674" s="11" t="str">
        <f>+HYPERLINK("http://trademark.i-assist.jp/data/china/image_1928th/82483009.pdf","82483009")</f>
        <v>82483009</v>
      </c>
      <c r="F674" s="9" t="s">
        <v>1937</v>
      </c>
      <c r="G674" s="9" t="s">
        <v>1925</v>
      </c>
      <c r="H674" s="9" t="s">
        <v>1938</v>
      </c>
      <c r="I674" s="10">
        <v>45637</v>
      </c>
    </row>
    <row r="675" spans="1:9" x14ac:dyDescent="0.15">
      <c r="A675" s="9">
        <v>674</v>
      </c>
      <c r="B675" s="9" t="s">
        <v>9</v>
      </c>
      <c r="C675" s="9">
        <v>1928</v>
      </c>
      <c r="D675" s="10">
        <v>45736</v>
      </c>
      <c r="E675" s="11" t="str">
        <f>+HYPERLINK("http://trademark.i-assist.jp/data/china/image_1928th/82483862.pdf","82483862")</f>
        <v>82483862</v>
      </c>
      <c r="F675" s="9" t="s">
        <v>1939</v>
      </c>
      <c r="G675" s="12" t="s">
        <v>1940</v>
      </c>
      <c r="H675" s="9" t="s">
        <v>1941</v>
      </c>
      <c r="I675" s="10">
        <v>45637</v>
      </c>
    </row>
    <row r="676" spans="1:9" x14ac:dyDescent="0.15">
      <c r="A676" s="9">
        <v>675</v>
      </c>
      <c r="B676" s="9" t="s">
        <v>9</v>
      </c>
      <c r="C676" s="9">
        <v>1928</v>
      </c>
      <c r="D676" s="10">
        <v>45736</v>
      </c>
      <c r="E676" s="11" t="str">
        <f>+HYPERLINK("http://trademark.i-assist.jp/data/china/image_1928th/82484125.pdf","82484125")</f>
        <v>82484125</v>
      </c>
      <c r="F676" s="12" t="s">
        <v>1942</v>
      </c>
      <c r="G676" s="9" t="s">
        <v>1943</v>
      </c>
      <c r="H676" s="9" t="s">
        <v>1944</v>
      </c>
      <c r="I676" s="10">
        <v>45637</v>
      </c>
    </row>
    <row r="677" spans="1:9" x14ac:dyDescent="0.15">
      <c r="A677" s="9">
        <v>676</v>
      </c>
      <c r="B677" s="9" t="s">
        <v>9</v>
      </c>
      <c r="C677" s="9">
        <v>1928</v>
      </c>
      <c r="D677" s="10">
        <v>45736</v>
      </c>
      <c r="E677" s="11" t="str">
        <f>+HYPERLINK("http://trademark.i-assist.jp/data/china/image_1928th/82484441.pdf","82484441")</f>
        <v>82484441</v>
      </c>
      <c r="F677" s="12" t="s">
        <v>1945</v>
      </c>
      <c r="G677" s="12" t="s">
        <v>102</v>
      </c>
      <c r="H677" s="9" t="s">
        <v>1946</v>
      </c>
      <c r="I677" s="10">
        <v>45637</v>
      </c>
    </row>
    <row r="678" spans="1:9" x14ac:dyDescent="0.15">
      <c r="A678" s="9">
        <v>677</v>
      </c>
      <c r="B678" s="9" t="s">
        <v>9</v>
      </c>
      <c r="C678" s="9">
        <v>1928</v>
      </c>
      <c r="D678" s="10">
        <v>45736</v>
      </c>
      <c r="E678" s="11" t="str">
        <f>+HYPERLINK("http://trademark.i-assist.jp/data/china/image_1928th/82484483.pdf","82484483")</f>
        <v>82484483</v>
      </c>
      <c r="F678" s="9" t="s">
        <v>1947</v>
      </c>
      <c r="G678" s="9" t="s">
        <v>1948</v>
      </c>
      <c r="H678" s="9" t="s">
        <v>1949</v>
      </c>
      <c r="I678" s="10">
        <v>45637</v>
      </c>
    </row>
    <row r="679" spans="1:9" x14ac:dyDescent="0.15">
      <c r="A679" s="9">
        <v>678</v>
      </c>
      <c r="B679" s="9" t="s">
        <v>9</v>
      </c>
      <c r="C679" s="9">
        <v>1928</v>
      </c>
      <c r="D679" s="10">
        <v>45736</v>
      </c>
      <c r="E679" s="11" t="str">
        <f>+HYPERLINK("http://trademark.i-assist.jp/data/china/image_1928th/82484594.pdf","82484594")</f>
        <v>82484594</v>
      </c>
      <c r="F679" s="9" t="s">
        <v>1950</v>
      </c>
      <c r="G679" s="9" t="s">
        <v>1951</v>
      </c>
      <c r="H679" s="9" t="s">
        <v>10</v>
      </c>
      <c r="I679" s="10">
        <v>45637</v>
      </c>
    </row>
    <row r="680" spans="1:9" x14ac:dyDescent="0.15">
      <c r="A680" s="9">
        <v>679</v>
      </c>
      <c r="B680" s="9" t="s">
        <v>9</v>
      </c>
      <c r="C680" s="9">
        <v>1928</v>
      </c>
      <c r="D680" s="10">
        <v>45736</v>
      </c>
      <c r="E680" s="11" t="str">
        <f>+HYPERLINK("http://trademark.i-assist.jp/data/china/image_1928th/82485220.pdf","82485220")</f>
        <v>82485220</v>
      </c>
      <c r="F680" s="9" t="s">
        <v>1952</v>
      </c>
      <c r="G680" s="9" t="s">
        <v>1953</v>
      </c>
      <c r="H680" s="9" t="s">
        <v>1954</v>
      </c>
      <c r="I680" s="10">
        <v>45637</v>
      </c>
    </row>
    <row r="681" spans="1:9" x14ac:dyDescent="0.15">
      <c r="A681" s="9">
        <v>680</v>
      </c>
      <c r="B681" s="9" t="s">
        <v>9</v>
      </c>
      <c r="C681" s="9">
        <v>1928</v>
      </c>
      <c r="D681" s="10">
        <v>45736</v>
      </c>
      <c r="E681" s="11" t="str">
        <f>+HYPERLINK("http://trademark.i-assist.jp/data/china/image_1928th/82485697.pdf","82485697")</f>
        <v>82485697</v>
      </c>
      <c r="F681" s="9" t="s">
        <v>1955</v>
      </c>
      <c r="G681" s="9" t="s">
        <v>1956</v>
      </c>
      <c r="H681" s="9" t="s">
        <v>1957</v>
      </c>
      <c r="I681" s="10">
        <v>45637</v>
      </c>
    </row>
    <row r="682" spans="1:9" x14ac:dyDescent="0.15">
      <c r="A682" s="9">
        <v>681</v>
      </c>
      <c r="B682" s="9" t="s">
        <v>9</v>
      </c>
      <c r="C682" s="9">
        <v>1928</v>
      </c>
      <c r="D682" s="10">
        <v>45736</v>
      </c>
      <c r="E682" s="11" t="str">
        <f>+HYPERLINK("http://trademark.i-assist.jp/data/china/image_1928th/82486033.pdf","82486033")</f>
        <v>82486033</v>
      </c>
      <c r="F682" s="9" t="s">
        <v>1958</v>
      </c>
      <c r="G682" s="9" t="s">
        <v>1959</v>
      </c>
      <c r="H682" s="9" t="s">
        <v>1960</v>
      </c>
      <c r="I682" s="10">
        <v>45637</v>
      </c>
    </row>
    <row r="683" spans="1:9" x14ac:dyDescent="0.15">
      <c r="A683" s="9">
        <v>682</v>
      </c>
      <c r="B683" s="9" t="s">
        <v>9</v>
      </c>
      <c r="C683" s="9">
        <v>1928</v>
      </c>
      <c r="D683" s="10">
        <v>45736</v>
      </c>
      <c r="E683" s="11" t="str">
        <f>+HYPERLINK("http://trademark.i-assist.jp/data/china/image_1928th/82486057.pdf","82486057")</f>
        <v>82486057</v>
      </c>
      <c r="F683" s="9" t="s">
        <v>1961</v>
      </c>
      <c r="G683" s="9" t="s">
        <v>1959</v>
      </c>
      <c r="H683" s="9" t="s">
        <v>1962</v>
      </c>
      <c r="I683" s="10">
        <v>45637</v>
      </c>
    </row>
    <row r="684" spans="1:9" x14ac:dyDescent="0.15">
      <c r="A684" s="9">
        <v>683</v>
      </c>
      <c r="B684" s="9" t="s">
        <v>9</v>
      </c>
      <c r="C684" s="9">
        <v>1928</v>
      </c>
      <c r="D684" s="10">
        <v>45736</v>
      </c>
      <c r="E684" s="11" t="str">
        <f>+HYPERLINK("http://trademark.i-assist.jp/data/china/image_1928th/82486193.pdf","82486193")</f>
        <v>82486193</v>
      </c>
      <c r="F684" s="9" t="s">
        <v>1963</v>
      </c>
      <c r="G684" s="9" t="s">
        <v>1964</v>
      </c>
      <c r="H684" s="9" t="s">
        <v>1965</v>
      </c>
      <c r="I684" s="10">
        <v>45637</v>
      </c>
    </row>
    <row r="685" spans="1:9" x14ac:dyDescent="0.15">
      <c r="A685" s="9">
        <v>684</v>
      </c>
      <c r="B685" s="9" t="s">
        <v>9</v>
      </c>
      <c r="C685" s="9">
        <v>1928</v>
      </c>
      <c r="D685" s="10">
        <v>45736</v>
      </c>
      <c r="E685" s="11" t="str">
        <f>+HYPERLINK("http://trademark.i-assist.jp/data/china/image_1928th/82486395.pdf","82486395")</f>
        <v>82486395</v>
      </c>
      <c r="F685" s="12" t="s">
        <v>1966</v>
      </c>
      <c r="G685" s="9" t="s">
        <v>1967</v>
      </c>
      <c r="H685" s="12" t="s">
        <v>1968</v>
      </c>
      <c r="I685" s="10">
        <v>45637</v>
      </c>
    </row>
    <row r="686" spans="1:9" x14ac:dyDescent="0.15">
      <c r="A686" s="9">
        <v>685</v>
      </c>
      <c r="B686" s="9" t="s">
        <v>9</v>
      </c>
      <c r="C686" s="9">
        <v>1928</v>
      </c>
      <c r="D686" s="10">
        <v>45736</v>
      </c>
      <c r="E686" s="11" t="str">
        <f>+HYPERLINK("http://trademark.i-assist.jp/data/china/image_1928th/82486580.pdf","82486580")</f>
        <v>82486580</v>
      </c>
      <c r="F686" s="9" t="s">
        <v>1969</v>
      </c>
      <c r="G686" s="12" t="s">
        <v>1970</v>
      </c>
      <c r="H686" s="9" t="s">
        <v>1971</v>
      </c>
      <c r="I686" s="10">
        <v>45637</v>
      </c>
    </row>
    <row r="687" spans="1:9" x14ac:dyDescent="0.15">
      <c r="A687" s="9">
        <v>686</v>
      </c>
      <c r="B687" s="9" t="s">
        <v>9</v>
      </c>
      <c r="C687" s="9">
        <v>1928</v>
      </c>
      <c r="D687" s="10">
        <v>45736</v>
      </c>
      <c r="E687" s="11" t="str">
        <f>+HYPERLINK("http://trademark.i-assist.jp/data/china/image_1928th/82487333.pdf","82487333")</f>
        <v>82487333</v>
      </c>
      <c r="F687" s="9" t="s">
        <v>1972</v>
      </c>
      <c r="G687" s="9" t="s">
        <v>1973</v>
      </c>
      <c r="H687" s="9" t="s">
        <v>1974</v>
      </c>
      <c r="I687" s="10">
        <v>45637</v>
      </c>
    </row>
    <row r="688" spans="1:9" x14ac:dyDescent="0.15">
      <c r="A688" s="9">
        <v>687</v>
      </c>
      <c r="B688" s="9" t="s">
        <v>9</v>
      </c>
      <c r="C688" s="9">
        <v>1928</v>
      </c>
      <c r="D688" s="10">
        <v>45736</v>
      </c>
      <c r="E688" s="11" t="str">
        <f>+HYPERLINK("http://trademark.i-assist.jp/data/china/image_1928th/82487785.pdf","82487785")</f>
        <v>82487785</v>
      </c>
      <c r="F688" s="9" t="s">
        <v>1975</v>
      </c>
      <c r="G688" s="9" t="s">
        <v>1976</v>
      </c>
      <c r="H688" s="9" t="s">
        <v>1977</v>
      </c>
      <c r="I688" s="10">
        <v>45637</v>
      </c>
    </row>
    <row r="689" spans="1:9" x14ac:dyDescent="0.15">
      <c r="A689" s="9">
        <v>688</v>
      </c>
      <c r="B689" s="9" t="s">
        <v>9</v>
      </c>
      <c r="C689" s="9">
        <v>1928</v>
      </c>
      <c r="D689" s="10">
        <v>45736</v>
      </c>
      <c r="E689" s="11" t="str">
        <f>+HYPERLINK("http://trademark.i-assist.jp/data/china/image_1928th/82487962.pdf","82487962")</f>
        <v>82487962</v>
      </c>
      <c r="F689" s="9" t="s">
        <v>1978</v>
      </c>
      <c r="G689" s="9" t="s">
        <v>1979</v>
      </c>
      <c r="H689" s="9" t="s">
        <v>1980</v>
      </c>
      <c r="I689" s="10">
        <v>45637</v>
      </c>
    </row>
    <row r="690" spans="1:9" x14ac:dyDescent="0.15">
      <c r="A690" s="9">
        <v>689</v>
      </c>
      <c r="B690" s="9" t="s">
        <v>9</v>
      </c>
      <c r="C690" s="9">
        <v>1928</v>
      </c>
      <c r="D690" s="10">
        <v>45736</v>
      </c>
      <c r="E690" s="11" t="str">
        <f>+HYPERLINK("http://trademark.i-assist.jp/data/china/image_1928th/82489209.pdf","82489209")</f>
        <v>82489209</v>
      </c>
      <c r="F690" s="12" t="s">
        <v>1981</v>
      </c>
      <c r="G690" s="9" t="s">
        <v>1982</v>
      </c>
      <c r="H690" s="12" t="s">
        <v>1983</v>
      </c>
      <c r="I690" s="10">
        <v>45637</v>
      </c>
    </row>
    <row r="691" spans="1:9" x14ac:dyDescent="0.15">
      <c r="A691" s="9">
        <v>690</v>
      </c>
      <c r="B691" s="9" t="s">
        <v>9</v>
      </c>
      <c r="C691" s="9">
        <v>1928</v>
      </c>
      <c r="D691" s="10">
        <v>45736</v>
      </c>
      <c r="E691" s="11" t="str">
        <f>+HYPERLINK("http://trademark.i-assist.jp/data/china/image_1928th/82490144.pdf","82490144")</f>
        <v>82490144</v>
      </c>
      <c r="F691" s="9" t="s">
        <v>1984</v>
      </c>
      <c r="G691" s="9" t="s">
        <v>1985</v>
      </c>
      <c r="H691" s="9" t="s">
        <v>1986</v>
      </c>
      <c r="I691" s="10">
        <v>45637</v>
      </c>
    </row>
    <row r="692" spans="1:9" x14ac:dyDescent="0.15">
      <c r="A692" s="9">
        <v>691</v>
      </c>
      <c r="B692" s="9" t="s">
        <v>9</v>
      </c>
      <c r="C692" s="9">
        <v>1928</v>
      </c>
      <c r="D692" s="10">
        <v>45736</v>
      </c>
      <c r="E692" s="11" t="str">
        <f>+HYPERLINK("http://trademark.i-assist.jp/data/china/image_1928th/82490929.pdf","82490929")</f>
        <v>82490929</v>
      </c>
      <c r="F692" s="9" t="s">
        <v>1987</v>
      </c>
      <c r="G692" s="9" t="s">
        <v>77</v>
      </c>
      <c r="H692" s="9" t="s">
        <v>1988</v>
      </c>
      <c r="I692" s="10">
        <v>45637</v>
      </c>
    </row>
    <row r="693" spans="1:9" x14ac:dyDescent="0.15">
      <c r="A693" s="9">
        <v>692</v>
      </c>
      <c r="B693" s="9" t="s">
        <v>9</v>
      </c>
      <c r="C693" s="9">
        <v>1928</v>
      </c>
      <c r="D693" s="10">
        <v>45736</v>
      </c>
      <c r="E693" s="11" t="str">
        <f>+HYPERLINK("http://trademark.i-assist.jp/data/china/image_1928th/82490932.pdf","82490932")</f>
        <v>82490932</v>
      </c>
      <c r="F693" s="9" t="s">
        <v>1989</v>
      </c>
      <c r="G693" s="9" t="s">
        <v>1948</v>
      </c>
      <c r="H693" s="9" t="s">
        <v>1990</v>
      </c>
      <c r="I693" s="10">
        <v>45637</v>
      </c>
    </row>
    <row r="694" spans="1:9" x14ac:dyDescent="0.15">
      <c r="A694" s="9">
        <v>693</v>
      </c>
      <c r="B694" s="9" t="s">
        <v>9</v>
      </c>
      <c r="C694" s="9">
        <v>1928</v>
      </c>
      <c r="D694" s="10">
        <v>45736</v>
      </c>
      <c r="E694" s="11" t="str">
        <f>+HYPERLINK("http://trademark.i-assist.jp/data/china/image_1928th/82493007.pdf","82493007")</f>
        <v>82493007</v>
      </c>
      <c r="F694" s="13" t="s">
        <v>1991</v>
      </c>
      <c r="G694" s="9" t="s">
        <v>1992</v>
      </c>
      <c r="H694" s="9" t="s">
        <v>1993</v>
      </c>
      <c r="I694" s="10">
        <v>45637</v>
      </c>
    </row>
    <row r="695" spans="1:9" x14ac:dyDescent="0.15">
      <c r="A695" s="9">
        <v>694</v>
      </c>
      <c r="B695" s="9" t="s">
        <v>9</v>
      </c>
      <c r="C695" s="9">
        <v>1928</v>
      </c>
      <c r="D695" s="10">
        <v>45736</v>
      </c>
      <c r="E695" s="11" t="str">
        <f>+HYPERLINK("http://trademark.i-assist.jp/data/china/image_1928th/82493038.pdf","82493038")</f>
        <v>82493038</v>
      </c>
      <c r="F695" s="9" t="s">
        <v>1994</v>
      </c>
      <c r="G695" s="9" t="s">
        <v>1995</v>
      </c>
      <c r="H695" s="9" t="s">
        <v>1996</v>
      </c>
      <c r="I695" s="10">
        <v>45637</v>
      </c>
    </row>
    <row r="696" spans="1:9" x14ac:dyDescent="0.15">
      <c r="A696" s="9">
        <v>695</v>
      </c>
      <c r="B696" s="9" t="s">
        <v>9</v>
      </c>
      <c r="C696" s="9">
        <v>1928</v>
      </c>
      <c r="D696" s="10">
        <v>45736</v>
      </c>
      <c r="E696" s="11" t="str">
        <f>+HYPERLINK("http://trademark.i-assist.jp/data/china/image_1928th/82493725.pdf","82493725")</f>
        <v>82493725</v>
      </c>
      <c r="F696" s="9" t="s">
        <v>1997</v>
      </c>
      <c r="G696" s="9" t="s">
        <v>1998</v>
      </c>
      <c r="H696" s="12" t="s">
        <v>1999</v>
      </c>
      <c r="I696" s="10">
        <v>45637</v>
      </c>
    </row>
    <row r="697" spans="1:9" x14ac:dyDescent="0.15">
      <c r="A697" s="9">
        <v>696</v>
      </c>
      <c r="B697" s="9" t="s">
        <v>9</v>
      </c>
      <c r="C697" s="9">
        <v>1928</v>
      </c>
      <c r="D697" s="10">
        <v>45736</v>
      </c>
      <c r="E697" s="11" t="str">
        <f>+HYPERLINK("http://trademark.i-assist.jp/data/china/image_1928th/82493899.pdf","82493899")</f>
        <v>82493899</v>
      </c>
      <c r="F697" s="9" t="s">
        <v>2000</v>
      </c>
      <c r="G697" s="9" t="s">
        <v>2001</v>
      </c>
      <c r="H697" s="9" t="s">
        <v>2002</v>
      </c>
      <c r="I697" s="10">
        <v>45637</v>
      </c>
    </row>
    <row r="698" spans="1:9" x14ac:dyDescent="0.15">
      <c r="A698" s="9">
        <v>697</v>
      </c>
      <c r="B698" s="9" t="s">
        <v>9</v>
      </c>
      <c r="C698" s="9">
        <v>1928</v>
      </c>
      <c r="D698" s="10">
        <v>45736</v>
      </c>
      <c r="E698" s="11" t="str">
        <f>+HYPERLINK("http://trademark.i-assist.jp/data/china/image_1928th/82495331.pdf","82495331")</f>
        <v>82495331</v>
      </c>
      <c r="F698" s="12" t="s">
        <v>2003</v>
      </c>
      <c r="G698" s="9" t="s">
        <v>31</v>
      </c>
      <c r="H698" s="12" t="s">
        <v>2004</v>
      </c>
      <c r="I698" s="10">
        <v>45637</v>
      </c>
    </row>
    <row r="699" spans="1:9" x14ac:dyDescent="0.15">
      <c r="A699" s="9">
        <v>698</v>
      </c>
      <c r="B699" s="9" t="s">
        <v>9</v>
      </c>
      <c r="C699" s="9">
        <v>1928</v>
      </c>
      <c r="D699" s="10">
        <v>45736</v>
      </c>
      <c r="E699" s="11" t="str">
        <f>+HYPERLINK("http://trademark.i-assist.jp/data/china/image_1928th/82496807.pdf","82496807")</f>
        <v>82496807</v>
      </c>
      <c r="F699" s="9" t="s">
        <v>2005</v>
      </c>
      <c r="G699" s="12" t="s">
        <v>2006</v>
      </c>
      <c r="H699" s="9" t="s">
        <v>2007</v>
      </c>
      <c r="I699" s="10">
        <v>45637</v>
      </c>
    </row>
    <row r="700" spans="1:9" x14ac:dyDescent="0.15">
      <c r="A700" s="9">
        <v>699</v>
      </c>
      <c r="B700" s="9" t="s">
        <v>9</v>
      </c>
      <c r="C700" s="9">
        <v>1928</v>
      </c>
      <c r="D700" s="10">
        <v>45736</v>
      </c>
      <c r="E700" s="11" t="str">
        <f>+HYPERLINK("http://trademark.i-assist.jp/data/china/image_1928th/82496882.pdf","82496882")</f>
        <v>82496882</v>
      </c>
      <c r="F700" s="9" t="s">
        <v>2008</v>
      </c>
      <c r="G700" s="9" t="s">
        <v>2001</v>
      </c>
      <c r="H700" s="9" t="s">
        <v>2009</v>
      </c>
      <c r="I700" s="10">
        <v>45637</v>
      </c>
    </row>
    <row r="701" spans="1:9" x14ac:dyDescent="0.15">
      <c r="A701" s="9">
        <v>700</v>
      </c>
      <c r="B701" s="9" t="s">
        <v>9</v>
      </c>
      <c r="C701" s="9">
        <v>1928</v>
      </c>
      <c r="D701" s="10">
        <v>45736</v>
      </c>
      <c r="E701" s="11" t="str">
        <f>+HYPERLINK("http://trademark.i-assist.jp/data/china/image_1928th/82497168.pdf","82497168")</f>
        <v>82497168</v>
      </c>
      <c r="F701" s="9" t="s">
        <v>2010</v>
      </c>
      <c r="G701" s="9" t="s">
        <v>2011</v>
      </c>
      <c r="H701" s="9" t="s">
        <v>2012</v>
      </c>
      <c r="I701" s="10">
        <v>45637</v>
      </c>
    </row>
    <row r="702" spans="1:9" x14ac:dyDescent="0.15">
      <c r="A702" s="9">
        <v>701</v>
      </c>
      <c r="B702" s="9" t="s">
        <v>9</v>
      </c>
      <c r="C702" s="9">
        <v>1928</v>
      </c>
      <c r="D702" s="10">
        <v>45736</v>
      </c>
      <c r="E702" s="11" t="str">
        <f>+HYPERLINK("http://trademark.i-assist.jp/data/china/image_1928th/82497563.pdf","82497563")</f>
        <v>82497563</v>
      </c>
      <c r="F702" s="9" t="s">
        <v>2013</v>
      </c>
      <c r="G702" s="9" t="s">
        <v>2014</v>
      </c>
      <c r="H702" s="9" t="s">
        <v>2015</v>
      </c>
      <c r="I702" s="10">
        <v>45637</v>
      </c>
    </row>
    <row r="703" spans="1:9" x14ac:dyDescent="0.15">
      <c r="A703" s="9">
        <v>702</v>
      </c>
      <c r="B703" s="9" t="s">
        <v>9</v>
      </c>
      <c r="C703" s="9">
        <v>1928</v>
      </c>
      <c r="D703" s="10">
        <v>45736</v>
      </c>
      <c r="E703" s="11" t="str">
        <f>+HYPERLINK("http://trademark.i-assist.jp/data/china/image_1928th/82497976.pdf","82497976")</f>
        <v>82497976</v>
      </c>
      <c r="F703" s="12" t="s">
        <v>2016</v>
      </c>
      <c r="G703" s="12" t="s">
        <v>2017</v>
      </c>
      <c r="H703" s="9" t="s">
        <v>2018</v>
      </c>
      <c r="I703" s="10">
        <v>45637</v>
      </c>
    </row>
    <row r="704" spans="1:9" x14ac:dyDescent="0.15">
      <c r="A704" s="9">
        <v>703</v>
      </c>
      <c r="B704" s="9" t="s">
        <v>9</v>
      </c>
      <c r="C704" s="9">
        <v>1928</v>
      </c>
      <c r="D704" s="10">
        <v>45736</v>
      </c>
      <c r="E704" s="11" t="str">
        <f>+HYPERLINK("http://trademark.i-assist.jp/data/china/image_1928th/82498223.pdf","82498223")</f>
        <v>82498223</v>
      </c>
      <c r="F704" s="9" t="s">
        <v>2019</v>
      </c>
      <c r="G704" s="9" t="s">
        <v>2020</v>
      </c>
      <c r="H704" s="9" t="s">
        <v>2021</v>
      </c>
      <c r="I704" s="10">
        <v>45637</v>
      </c>
    </row>
    <row r="705" spans="1:9" x14ac:dyDescent="0.15">
      <c r="A705" s="9">
        <v>704</v>
      </c>
      <c r="B705" s="9" t="s">
        <v>9</v>
      </c>
      <c r="C705" s="9">
        <v>1928</v>
      </c>
      <c r="D705" s="10">
        <v>45736</v>
      </c>
      <c r="E705" s="11" t="str">
        <f>+HYPERLINK("http://trademark.i-assist.jp/data/china/image_1928th/82498536.pdf","82498536")</f>
        <v>82498536</v>
      </c>
      <c r="F705" s="9" t="s">
        <v>2022</v>
      </c>
      <c r="G705" s="12" t="s">
        <v>1970</v>
      </c>
      <c r="H705" s="9" t="s">
        <v>2023</v>
      </c>
      <c r="I705" s="10">
        <v>45637</v>
      </c>
    </row>
    <row r="706" spans="1:9" x14ac:dyDescent="0.15">
      <c r="A706" s="9">
        <v>705</v>
      </c>
      <c r="B706" s="9" t="s">
        <v>9</v>
      </c>
      <c r="C706" s="9">
        <v>1928</v>
      </c>
      <c r="D706" s="10">
        <v>45736</v>
      </c>
      <c r="E706" s="11" t="str">
        <f>+HYPERLINK("http://trademark.i-assist.jp/data/china/image_1928th/82500292.pdf","82500292")</f>
        <v>82500292</v>
      </c>
      <c r="F706" s="12" t="s">
        <v>18</v>
      </c>
      <c r="G706" s="9" t="s">
        <v>2024</v>
      </c>
      <c r="H706" s="9" t="s">
        <v>2025</v>
      </c>
      <c r="I706" s="10">
        <v>45637</v>
      </c>
    </row>
    <row r="707" spans="1:9" x14ac:dyDescent="0.15">
      <c r="A707" s="9">
        <v>706</v>
      </c>
      <c r="B707" s="9" t="s">
        <v>9</v>
      </c>
      <c r="C707" s="9">
        <v>1928</v>
      </c>
      <c r="D707" s="10">
        <v>45736</v>
      </c>
      <c r="E707" s="11" t="str">
        <f>+HYPERLINK("http://trademark.i-assist.jp/data/china/image_1928th/82501160.pdf","82501160")</f>
        <v>82501160</v>
      </c>
      <c r="F707" s="12" t="s">
        <v>2026</v>
      </c>
      <c r="G707" s="9" t="s">
        <v>2027</v>
      </c>
      <c r="H707" s="9" t="s">
        <v>2028</v>
      </c>
      <c r="I707" s="10">
        <v>45638</v>
      </c>
    </row>
    <row r="708" spans="1:9" x14ac:dyDescent="0.15">
      <c r="A708" s="9">
        <v>707</v>
      </c>
      <c r="B708" s="9" t="s">
        <v>9</v>
      </c>
      <c r="C708" s="9">
        <v>1928</v>
      </c>
      <c r="D708" s="10">
        <v>45736</v>
      </c>
      <c r="E708" s="11" t="str">
        <f>+HYPERLINK("http://trademark.i-assist.jp/data/china/image_1928th/82501685.pdf","82501685")</f>
        <v>82501685</v>
      </c>
      <c r="F708" s="9" t="s">
        <v>2029</v>
      </c>
      <c r="G708" s="9" t="s">
        <v>2030</v>
      </c>
      <c r="H708" s="9" t="s">
        <v>2031</v>
      </c>
      <c r="I708" s="10">
        <v>45638</v>
      </c>
    </row>
    <row r="709" spans="1:9" x14ac:dyDescent="0.15">
      <c r="A709" s="9">
        <v>708</v>
      </c>
      <c r="B709" s="9" t="s">
        <v>9</v>
      </c>
      <c r="C709" s="9">
        <v>1928</v>
      </c>
      <c r="D709" s="10">
        <v>45736</v>
      </c>
      <c r="E709" s="11" t="str">
        <f>+HYPERLINK("http://trademark.i-assist.jp/data/china/image_1928th/82502204.pdf","82502204")</f>
        <v>82502204</v>
      </c>
      <c r="F709" s="12" t="s">
        <v>2032</v>
      </c>
      <c r="G709" s="9" t="s">
        <v>2033</v>
      </c>
      <c r="H709" s="9" t="s">
        <v>2034</v>
      </c>
      <c r="I709" s="10">
        <v>45638</v>
      </c>
    </row>
    <row r="710" spans="1:9" x14ac:dyDescent="0.15">
      <c r="A710" s="9">
        <v>709</v>
      </c>
      <c r="B710" s="9" t="s">
        <v>9</v>
      </c>
      <c r="C710" s="9">
        <v>1928</v>
      </c>
      <c r="D710" s="10">
        <v>45736</v>
      </c>
      <c r="E710" s="11" t="str">
        <f>+HYPERLINK("http://trademark.i-assist.jp/data/china/image_1928th/82502680.pdf","82502680")</f>
        <v>82502680</v>
      </c>
      <c r="F710" s="9" t="s">
        <v>2035</v>
      </c>
      <c r="G710" s="9" t="s">
        <v>2036</v>
      </c>
      <c r="H710" s="9" t="s">
        <v>2037</v>
      </c>
      <c r="I710" s="10">
        <v>45638</v>
      </c>
    </row>
    <row r="711" spans="1:9" x14ac:dyDescent="0.15">
      <c r="A711" s="9">
        <v>710</v>
      </c>
      <c r="B711" s="9" t="s">
        <v>9</v>
      </c>
      <c r="C711" s="9">
        <v>1928</v>
      </c>
      <c r="D711" s="10">
        <v>45736</v>
      </c>
      <c r="E711" s="11" t="str">
        <f>+HYPERLINK("http://trademark.i-assist.jp/data/china/image_1928th/82503469.pdf","82503469")</f>
        <v>82503469</v>
      </c>
      <c r="F711" s="9" t="s">
        <v>2038</v>
      </c>
      <c r="G711" s="9" t="s">
        <v>608</v>
      </c>
      <c r="H711" s="9" t="s">
        <v>2039</v>
      </c>
      <c r="I711" s="10">
        <v>45638</v>
      </c>
    </row>
    <row r="712" spans="1:9" x14ac:dyDescent="0.15">
      <c r="A712" s="9">
        <v>711</v>
      </c>
      <c r="B712" s="9" t="s">
        <v>9</v>
      </c>
      <c r="C712" s="9">
        <v>1928</v>
      </c>
      <c r="D712" s="10">
        <v>45736</v>
      </c>
      <c r="E712" s="11" t="str">
        <f>+HYPERLINK("http://trademark.i-assist.jp/data/china/image_1928th/82503556.pdf","82503556")</f>
        <v>82503556</v>
      </c>
      <c r="F712" s="9" t="s">
        <v>2040</v>
      </c>
      <c r="G712" s="9" t="s">
        <v>2041</v>
      </c>
      <c r="H712" s="9" t="s">
        <v>2042</v>
      </c>
      <c r="I712" s="10">
        <v>45638</v>
      </c>
    </row>
    <row r="713" spans="1:9" x14ac:dyDescent="0.15">
      <c r="A713" s="9">
        <v>712</v>
      </c>
      <c r="B713" s="9" t="s">
        <v>9</v>
      </c>
      <c r="C713" s="9">
        <v>1928</v>
      </c>
      <c r="D713" s="10">
        <v>45736</v>
      </c>
      <c r="E713" s="11" t="str">
        <f>+HYPERLINK("http://trademark.i-assist.jp/data/china/image_1928th/82505967.pdf","82505967")</f>
        <v>82505967</v>
      </c>
      <c r="F713" s="9" t="s">
        <v>2043</v>
      </c>
      <c r="G713" s="9" t="s">
        <v>2044</v>
      </c>
      <c r="H713" s="9" t="s">
        <v>2045</v>
      </c>
      <c r="I713" s="10">
        <v>45638</v>
      </c>
    </row>
    <row r="714" spans="1:9" x14ac:dyDescent="0.15">
      <c r="A714" s="9">
        <v>713</v>
      </c>
      <c r="B714" s="9" t="s">
        <v>9</v>
      </c>
      <c r="C714" s="9">
        <v>1928</v>
      </c>
      <c r="D714" s="10">
        <v>45736</v>
      </c>
      <c r="E714" s="11" t="str">
        <f>+HYPERLINK("http://trademark.i-assist.jp/data/china/image_1928th/82506015.pdf","82506015")</f>
        <v>82506015</v>
      </c>
      <c r="F714" s="9" t="s">
        <v>2046</v>
      </c>
      <c r="G714" s="9" t="s">
        <v>2047</v>
      </c>
      <c r="H714" s="9" t="s">
        <v>2048</v>
      </c>
      <c r="I714" s="10">
        <v>45638</v>
      </c>
    </row>
    <row r="715" spans="1:9" x14ac:dyDescent="0.15">
      <c r="A715" s="9">
        <v>714</v>
      </c>
      <c r="B715" s="9" t="s">
        <v>9</v>
      </c>
      <c r="C715" s="9">
        <v>1928</v>
      </c>
      <c r="D715" s="10">
        <v>45736</v>
      </c>
      <c r="E715" s="11" t="str">
        <f>+HYPERLINK("http://trademark.i-assist.jp/data/china/image_1928th/82506038.pdf","82506038")</f>
        <v>82506038</v>
      </c>
      <c r="F715" s="9" t="s">
        <v>2049</v>
      </c>
      <c r="G715" s="9" t="s">
        <v>2033</v>
      </c>
      <c r="H715" s="9" t="s">
        <v>2050</v>
      </c>
      <c r="I715" s="10">
        <v>45638</v>
      </c>
    </row>
    <row r="716" spans="1:9" x14ac:dyDescent="0.15">
      <c r="A716" s="9">
        <v>715</v>
      </c>
      <c r="B716" s="9" t="s">
        <v>9</v>
      </c>
      <c r="C716" s="9">
        <v>1928</v>
      </c>
      <c r="D716" s="10">
        <v>45736</v>
      </c>
      <c r="E716" s="11" t="str">
        <f>+HYPERLINK("http://trademark.i-assist.jp/data/china/image_1928th/82506320.pdf","82506320")</f>
        <v>82506320</v>
      </c>
      <c r="F716" s="9" t="s">
        <v>2051</v>
      </c>
      <c r="G716" s="9" t="s">
        <v>1827</v>
      </c>
      <c r="H716" s="9" t="s">
        <v>2052</v>
      </c>
      <c r="I716" s="10">
        <v>45638</v>
      </c>
    </row>
    <row r="717" spans="1:9" x14ac:dyDescent="0.15">
      <c r="A717" s="9">
        <v>716</v>
      </c>
      <c r="B717" s="9" t="s">
        <v>9</v>
      </c>
      <c r="C717" s="9">
        <v>1928</v>
      </c>
      <c r="D717" s="10">
        <v>45736</v>
      </c>
      <c r="E717" s="11" t="str">
        <f>+HYPERLINK("http://trademark.i-assist.jp/data/china/image_1928th/82506952.pdf","82506952")</f>
        <v>82506952</v>
      </c>
      <c r="F717" s="9" t="s">
        <v>2053</v>
      </c>
      <c r="G717" s="9" t="s">
        <v>2054</v>
      </c>
      <c r="H717" s="9" t="s">
        <v>2055</v>
      </c>
      <c r="I717" s="10">
        <v>45638</v>
      </c>
    </row>
    <row r="718" spans="1:9" x14ac:dyDescent="0.15">
      <c r="A718" s="9">
        <v>717</v>
      </c>
      <c r="B718" s="9" t="s">
        <v>9</v>
      </c>
      <c r="C718" s="9">
        <v>1928</v>
      </c>
      <c r="D718" s="10">
        <v>45736</v>
      </c>
      <c r="E718" s="11" t="str">
        <f>+HYPERLINK("http://trademark.i-assist.jp/data/china/image_1928th/82506977.pdf","82506977")</f>
        <v>82506977</v>
      </c>
      <c r="F718" s="9" t="s">
        <v>2056</v>
      </c>
      <c r="G718" s="9" t="s">
        <v>2057</v>
      </c>
      <c r="H718" s="9" t="s">
        <v>2058</v>
      </c>
      <c r="I718" s="10">
        <v>45638</v>
      </c>
    </row>
    <row r="719" spans="1:9" x14ac:dyDescent="0.15">
      <c r="A719" s="9">
        <v>718</v>
      </c>
      <c r="B719" s="9" t="s">
        <v>9</v>
      </c>
      <c r="C719" s="9">
        <v>1928</v>
      </c>
      <c r="D719" s="10">
        <v>45736</v>
      </c>
      <c r="E719" s="11" t="str">
        <f>+HYPERLINK("http://trademark.i-assist.jp/data/china/image_1928th/82507091.pdf","82507091")</f>
        <v>82507091</v>
      </c>
      <c r="F719" s="12" t="s">
        <v>2059</v>
      </c>
      <c r="G719" s="9" t="s">
        <v>2060</v>
      </c>
      <c r="H719" s="9" t="s">
        <v>2061</v>
      </c>
      <c r="I719" s="10">
        <v>45638</v>
      </c>
    </row>
    <row r="720" spans="1:9" x14ac:dyDescent="0.15">
      <c r="A720" s="9">
        <v>719</v>
      </c>
      <c r="B720" s="9" t="s">
        <v>9</v>
      </c>
      <c r="C720" s="9">
        <v>1928</v>
      </c>
      <c r="D720" s="10">
        <v>45736</v>
      </c>
      <c r="E720" s="11" t="str">
        <f>+HYPERLINK("http://trademark.i-assist.jp/data/china/image_1928th/82507111.pdf","82507111")</f>
        <v>82507111</v>
      </c>
      <c r="F720" s="9" t="s">
        <v>2062</v>
      </c>
      <c r="G720" s="12" t="s">
        <v>2063</v>
      </c>
      <c r="H720" s="9" t="s">
        <v>2064</v>
      </c>
      <c r="I720" s="10">
        <v>45638</v>
      </c>
    </row>
    <row r="721" spans="1:9" x14ac:dyDescent="0.15">
      <c r="A721" s="9">
        <v>720</v>
      </c>
      <c r="B721" s="9" t="s">
        <v>9</v>
      </c>
      <c r="C721" s="9">
        <v>1928</v>
      </c>
      <c r="D721" s="10">
        <v>45736</v>
      </c>
      <c r="E721" s="11" t="str">
        <f>+HYPERLINK("http://trademark.i-assist.jp/data/china/image_1928th/82507303.pdf","82507303")</f>
        <v>82507303</v>
      </c>
      <c r="F721" s="9" t="s">
        <v>2065</v>
      </c>
      <c r="G721" s="9" t="s">
        <v>2066</v>
      </c>
      <c r="H721" s="9" t="s">
        <v>2067</v>
      </c>
      <c r="I721" s="10">
        <v>45638</v>
      </c>
    </row>
    <row r="722" spans="1:9" x14ac:dyDescent="0.15">
      <c r="A722" s="9">
        <v>721</v>
      </c>
      <c r="B722" s="9" t="s">
        <v>9</v>
      </c>
      <c r="C722" s="9">
        <v>1928</v>
      </c>
      <c r="D722" s="10">
        <v>45736</v>
      </c>
      <c r="E722" s="11" t="str">
        <f>+HYPERLINK("http://trademark.i-assist.jp/data/china/image_1928th/82507581.pdf","82507581")</f>
        <v>82507581</v>
      </c>
      <c r="F722" s="9" t="s">
        <v>2068</v>
      </c>
      <c r="G722" s="9" t="s">
        <v>2069</v>
      </c>
      <c r="H722" s="9" t="s">
        <v>2070</v>
      </c>
      <c r="I722" s="10">
        <v>45638</v>
      </c>
    </row>
    <row r="723" spans="1:9" x14ac:dyDescent="0.15">
      <c r="A723" s="9">
        <v>722</v>
      </c>
      <c r="B723" s="9" t="s">
        <v>9</v>
      </c>
      <c r="C723" s="9">
        <v>1928</v>
      </c>
      <c r="D723" s="10">
        <v>45736</v>
      </c>
      <c r="E723" s="11" t="str">
        <f>+HYPERLINK("http://trademark.i-assist.jp/data/china/image_1928th/82507894.pdf","82507894")</f>
        <v>82507894</v>
      </c>
      <c r="F723" s="9" t="s">
        <v>2071</v>
      </c>
      <c r="G723" s="9" t="s">
        <v>2072</v>
      </c>
      <c r="H723" s="9" t="s">
        <v>2073</v>
      </c>
      <c r="I723" s="10">
        <v>45638</v>
      </c>
    </row>
    <row r="724" spans="1:9" x14ac:dyDescent="0.15">
      <c r="A724" s="9">
        <v>723</v>
      </c>
      <c r="B724" s="9" t="s">
        <v>9</v>
      </c>
      <c r="C724" s="9">
        <v>1928</v>
      </c>
      <c r="D724" s="10">
        <v>45736</v>
      </c>
      <c r="E724" s="11" t="str">
        <f>+HYPERLINK("http://trademark.i-assist.jp/data/china/image_1928th/82508118.pdf","82508118")</f>
        <v>82508118</v>
      </c>
      <c r="F724" s="9" t="s">
        <v>2074</v>
      </c>
      <c r="G724" s="9" t="s">
        <v>2075</v>
      </c>
      <c r="H724" s="12" t="s">
        <v>2076</v>
      </c>
      <c r="I724" s="10">
        <v>45638</v>
      </c>
    </row>
    <row r="725" spans="1:9" x14ac:dyDescent="0.15">
      <c r="A725" s="9">
        <v>724</v>
      </c>
      <c r="B725" s="9" t="s">
        <v>9</v>
      </c>
      <c r="C725" s="9">
        <v>1928</v>
      </c>
      <c r="D725" s="10">
        <v>45736</v>
      </c>
      <c r="E725" s="11" t="str">
        <f>+HYPERLINK("http://trademark.i-assist.jp/data/china/image_1928th/82508223.pdf","82508223")</f>
        <v>82508223</v>
      </c>
      <c r="F725" s="12" t="s">
        <v>2077</v>
      </c>
      <c r="G725" s="12" t="s">
        <v>2078</v>
      </c>
      <c r="H725" s="9" t="s">
        <v>2079</v>
      </c>
      <c r="I725" s="10">
        <v>45638</v>
      </c>
    </row>
    <row r="726" spans="1:9" x14ac:dyDescent="0.15">
      <c r="A726" s="9">
        <v>725</v>
      </c>
      <c r="B726" s="9" t="s">
        <v>9</v>
      </c>
      <c r="C726" s="9">
        <v>1928</v>
      </c>
      <c r="D726" s="10">
        <v>45736</v>
      </c>
      <c r="E726" s="11" t="str">
        <f>+HYPERLINK("http://trademark.i-assist.jp/data/china/image_1928th/82508541.pdf","82508541")</f>
        <v>82508541</v>
      </c>
      <c r="F726" s="9" t="s">
        <v>2080</v>
      </c>
      <c r="G726" s="12" t="s">
        <v>2081</v>
      </c>
      <c r="H726" s="9" t="s">
        <v>2082</v>
      </c>
      <c r="I726" s="10">
        <v>45638</v>
      </c>
    </row>
    <row r="727" spans="1:9" x14ac:dyDescent="0.15">
      <c r="A727" s="9">
        <v>726</v>
      </c>
      <c r="B727" s="9" t="s">
        <v>9</v>
      </c>
      <c r="C727" s="9">
        <v>1928</v>
      </c>
      <c r="D727" s="10">
        <v>45736</v>
      </c>
      <c r="E727" s="11" t="str">
        <f>+HYPERLINK("http://trademark.i-assist.jp/data/china/image_1928th/82509100.pdf","82509100")</f>
        <v>82509100</v>
      </c>
      <c r="F727" s="12" t="s">
        <v>2083</v>
      </c>
      <c r="G727" s="9" t="s">
        <v>2084</v>
      </c>
      <c r="H727" s="9" t="s">
        <v>2085</v>
      </c>
      <c r="I727" s="10">
        <v>45638</v>
      </c>
    </row>
    <row r="728" spans="1:9" x14ac:dyDescent="0.15">
      <c r="A728" s="9">
        <v>727</v>
      </c>
      <c r="B728" s="9" t="s">
        <v>9</v>
      </c>
      <c r="C728" s="9">
        <v>1928</v>
      </c>
      <c r="D728" s="10">
        <v>45736</v>
      </c>
      <c r="E728" s="11" t="str">
        <f>+HYPERLINK("http://trademark.i-assist.jp/data/china/image_1928th/82510206.pdf","82510206")</f>
        <v>82510206</v>
      </c>
      <c r="F728" s="9" t="s">
        <v>2086</v>
      </c>
      <c r="G728" s="9" t="s">
        <v>2087</v>
      </c>
      <c r="H728" s="9" t="s">
        <v>2088</v>
      </c>
      <c r="I728" s="10">
        <v>45638</v>
      </c>
    </row>
    <row r="729" spans="1:9" x14ac:dyDescent="0.15">
      <c r="A729" s="9">
        <v>728</v>
      </c>
      <c r="B729" s="9" t="s">
        <v>9</v>
      </c>
      <c r="C729" s="9">
        <v>1928</v>
      </c>
      <c r="D729" s="10">
        <v>45736</v>
      </c>
      <c r="E729" s="11" t="str">
        <f>+HYPERLINK("http://trademark.i-assist.jp/data/china/image_1928th/82510390.pdf","82510390")</f>
        <v>82510390</v>
      </c>
      <c r="F729" s="9" t="s">
        <v>2089</v>
      </c>
      <c r="G729" s="12" t="s">
        <v>2090</v>
      </c>
      <c r="H729" s="9" t="s">
        <v>2091</v>
      </c>
      <c r="I729" s="10">
        <v>45638</v>
      </c>
    </row>
    <row r="730" spans="1:9" x14ac:dyDescent="0.15">
      <c r="A730" s="9">
        <v>729</v>
      </c>
      <c r="B730" s="9" t="s">
        <v>9</v>
      </c>
      <c r="C730" s="9">
        <v>1928</v>
      </c>
      <c r="D730" s="10">
        <v>45736</v>
      </c>
      <c r="E730" s="11" t="str">
        <f>+HYPERLINK("http://trademark.i-assist.jp/data/china/image_1928th/82510680.pdf","82510680")</f>
        <v>82510680</v>
      </c>
      <c r="F730" s="9" t="s">
        <v>2092</v>
      </c>
      <c r="G730" s="9" t="s">
        <v>2093</v>
      </c>
      <c r="H730" s="9" t="s">
        <v>2094</v>
      </c>
      <c r="I730" s="10">
        <v>45638</v>
      </c>
    </row>
    <row r="731" spans="1:9" x14ac:dyDescent="0.15">
      <c r="A731" s="9">
        <v>730</v>
      </c>
      <c r="B731" s="9" t="s">
        <v>9</v>
      </c>
      <c r="C731" s="9">
        <v>1928</v>
      </c>
      <c r="D731" s="10">
        <v>45736</v>
      </c>
      <c r="E731" s="11" t="str">
        <f>+HYPERLINK("http://trademark.i-assist.jp/data/china/image_1928th/82510934.pdf","82510934")</f>
        <v>82510934</v>
      </c>
      <c r="F731" s="12" t="s">
        <v>2095</v>
      </c>
      <c r="G731" s="9" t="s">
        <v>2096</v>
      </c>
      <c r="H731" s="9" t="s">
        <v>2097</v>
      </c>
      <c r="I731" s="10">
        <v>45638</v>
      </c>
    </row>
    <row r="732" spans="1:9" x14ac:dyDescent="0.15">
      <c r="A732" s="9">
        <v>731</v>
      </c>
      <c r="B732" s="9" t="s">
        <v>9</v>
      </c>
      <c r="C732" s="9">
        <v>1928</v>
      </c>
      <c r="D732" s="10">
        <v>45736</v>
      </c>
      <c r="E732" s="11" t="str">
        <f>+HYPERLINK("http://trademark.i-assist.jp/data/china/image_1928th/82511478.pdf","82511478")</f>
        <v>82511478</v>
      </c>
      <c r="F732" s="9" t="s">
        <v>2098</v>
      </c>
      <c r="G732" s="12" t="s">
        <v>2099</v>
      </c>
      <c r="H732" s="9" t="s">
        <v>2100</v>
      </c>
      <c r="I732" s="10">
        <v>45638</v>
      </c>
    </row>
    <row r="733" spans="1:9" x14ac:dyDescent="0.15">
      <c r="A733" s="9">
        <v>732</v>
      </c>
      <c r="B733" s="9" t="s">
        <v>9</v>
      </c>
      <c r="C733" s="9">
        <v>1928</v>
      </c>
      <c r="D733" s="10">
        <v>45736</v>
      </c>
      <c r="E733" s="11" t="str">
        <f>+HYPERLINK("http://trademark.i-assist.jp/data/china/image_1928th/82511561.pdf","82511561")</f>
        <v>82511561</v>
      </c>
      <c r="F733" s="9" t="s">
        <v>2101</v>
      </c>
      <c r="G733" s="9" t="s">
        <v>2072</v>
      </c>
      <c r="H733" s="9" t="s">
        <v>2102</v>
      </c>
      <c r="I733" s="10">
        <v>45638</v>
      </c>
    </row>
    <row r="734" spans="1:9" x14ac:dyDescent="0.15">
      <c r="A734" s="9">
        <v>733</v>
      </c>
      <c r="B734" s="9" t="s">
        <v>9</v>
      </c>
      <c r="C734" s="9">
        <v>1928</v>
      </c>
      <c r="D734" s="10">
        <v>45736</v>
      </c>
      <c r="E734" s="11" t="str">
        <f>+HYPERLINK("http://trademark.i-assist.jp/data/china/image_1928th/82511869.pdf","82511869")</f>
        <v>82511869</v>
      </c>
      <c r="F734" s="9" t="s">
        <v>2103</v>
      </c>
      <c r="G734" s="9" t="s">
        <v>2104</v>
      </c>
      <c r="H734" s="12" t="s">
        <v>2105</v>
      </c>
      <c r="I734" s="10">
        <v>45638</v>
      </c>
    </row>
    <row r="735" spans="1:9" x14ac:dyDescent="0.15">
      <c r="A735" s="9">
        <v>734</v>
      </c>
      <c r="B735" s="9" t="s">
        <v>9</v>
      </c>
      <c r="C735" s="9">
        <v>1928</v>
      </c>
      <c r="D735" s="10">
        <v>45736</v>
      </c>
      <c r="E735" s="11" t="str">
        <f>+HYPERLINK("http://trademark.i-assist.jp/data/china/image_1928th/82511941.pdf","82511941")</f>
        <v>82511941</v>
      </c>
      <c r="F735" s="9" t="s">
        <v>2106</v>
      </c>
      <c r="G735" s="9" t="s">
        <v>2107</v>
      </c>
      <c r="H735" s="9" t="s">
        <v>2108</v>
      </c>
      <c r="I735" s="10">
        <v>45638</v>
      </c>
    </row>
    <row r="736" spans="1:9" x14ac:dyDescent="0.15">
      <c r="A736" s="9">
        <v>735</v>
      </c>
      <c r="B736" s="9" t="s">
        <v>9</v>
      </c>
      <c r="C736" s="9">
        <v>1928</v>
      </c>
      <c r="D736" s="10">
        <v>45736</v>
      </c>
      <c r="E736" s="11" t="str">
        <f>+HYPERLINK("http://trademark.i-assist.jp/data/china/image_1928th/82512016.pdf","82512016")</f>
        <v>82512016</v>
      </c>
      <c r="F736" s="9" t="s">
        <v>2109</v>
      </c>
      <c r="G736" s="9" t="s">
        <v>2110</v>
      </c>
      <c r="H736" s="9" t="s">
        <v>2111</v>
      </c>
      <c r="I736" s="10">
        <v>45638</v>
      </c>
    </row>
    <row r="737" spans="1:9" x14ac:dyDescent="0.15">
      <c r="A737" s="9">
        <v>736</v>
      </c>
      <c r="B737" s="9" t="s">
        <v>9</v>
      </c>
      <c r="C737" s="9">
        <v>1928</v>
      </c>
      <c r="D737" s="10">
        <v>45736</v>
      </c>
      <c r="E737" s="11" t="str">
        <f>+HYPERLINK("http://trademark.i-assist.jp/data/china/image_1928th/82512431.pdf","82512431")</f>
        <v>82512431</v>
      </c>
      <c r="F737" s="9" t="s">
        <v>2112</v>
      </c>
      <c r="G737" s="9" t="s">
        <v>2113</v>
      </c>
      <c r="H737" s="9" t="s">
        <v>2114</v>
      </c>
      <c r="I737" s="10">
        <v>45638</v>
      </c>
    </row>
    <row r="738" spans="1:9" x14ac:dyDescent="0.15">
      <c r="A738" s="9">
        <v>737</v>
      </c>
      <c r="B738" s="9" t="s">
        <v>9</v>
      </c>
      <c r="C738" s="9">
        <v>1928</v>
      </c>
      <c r="D738" s="10">
        <v>45736</v>
      </c>
      <c r="E738" s="11" t="str">
        <f>+HYPERLINK("http://trademark.i-assist.jp/data/china/image_1928th/82512574.pdf","82512574")</f>
        <v>82512574</v>
      </c>
      <c r="F738" s="9" t="s">
        <v>2115</v>
      </c>
      <c r="G738" s="12" t="s">
        <v>2116</v>
      </c>
      <c r="H738" s="9" t="s">
        <v>2117</v>
      </c>
      <c r="I738" s="10">
        <v>45638</v>
      </c>
    </row>
    <row r="739" spans="1:9" x14ac:dyDescent="0.15">
      <c r="A739" s="9">
        <v>738</v>
      </c>
      <c r="B739" s="9" t="s">
        <v>9</v>
      </c>
      <c r="C739" s="9">
        <v>1928</v>
      </c>
      <c r="D739" s="10">
        <v>45736</v>
      </c>
      <c r="E739" s="11" t="str">
        <f>+HYPERLINK("http://trademark.i-assist.jp/data/china/image_1928th/82513003.pdf","82513003")</f>
        <v>82513003</v>
      </c>
      <c r="F739" s="9" t="s">
        <v>2118</v>
      </c>
      <c r="G739" s="9" t="s">
        <v>2087</v>
      </c>
      <c r="H739" s="9" t="s">
        <v>2119</v>
      </c>
      <c r="I739" s="10">
        <v>45638</v>
      </c>
    </row>
    <row r="740" spans="1:9" x14ac:dyDescent="0.15">
      <c r="A740" s="9">
        <v>739</v>
      </c>
      <c r="B740" s="9" t="s">
        <v>9</v>
      </c>
      <c r="C740" s="9">
        <v>1928</v>
      </c>
      <c r="D740" s="10">
        <v>45736</v>
      </c>
      <c r="E740" s="11" t="str">
        <f>+HYPERLINK("http://trademark.i-assist.jp/data/china/image_1928th/82513243.pdf","82513243")</f>
        <v>82513243</v>
      </c>
      <c r="F740" s="9" t="s">
        <v>2120</v>
      </c>
      <c r="G740" s="9" t="s">
        <v>2121</v>
      </c>
      <c r="H740" s="9" t="s">
        <v>2122</v>
      </c>
      <c r="I740" s="10">
        <v>45638</v>
      </c>
    </row>
    <row r="741" spans="1:9" x14ac:dyDescent="0.15">
      <c r="A741" s="9">
        <v>740</v>
      </c>
      <c r="B741" s="9" t="s">
        <v>9</v>
      </c>
      <c r="C741" s="9">
        <v>1928</v>
      </c>
      <c r="D741" s="10">
        <v>45736</v>
      </c>
      <c r="E741" s="11" t="str">
        <f>+HYPERLINK("http://trademark.i-assist.jp/data/china/image_1928th/82513281.pdf","82513281")</f>
        <v>82513281</v>
      </c>
      <c r="F741" s="12" t="s">
        <v>2123</v>
      </c>
      <c r="G741" s="9" t="s">
        <v>2124</v>
      </c>
      <c r="H741" s="9" t="s">
        <v>2125</v>
      </c>
      <c r="I741" s="10">
        <v>45638</v>
      </c>
    </row>
    <row r="742" spans="1:9" x14ac:dyDescent="0.15">
      <c r="A742" s="9">
        <v>741</v>
      </c>
      <c r="B742" s="9" t="s">
        <v>9</v>
      </c>
      <c r="C742" s="9">
        <v>1928</v>
      </c>
      <c r="D742" s="10">
        <v>45736</v>
      </c>
      <c r="E742" s="11" t="str">
        <f>+HYPERLINK("http://trademark.i-assist.jp/data/china/image_1928th/82513416.pdf","82513416")</f>
        <v>82513416</v>
      </c>
      <c r="F742" s="12" t="s">
        <v>2126</v>
      </c>
      <c r="G742" s="9" t="s">
        <v>2127</v>
      </c>
      <c r="H742" s="9" t="s">
        <v>2128</v>
      </c>
      <c r="I742" s="10">
        <v>45638</v>
      </c>
    </row>
    <row r="743" spans="1:9" x14ac:dyDescent="0.15">
      <c r="A743" s="9">
        <v>742</v>
      </c>
      <c r="B743" s="9" t="s">
        <v>9</v>
      </c>
      <c r="C743" s="9">
        <v>1928</v>
      </c>
      <c r="D743" s="10">
        <v>45736</v>
      </c>
      <c r="E743" s="11" t="str">
        <f>+HYPERLINK("http://trademark.i-assist.jp/data/china/image_1928th/82513691.pdf","82513691")</f>
        <v>82513691</v>
      </c>
      <c r="F743" s="9" t="s">
        <v>2129</v>
      </c>
      <c r="G743" s="9" t="s">
        <v>2130</v>
      </c>
      <c r="H743" s="9" t="s">
        <v>2131</v>
      </c>
      <c r="I743" s="10">
        <v>45638</v>
      </c>
    </row>
    <row r="744" spans="1:9" x14ac:dyDescent="0.15">
      <c r="A744" s="9">
        <v>743</v>
      </c>
      <c r="B744" s="9" t="s">
        <v>9</v>
      </c>
      <c r="C744" s="9">
        <v>1928</v>
      </c>
      <c r="D744" s="10">
        <v>45736</v>
      </c>
      <c r="E744" s="11" t="str">
        <f>+HYPERLINK("http://trademark.i-assist.jp/data/china/image_1928th/82513861.pdf","82513861")</f>
        <v>82513861</v>
      </c>
      <c r="F744" s="9" t="s">
        <v>2132</v>
      </c>
      <c r="G744" s="9" t="s">
        <v>2133</v>
      </c>
      <c r="H744" s="9" t="s">
        <v>2134</v>
      </c>
      <c r="I744" s="10">
        <v>45638</v>
      </c>
    </row>
    <row r="745" spans="1:9" x14ac:dyDescent="0.15">
      <c r="A745" s="9">
        <v>744</v>
      </c>
      <c r="B745" s="9" t="s">
        <v>9</v>
      </c>
      <c r="C745" s="9">
        <v>1928</v>
      </c>
      <c r="D745" s="10">
        <v>45736</v>
      </c>
      <c r="E745" s="11" t="str">
        <f>+HYPERLINK("http://trademark.i-assist.jp/data/china/image_1928th/82513879.pdf","82513879")</f>
        <v>82513879</v>
      </c>
      <c r="F745" s="9" t="s">
        <v>2135</v>
      </c>
      <c r="G745" s="9" t="s">
        <v>2136</v>
      </c>
      <c r="H745" s="9" t="s">
        <v>2137</v>
      </c>
      <c r="I745" s="10">
        <v>45638</v>
      </c>
    </row>
    <row r="746" spans="1:9" x14ac:dyDescent="0.15">
      <c r="A746" s="9">
        <v>745</v>
      </c>
      <c r="B746" s="9" t="s">
        <v>9</v>
      </c>
      <c r="C746" s="9">
        <v>1928</v>
      </c>
      <c r="D746" s="10">
        <v>45736</v>
      </c>
      <c r="E746" s="11" t="str">
        <f>+HYPERLINK("http://trademark.i-assist.jp/data/china/image_1928th/82513917.pdf","82513917")</f>
        <v>82513917</v>
      </c>
      <c r="F746" s="9" t="s">
        <v>2138</v>
      </c>
      <c r="G746" s="9" t="s">
        <v>2139</v>
      </c>
      <c r="H746" s="9" t="s">
        <v>2140</v>
      </c>
      <c r="I746" s="10">
        <v>45638</v>
      </c>
    </row>
    <row r="747" spans="1:9" x14ac:dyDescent="0.15">
      <c r="A747" s="9">
        <v>746</v>
      </c>
      <c r="B747" s="9" t="s">
        <v>9</v>
      </c>
      <c r="C747" s="9">
        <v>1928</v>
      </c>
      <c r="D747" s="10">
        <v>45736</v>
      </c>
      <c r="E747" s="11" t="str">
        <f>+HYPERLINK("http://trademark.i-assist.jp/data/china/image_1928th/82514806.pdf","82514806")</f>
        <v>82514806</v>
      </c>
      <c r="F747" s="9" t="s">
        <v>2141</v>
      </c>
      <c r="G747" s="9" t="s">
        <v>2047</v>
      </c>
      <c r="H747" s="9" t="s">
        <v>2142</v>
      </c>
      <c r="I747" s="10">
        <v>45638</v>
      </c>
    </row>
    <row r="748" spans="1:9" x14ac:dyDescent="0.15">
      <c r="A748" s="9">
        <v>747</v>
      </c>
      <c r="B748" s="9" t="s">
        <v>9</v>
      </c>
      <c r="C748" s="9">
        <v>1928</v>
      </c>
      <c r="D748" s="10">
        <v>45736</v>
      </c>
      <c r="E748" s="11" t="str">
        <f>+HYPERLINK("http://trademark.i-assist.jp/data/china/image_1928th/82514901.pdf","82514901")</f>
        <v>82514901</v>
      </c>
      <c r="F748" s="9" t="s">
        <v>2143</v>
      </c>
      <c r="G748" s="12" t="s">
        <v>2144</v>
      </c>
      <c r="H748" s="9" t="s">
        <v>2145</v>
      </c>
      <c r="I748" s="10">
        <v>45638</v>
      </c>
    </row>
    <row r="749" spans="1:9" x14ac:dyDescent="0.15">
      <c r="A749" s="9">
        <v>748</v>
      </c>
      <c r="B749" s="9" t="s">
        <v>9</v>
      </c>
      <c r="C749" s="9">
        <v>1928</v>
      </c>
      <c r="D749" s="10">
        <v>45736</v>
      </c>
      <c r="E749" s="11" t="str">
        <f>+HYPERLINK("http://trademark.i-assist.jp/data/china/image_1928th/82516309.pdf","82516309")</f>
        <v>82516309</v>
      </c>
      <c r="F749" s="9" t="s">
        <v>2146</v>
      </c>
      <c r="G749" s="9" t="s">
        <v>2147</v>
      </c>
      <c r="H749" s="9" t="s">
        <v>2148</v>
      </c>
      <c r="I749" s="10">
        <v>45638</v>
      </c>
    </row>
    <row r="750" spans="1:9" x14ac:dyDescent="0.15">
      <c r="A750" s="9">
        <v>749</v>
      </c>
      <c r="B750" s="9" t="s">
        <v>9</v>
      </c>
      <c r="C750" s="9">
        <v>1928</v>
      </c>
      <c r="D750" s="10">
        <v>45736</v>
      </c>
      <c r="E750" s="11" t="str">
        <f>+HYPERLINK("http://trademark.i-assist.jp/data/china/image_1928th/82516350.pdf","82516350")</f>
        <v>82516350</v>
      </c>
      <c r="F750" s="9" t="s">
        <v>2062</v>
      </c>
      <c r="G750" s="12" t="s">
        <v>2063</v>
      </c>
      <c r="H750" s="9" t="s">
        <v>2149</v>
      </c>
      <c r="I750" s="10">
        <v>45638</v>
      </c>
    </row>
    <row r="751" spans="1:9" x14ac:dyDescent="0.15">
      <c r="A751" s="9">
        <v>750</v>
      </c>
      <c r="B751" s="9" t="s">
        <v>9</v>
      </c>
      <c r="C751" s="9">
        <v>1928</v>
      </c>
      <c r="D751" s="10">
        <v>45736</v>
      </c>
      <c r="E751" s="11" t="str">
        <f>+HYPERLINK("http://trademark.i-assist.jp/data/china/image_1928th/82516402.pdf","82516402")</f>
        <v>82516402</v>
      </c>
      <c r="F751" s="9" t="s">
        <v>2150</v>
      </c>
      <c r="G751" s="9" t="s">
        <v>2151</v>
      </c>
      <c r="H751" s="9" t="s">
        <v>2152</v>
      </c>
      <c r="I751" s="10">
        <v>45638</v>
      </c>
    </row>
    <row r="752" spans="1:9" x14ac:dyDescent="0.15">
      <c r="A752" s="9">
        <v>751</v>
      </c>
      <c r="B752" s="9" t="s">
        <v>9</v>
      </c>
      <c r="C752" s="9">
        <v>1928</v>
      </c>
      <c r="D752" s="10">
        <v>45736</v>
      </c>
      <c r="E752" s="11" t="str">
        <f>+HYPERLINK("http://trademark.i-assist.jp/data/china/image_1928th/82517501.pdf","82517501")</f>
        <v>82517501</v>
      </c>
      <c r="F752" s="9" t="s">
        <v>2153</v>
      </c>
      <c r="G752" s="9" t="s">
        <v>2113</v>
      </c>
      <c r="H752" s="9" t="s">
        <v>2154</v>
      </c>
      <c r="I752" s="10">
        <v>45638</v>
      </c>
    </row>
    <row r="753" spans="1:9" x14ac:dyDescent="0.15">
      <c r="A753" s="9">
        <v>752</v>
      </c>
      <c r="B753" s="9" t="s">
        <v>9</v>
      </c>
      <c r="C753" s="9">
        <v>1928</v>
      </c>
      <c r="D753" s="10">
        <v>45736</v>
      </c>
      <c r="E753" s="11" t="str">
        <f>+HYPERLINK("http://trademark.i-assist.jp/data/china/image_1928th/82517642.pdf","82517642")</f>
        <v>82517642</v>
      </c>
      <c r="F753" s="12" t="s">
        <v>2155</v>
      </c>
      <c r="G753" s="9" t="s">
        <v>2156</v>
      </c>
      <c r="H753" s="9" t="s">
        <v>2157</v>
      </c>
      <c r="I753" s="10">
        <v>45638</v>
      </c>
    </row>
    <row r="754" spans="1:9" x14ac:dyDescent="0.15">
      <c r="A754" s="9">
        <v>753</v>
      </c>
      <c r="B754" s="9" t="s">
        <v>9</v>
      </c>
      <c r="C754" s="9">
        <v>1928</v>
      </c>
      <c r="D754" s="10">
        <v>45736</v>
      </c>
      <c r="E754" s="11" t="str">
        <f>+HYPERLINK("http://trademark.i-assist.jp/data/china/image_1928th/82517832.pdf","82517832")</f>
        <v>82517832</v>
      </c>
      <c r="F754" s="9" t="s">
        <v>2158</v>
      </c>
      <c r="G754" s="9" t="s">
        <v>2159</v>
      </c>
      <c r="H754" s="9" t="s">
        <v>2160</v>
      </c>
      <c r="I754" s="10">
        <v>45638</v>
      </c>
    </row>
    <row r="755" spans="1:9" x14ac:dyDescent="0.15">
      <c r="A755" s="9">
        <v>754</v>
      </c>
      <c r="B755" s="9" t="s">
        <v>9</v>
      </c>
      <c r="C755" s="9">
        <v>1928</v>
      </c>
      <c r="D755" s="10">
        <v>45736</v>
      </c>
      <c r="E755" s="11" t="str">
        <f>+HYPERLINK("http://trademark.i-assist.jp/data/china/image_1928th/82517947.pdf","82517947")</f>
        <v>82517947</v>
      </c>
      <c r="F755" s="9" t="s">
        <v>2161</v>
      </c>
      <c r="G755" s="12" t="s">
        <v>2162</v>
      </c>
      <c r="H755" s="12" t="s">
        <v>2163</v>
      </c>
      <c r="I755" s="10">
        <v>45638</v>
      </c>
    </row>
    <row r="756" spans="1:9" x14ac:dyDescent="0.15">
      <c r="A756" s="9">
        <v>755</v>
      </c>
      <c r="B756" s="9" t="s">
        <v>9</v>
      </c>
      <c r="C756" s="9">
        <v>1928</v>
      </c>
      <c r="D756" s="10">
        <v>45736</v>
      </c>
      <c r="E756" s="11" t="str">
        <f>+HYPERLINK("http://trademark.i-assist.jp/data/china/image_1928th/82518516.pdf","82518516")</f>
        <v>82518516</v>
      </c>
      <c r="F756" s="9" t="s">
        <v>2164</v>
      </c>
      <c r="G756" s="9" t="s">
        <v>2165</v>
      </c>
      <c r="H756" s="9" t="s">
        <v>2166</v>
      </c>
      <c r="I756" s="10">
        <v>45638</v>
      </c>
    </row>
    <row r="757" spans="1:9" x14ac:dyDescent="0.15">
      <c r="A757" s="9">
        <v>756</v>
      </c>
      <c r="B757" s="9" t="s">
        <v>9</v>
      </c>
      <c r="C757" s="9">
        <v>1928</v>
      </c>
      <c r="D757" s="10">
        <v>45736</v>
      </c>
      <c r="E757" s="11" t="str">
        <f>+HYPERLINK("http://trademark.i-assist.jp/data/china/image_1928th/82518563.pdf","82518563")</f>
        <v>82518563</v>
      </c>
      <c r="F757" s="9" t="s">
        <v>2167</v>
      </c>
      <c r="G757" s="12" t="s">
        <v>2168</v>
      </c>
      <c r="H757" s="9" t="s">
        <v>2169</v>
      </c>
      <c r="I757" s="10">
        <v>45638</v>
      </c>
    </row>
    <row r="758" spans="1:9" x14ac:dyDescent="0.15">
      <c r="A758" s="9">
        <v>757</v>
      </c>
      <c r="B758" s="9" t="s">
        <v>9</v>
      </c>
      <c r="C758" s="9">
        <v>1928</v>
      </c>
      <c r="D758" s="10">
        <v>45736</v>
      </c>
      <c r="E758" s="11" t="str">
        <f>+HYPERLINK("http://trademark.i-assist.jp/data/china/image_1928th/82519092.pdf","82519092")</f>
        <v>82519092</v>
      </c>
      <c r="F758" s="9" t="s">
        <v>2170</v>
      </c>
      <c r="G758" s="12" t="s">
        <v>2171</v>
      </c>
      <c r="H758" s="9" t="s">
        <v>2172</v>
      </c>
      <c r="I758" s="10">
        <v>45638</v>
      </c>
    </row>
    <row r="759" spans="1:9" x14ac:dyDescent="0.15">
      <c r="A759" s="9">
        <v>758</v>
      </c>
      <c r="B759" s="9" t="s">
        <v>9</v>
      </c>
      <c r="C759" s="9">
        <v>1928</v>
      </c>
      <c r="D759" s="10">
        <v>45736</v>
      </c>
      <c r="E759" s="11" t="str">
        <f>+HYPERLINK("http://trademark.i-assist.jp/data/china/image_1928th/82519202.pdf","82519202")</f>
        <v>82519202</v>
      </c>
      <c r="F759" s="9" t="s">
        <v>2173</v>
      </c>
      <c r="G759" s="9" t="s">
        <v>2174</v>
      </c>
      <c r="H759" s="9" t="s">
        <v>2175</v>
      </c>
      <c r="I759" s="10">
        <v>45638</v>
      </c>
    </row>
    <row r="760" spans="1:9" x14ac:dyDescent="0.15">
      <c r="A760" s="9">
        <v>759</v>
      </c>
      <c r="B760" s="9" t="s">
        <v>9</v>
      </c>
      <c r="C760" s="9">
        <v>1928</v>
      </c>
      <c r="D760" s="10">
        <v>45736</v>
      </c>
      <c r="E760" s="11" t="str">
        <f>+HYPERLINK("http://trademark.i-assist.jp/data/china/image_1928th/82519237.pdf","82519237")</f>
        <v>82519237</v>
      </c>
      <c r="F760" s="9" t="s">
        <v>2176</v>
      </c>
      <c r="G760" s="9" t="s">
        <v>2177</v>
      </c>
      <c r="H760" s="12" t="s">
        <v>2178</v>
      </c>
      <c r="I760" s="10">
        <v>45638</v>
      </c>
    </row>
    <row r="761" spans="1:9" x14ac:dyDescent="0.15">
      <c r="A761" s="9">
        <v>760</v>
      </c>
      <c r="B761" s="9" t="s">
        <v>9</v>
      </c>
      <c r="C761" s="9">
        <v>1928</v>
      </c>
      <c r="D761" s="10">
        <v>45736</v>
      </c>
      <c r="E761" s="11" t="str">
        <f>+HYPERLINK("http://trademark.i-assist.jp/data/china/image_1928th/82519265.pdf","82519265")</f>
        <v>82519265</v>
      </c>
      <c r="F761" s="9" t="s">
        <v>2179</v>
      </c>
      <c r="G761" s="12" t="s">
        <v>2180</v>
      </c>
      <c r="H761" s="9" t="s">
        <v>2181</v>
      </c>
      <c r="I761" s="10">
        <v>45638</v>
      </c>
    </row>
    <row r="762" spans="1:9" x14ac:dyDescent="0.15">
      <c r="A762" s="9">
        <v>761</v>
      </c>
      <c r="B762" s="9" t="s">
        <v>9</v>
      </c>
      <c r="C762" s="9">
        <v>1928</v>
      </c>
      <c r="D762" s="10">
        <v>45736</v>
      </c>
      <c r="E762" s="11" t="str">
        <f>+HYPERLINK("http://trademark.i-assist.jp/data/china/image_1928th/82519304.pdf","82519304")</f>
        <v>82519304</v>
      </c>
      <c r="F762" s="12" t="s">
        <v>2182</v>
      </c>
      <c r="G762" s="12" t="s">
        <v>2183</v>
      </c>
      <c r="H762" s="9" t="s">
        <v>2184</v>
      </c>
      <c r="I762" s="10">
        <v>45638</v>
      </c>
    </row>
    <row r="763" spans="1:9" x14ac:dyDescent="0.15">
      <c r="A763" s="9">
        <v>762</v>
      </c>
      <c r="B763" s="9" t="s">
        <v>9</v>
      </c>
      <c r="C763" s="9">
        <v>1928</v>
      </c>
      <c r="D763" s="10">
        <v>45736</v>
      </c>
      <c r="E763" s="11" t="str">
        <f>+HYPERLINK("http://trademark.i-assist.jp/data/china/image_1928th/82519575.pdf","82519575")</f>
        <v>82519575</v>
      </c>
      <c r="F763" s="9" t="s">
        <v>2185</v>
      </c>
      <c r="G763" s="9" t="s">
        <v>2072</v>
      </c>
      <c r="H763" s="9" t="s">
        <v>2186</v>
      </c>
      <c r="I763" s="10">
        <v>45638</v>
      </c>
    </row>
    <row r="764" spans="1:9" x14ac:dyDescent="0.15">
      <c r="A764" s="9">
        <v>763</v>
      </c>
      <c r="B764" s="9" t="s">
        <v>9</v>
      </c>
      <c r="C764" s="9">
        <v>1928</v>
      </c>
      <c r="D764" s="10">
        <v>45736</v>
      </c>
      <c r="E764" s="11" t="str">
        <f>+HYPERLINK("http://trademark.i-assist.jp/data/china/image_1928th/82519604.pdf","82519604")</f>
        <v>82519604</v>
      </c>
      <c r="F764" s="9" t="s">
        <v>2187</v>
      </c>
      <c r="G764" s="9" t="s">
        <v>2072</v>
      </c>
      <c r="H764" s="9" t="s">
        <v>2188</v>
      </c>
      <c r="I764" s="10">
        <v>45638</v>
      </c>
    </row>
    <row r="765" spans="1:9" x14ac:dyDescent="0.15">
      <c r="A765" s="9">
        <v>764</v>
      </c>
      <c r="B765" s="9" t="s">
        <v>9</v>
      </c>
      <c r="C765" s="9">
        <v>1928</v>
      </c>
      <c r="D765" s="10">
        <v>45736</v>
      </c>
      <c r="E765" s="11" t="str">
        <f>+HYPERLINK("http://trademark.i-assist.jp/data/china/image_1928th/82521136.pdf","82521136")</f>
        <v>82521136</v>
      </c>
      <c r="F765" s="12" t="s">
        <v>2189</v>
      </c>
      <c r="G765" s="9" t="s">
        <v>2190</v>
      </c>
      <c r="H765" s="9" t="s">
        <v>2191</v>
      </c>
      <c r="I765" s="10">
        <v>45638</v>
      </c>
    </row>
    <row r="766" spans="1:9" x14ac:dyDescent="0.15">
      <c r="A766" s="9">
        <v>765</v>
      </c>
      <c r="B766" s="9" t="s">
        <v>9</v>
      </c>
      <c r="C766" s="9">
        <v>1928</v>
      </c>
      <c r="D766" s="10">
        <v>45736</v>
      </c>
      <c r="E766" s="11" t="str">
        <f>+HYPERLINK("http://trademark.i-assist.jp/data/china/image_1928th/82521528.pdf","82521528")</f>
        <v>82521528</v>
      </c>
      <c r="F766" s="12" t="s">
        <v>2192</v>
      </c>
      <c r="G766" s="9" t="s">
        <v>2113</v>
      </c>
      <c r="H766" s="9" t="s">
        <v>2193</v>
      </c>
      <c r="I766" s="10">
        <v>45638</v>
      </c>
    </row>
    <row r="767" spans="1:9" x14ac:dyDescent="0.15">
      <c r="A767" s="9">
        <v>766</v>
      </c>
      <c r="B767" s="9" t="s">
        <v>9</v>
      </c>
      <c r="C767" s="9">
        <v>1928</v>
      </c>
      <c r="D767" s="10">
        <v>45736</v>
      </c>
      <c r="E767" s="11" t="str">
        <f>+HYPERLINK("http://trademark.i-assist.jp/data/china/image_1928th/82521627.pdf","82521627")</f>
        <v>82521627</v>
      </c>
      <c r="F767" s="9" t="s">
        <v>2194</v>
      </c>
      <c r="G767" s="9" t="s">
        <v>2195</v>
      </c>
      <c r="H767" s="9" t="s">
        <v>2196</v>
      </c>
      <c r="I767" s="10">
        <v>45638</v>
      </c>
    </row>
    <row r="768" spans="1:9" x14ac:dyDescent="0.15">
      <c r="A768" s="9">
        <v>767</v>
      </c>
      <c r="B768" s="9" t="s">
        <v>9</v>
      </c>
      <c r="C768" s="9">
        <v>1928</v>
      </c>
      <c r="D768" s="10">
        <v>45736</v>
      </c>
      <c r="E768" s="11" t="str">
        <f>+HYPERLINK("http://trademark.i-assist.jp/data/china/image_1928th/82521636.pdf","82521636")</f>
        <v>82521636</v>
      </c>
      <c r="F768" s="9" t="s">
        <v>2197</v>
      </c>
      <c r="G768" s="9" t="s">
        <v>2198</v>
      </c>
      <c r="H768" s="9" t="s">
        <v>2199</v>
      </c>
      <c r="I768" s="10">
        <v>45638</v>
      </c>
    </row>
    <row r="769" spans="1:9" x14ac:dyDescent="0.15">
      <c r="A769" s="9">
        <v>768</v>
      </c>
      <c r="B769" s="9" t="s">
        <v>9</v>
      </c>
      <c r="C769" s="9">
        <v>1928</v>
      </c>
      <c r="D769" s="10">
        <v>45736</v>
      </c>
      <c r="E769" s="11" t="str">
        <f>+HYPERLINK("http://trademark.i-assist.jp/data/china/image_1928th/82521744.pdf","82521744")</f>
        <v>82521744</v>
      </c>
      <c r="F769" s="12" t="s">
        <v>2200</v>
      </c>
      <c r="G769" s="9" t="s">
        <v>2201</v>
      </c>
      <c r="H769" s="9" t="s">
        <v>2202</v>
      </c>
      <c r="I769" s="10">
        <v>45638</v>
      </c>
    </row>
    <row r="770" spans="1:9" x14ac:dyDescent="0.15">
      <c r="A770" s="9">
        <v>769</v>
      </c>
      <c r="B770" s="9" t="s">
        <v>9</v>
      </c>
      <c r="C770" s="9">
        <v>1928</v>
      </c>
      <c r="D770" s="10">
        <v>45736</v>
      </c>
      <c r="E770" s="11" t="str">
        <f>+HYPERLINK("http://trademark.i-assist.jp/data/china/image_1928th/82521981.pdf","82521981")</f>
        <v>82521981</v>
      </c>
      <c r="F770" s="9" t="s">
        <v>2203</v>
      </c>
      <c r="G770" s="12" t="s">
        <v>2171</v>
      </c>
      <c r="H770" s="12" t="s">
        <v>2204</v>
      </c>
      <c r="I770" s="10">
        <v>45638</v>
      </c>
    </row>
    <row r="771" spans="1:9" x14ac:dyDescent="0.15">
      <c r="A771" s="9">
        <v>770</v>
      </c>
      <c r="B771" s="9" t="s">
        <v>9</v>
      </c>
      <c r="C771" s="9">
        <v>1928</v>
      </c>
      <c r="D771" s="10">
        <v>45736</v>
      </c>
      <c r="E771" s="11" t="str">
        <f>+HYPERLINK("http://trademark.i-assist.jp/data/china/image_1928th/82522067.pdf","82522067")</f>
        <v>82522067</v>
      </c>
      <c r="F771" s="9" t="s">
        <v>2205</v>
      </c>
      <c r="G771" s="9" t="s">
        <v>2206</v>
      </c>
      <c r="H771" s="9" t="s">
        <v>2207</v>
      </c>
      <c r="I771" s="10">
        <v>45638</v>
      </c>
    </row>
    <row r="772" spans="1:9" x14ac:dyDescent="0.15">
      <c r="A772" s="9">
        <v>771</v>
      </c>
      <c r="B772" s="9" t="s">
        <v>9</v>
      </c>
      <c r="C772" s="9">
        <v>1928</v>
      </c>
      <c r="D772" s="10">
        <v>45736</v>
      </c>
      <c r="E772" s="11" t="str">
        <f>+HYPERLINK("http://trademark.i-assist.jp/data/china/image_1928th/82522806.pdf","82522806")</f>
        <v>82522806</v>
      </c>
      <c r="F772" s="9" t="s">
        <v>2208</v>
      </c>
      <c r="G772" s="9" t="s">
        <v>2209</v>
      </c>
      <c r="H772" s="9" t="s">
        <v>2210</v>
      </c>
      <c r="I772" s="10">
        <v>45638</v>
      </c>
    </row>
    <row r="773" spans="1:9" x14ac:dyDescent="0.15">
      <c r="A773" s="9">
        <v>772</v>
      </c>
      <c r="B773" s="9" t="s">
        <v>9</v>
      </c>
      <c r="C773" s="9">
        <v>1928</v>
      </c>
      <c r="D773" s="10">
        <v>45736</v>
      </c>
      <c r="E773" s="11" t="str">
        <f>+HYPERLINK("http://trademark.i-assist.jp/data/china/image_1928th/82523314.pdf","82523314")</f>
        <v>82523314</v>
      </c>
      <c r="F773" s="12" t="s">
        <v>2211</v>
      </c>
      <c r="G773" s="9" t="s">
        <v>2212</v>
      </c>
      <c r="H773" s="9" t="s">
        <v>2213</v>
      </c>
      <c r="I773" s="10">
        <v>45638</v>
      </c>
    </row>
    <row r="774" spans="1:9" x14ac:dyDescent="0.15">
      <c r="A774" s="9">
        <v>773</v>
      </c>
      <c r="B774" s="9" t="s">
        <v>9</v>
      </c>
      <c r="C774" s="9">
        <v>1928</v>
      </c>
      <c r="D774" s="10">
        <v>45736</v>
      </c>
      <c r="E774" s="11" t="str">
        <f>+HYPERLINK("http://trademark.i-assist.jp/data/china/image_1928th/82523985.pdf","82523985")</f>
        <v>82523985</v>
      </c>
      <c r="F774" s="12" t="s">
        <v>2214</v>
      </c>
      <c r="G774" s="9" t="s">
        <v>2215</v>
      </c>
      <c r="H774" s="9" t="s">
        <v>2216</v>
      </c>
      <c r="I774" s="10">
        <v>45638</v>
      </c>
    </row>
    <row r="775" spans="1:9" x14ac:dyDescent="0.15">
      <c r="A775" s="9">
        <v>774</v>
      </c>
      <c r="B775" s="9" t="s">
        <v>9</v>
      </c>
      <c r="C775" s="9">
        <v>1928</v>
      </c>
      <c r="D775" s="10">
        <v>45736</v>
      </c>
      <c r="E775" s="11" t="str">
        <f>+HYPERLINK("http://trademark.i-assist.jp/data/china/image_1928th/82524033.pdf","82524033")</f>
        <v>82524033</v>
      </c>
      <c r="F775" s="9" t="s">
        <v>2217</v>
      </c>
      <c r="G775" s="9" t="s">
        <v>2218</v>
      </c>
      <c r="H775" s="9" t="s">
        <v>2219</v>
      </c>
      <c r="I775" s="10">
        <v>45638</v>
      </c>
    </row>
    <row r="776" spans="1:9" x14ac:dyDescent="0.15">
      <c r="A776" s="9">
        <v>775</v>
      </c>
      <c r="B776" s="9" t="s">
        <v>9</v>
      </c>
      <c r="C776" s="9">
        <v>1928</v>
      </c>
      <c r="D776" s="10">
        <v>45736</v>
      </c>
      <c r="E776" s="11" t="str">
        <f>+HYPERLINK("http://trademark.i-assist.jp/data/china/image_1928th/82524466.pdf","82524466")</f>
        <v>82524466</v>
      </c>
      <c r="F776" s="9" t="s">
        <v>2220</v>
      </c>
      <c r="G776" s="9" t="s">
        <v>2221</v>
      </c>
      <c r="H776" s="9" t="s">
        <v>2222</v>
      </c>
      <c r="I776" s="10">
        <v>45638</v>
      </c>
    </row>
    <row r="777" spans="1:9" x14ac:dyDescent="0.15">
      <c r="A777" s="9">
        <v>776</v>
      </c>
      <c r="B777" s="9" t="s">
        <v>9</v>
      </c>
      <c r="C777" s="9">
        <v>1928</v>
      </c>
      <c r="D777" s="10">
        <v>45736</v>
      </c>
      <c r="E777" s="11" t="str">
        <f>+HYPERLINK("http://trademark.i-assist.jp/data/china/image_1928th/82525092.pdf","82525092")</f>
        <v>82525092</v>
      </c>
      <c r="F777" s="9" t="s">
        <v>2223</v>
      </c>
      <c r="G777" s="12" t="s">
        <v>2224</v>
      </c>
      <c r="H777" s="9" t="s">
        <v>2225</v>
      </c>
      <c r="I777" s="10">
        <v>45638</v>
      </c>
    </row>
    <row r="778" spans="1:9" x14ac:dyDescent="0.15">
      <c r="A778" s="9">
        <v>777</v>
      </c>
      <c r="B778" s="9" t="s">
        <v>9</v>
      </c>
      <c r="C778" s="9">
        <v>1928</v>
      </c>
      <c r="D778" s="10">
        <v>45736</v>
      </c>
      <c r="E778" s="11" t="str">
        <f>+HYPERLINK("http://trademark.i-assist.jp/data/china/image_1928th/82525189.pdf","82525189")</f>
        <v>82525189</v>
      </c>
      <c r="F778" s="9" t="s">
        <v>2226</v>
      </c>
      <c r="G778" s="12" t="s">
        <v>2227</v>
      </c>
      <c r="H778" s="12" t="s">
        <v>2228</v>
      </c>
      <c r="I778" s="10">
        <v>45638</v>
      </c>
    </row>
    <row r="779" spans="1:9" x14ac:dyDescent="0.15">
      <c r="A779" s="9">
        <v>778</v>
      </c>
      <c r="B779" s="9" t="s">
        <v>9</v>
      </c>
      <c r="C779" s="9">
        <v>1928</v>
      </c>
      <c r="D779" s="10">
        <v>45736</v>
      </c>
      <c r="E779" s="11" t="str">
        <f>+HYPERLINK("http://trademark.i-assist.jp/data/china/image_1928th/82525518.pdf","82525518")</f>
        <v>82525518</v>
      </c>
      <c r="F779" s="9" t="s">
        <v>2229</v>
      </c>
      <c r="G779" s="9" t="s">
        <v>2230</v>
      </c>
      <c r="H779" s="9" t="s">
        <v>2231</v>
      </c>
      <c r="I779" s="10">
        <v>45639</v>
      </c>
    </row>
    <row r="780" spans="1:9" x14ac:dyDescent="0.15">
      <c r="A780" s="9">
        <v>779</v>
      </c>
      <c r="B780" s="9" t="s">
        <v>9</v>
      </c>
      <c r="C780" s="9">
        <v>1928</v>
      </c>
      <c r="D780" s="10">
        <v>45736</v>
      </c>
      <c r="E780" s="11" t="str">
        <f>+HYPERLINK("http://trademark.i-assist.jp/data/china/image_1928th/82525662.pdf","82525662")</f>
        <v>82525662</v>
      </c>
      <c r="F780" s="9" t="s">
        <v>2232</v>
      </c>
      <c r="G780" s="12" t="s">
        <v>2233</v>
      </c>
      <c r="H780" s="9" t="s">
        <v>2234</v>
      </c>
      <c r="I780" s="10">
        <v>45639</v>
      </c>
    </row>
    <row r="781" spans="1:9" x14ac:dyDescent="0.15">
      <c r="A781" s="9">
        <v>780</v>
      </c>
      <c r="B781" s="9" t="s">
        <v>9</v>
      </c>
      <c r="C781" s="9">
        <v>1928</v>
      </c>
      <c r="D781" s="10">
        <v>45736</v>
      </c>
      <c r="E781" s="11" t="str">
        <f>+HYPERLINK("http://trademark.i-assist.jp/data/china/image_1928th/82525689.pdf","82525689")</f>
        <v>82525689</v>
      </c>
      <c r="F781" s="12" t="s">
        <v>2235</v>
      </c>
      <c r="G781" s="9" t="s">
        <v>2236</v>
      </c>
      <c r="H781" s="12" t="s">
        <v>2237</v>
      </c>
      <c r="I781" s="10">
        <v>45639</v>
      </c>
    </row>
    <row r="782" spans="1:9" x14ac:dyDescent="0.15">
      <c r="A782" s="9">
        <v>781</v>
      </c>
      <c r="B782" s="9" t="s">
        <v>9</v>
      </c>
      <c r="C782" s="9">
        <v>1928</v>
      </c>
      <c r="D782" s="10">
        <v>45736</v>
      </c>
      <c r="E782" s="11" t="str">
        <f>+HYPERLINK("http://trademark.i-assist.jp/data/china/image_1928th/82526636.pdf","82526636")</f>
        <v>82526636</v>
      </c>
      <c r="F782" s="9" t="s">
        <v>2238</v>
      </c>
      <c r="G782" s="9" t="s">
        <v>2239</v>
      </c>
      <c r="H782" s="9" t="s">
        <v>2240</v>
      </c>
      <c r="I782" s="10">
        <v>45639</v>
      </c>
    </row>
    <row r="783" spans="1:9" x14ac:dyDescent="0.15">
      <c r="A783" s="9">
        <v>782</v>
      </c>
      <c r="B783" s="9" t="s">
        <v>9</v>
      </c>
      <c r="C783" s="9">
        <v>1928</v>
      </c>
      <c r="D783" s="10">
        <v>45736</v>
      </c>
      <c r="E783" s="11" t="str">
        <f>+HYPERLINK("http://trademark.i-assist.jp/data/china/image_1928th/82528716.pdf","82528716")</f>
        <v>82528716</v>
      </c>
      <c r="F783" s="9" t="s">
        <v>2241</v>
      </c>
      <c r="G783" s="9" t="s">
        <v>1057</v>
      </c>
      <c r="H783" s="9" t="s">
        <v>2242</v>
      </c>
      <c r="I783" s="10">
        <v>45639</v>
      </c>
    </row>
    <row r="784" spans="1:9" x14ac:dyDescent="0.15">
      <c r="A784" s="9">
        <v>783</v>
      </c>
      <c r="B784" s="9" t="s">
        <v>9</v>
      </c>
      <c r="C784" s="9">
        <v>1928</v>
      </c>
      <c r="D784" s="10">
        <v>45736</v>
      </c>
      <c r="E784" s="11" t="str">
        <f>+HYPERLINK("http://trademark.i-assist.jp/data/china/image_1928th/82528956.pdf","82528956")</f>
        <v>82528956</v>
      </c>
      <c r="F784" s="9" t="s">
        <v>2243</v>
      </c>
      <c r="G784" s="9" t="s">
        <v>2244</v>
      </c>
      <c r="H784" s="9" t="s">
        <v>2245</v>
      </c>
      <c r="I784" s="10">
        <v>45639</v>
      </c>
    </row>
    <row r="785" spans="1:9" x14ac:dyDescent="0.15">
      <c r="A785" s="9">
        <v>784</v>
      </c>
      <c r="B785" s="9" t="s">
        <v>9</v>
      </c>
      <c r="C785" s="9">
        <v>1928</v>
      </c>
      <c r="D785" s="10">
        <v>45736</v>
      </c>
      <c r="E785" s="11" t="str">
        <f>+HYPERLINK("http://trademark.i-assist.jp/data/china/image_1928th/82529156.pdf","82529156")</f>
        <v>82529156</v>
      </c>
      <c r="F785" s="9" t="s">
        <v>2246</v>
      </c>
      <c r="G785" s="9" t="s">
        <v>2247</v>
      </c>
      <c r="H785" s="9" t="s">
        <v>2248</v>
      </c>
      <c r="I785" s="10">
        <v>45639</v>
      </c>
    </row>
    <row r="786" spans="1:9" x14ac:dyDescent="0.15">
      <c r="A786" s="9">
        <v>785</v>
      </c>
      <c r="B786" s="9" t="s">
        <v>9</v>
      </c>
      <c r="C786" s="9">
        <v>1928</v>
      </c>
      <c r="D786" s="10">
        <v>45736</v>
      </c>
      <c r="E786" s="11" t="str">
        <f>+HYPERLINK("http://trademark.i-assist.jp/data/china/image_1928th/82529945.pdf","82529945")</f>
        <v>82529945</v>
      </c>
      <c r="F786" s="9" t="s">
        <v>2249</v>
      </c>
      <c r="G786" s="12" t="s">
        <v>2250</v>
      </c>
      <c r="H786" s="12" t="s">
        <v>2251</v>
      </c>
      <c r="I786" s="10">
        <v>45639</v>
      </c>
    </row>
    <row r="787" spans="1:9" x14ac:dyDescent="0.15">
      <c r="A787" s="9">
        <v>786</v>
      </c>
      <c r="B787" s="9" t="s">
        <v>9</v>
      </c>
      <c r="C787" s="9">
        <v>1928</v>
      </c>
      <c r="D787" s="10">
        <v>45736</v>
      </c>
      <c r="E787" s="11" t="str">
        <f>+HYPERLINK("http://trademark.i-assist.jp/data/china/image_1928th/82530288.pdf","82530288")</f>
        <v>82530288</v>
      </c>
      <c r="F787" s="9" t="s">
        <v>2252</v>
      </c>
      <c r="G787" s="9" t="s">
        <v>2253</v>
      </c>
      <c r="H787" s="9" t="s">
        <v>2254</v>
      </c>
      <c r="I787" s="10">
        <v>45639</v>
      </c>
    </row>
    <row r="788" spans="1:9" x14ac:dyDescent="0.15">
      <c r="A788" s="9">
        <v>787</v>
      </c>
      <c r="B788" s="9" t="s">
        <v>9</v>
      </c>
      <c r="C788" s="9">
        <v>1928</v>
      </c>
      <c r="D788" s="10">
        <v>45736</v>
      </c>
      <c r="E788" s="11" t="str">
        <f>+HYPERLINK("http://trademark.i-assist.jp/data/china/image_1928th/82531389.pdf","82531389")</f>
        <v>82531389</v>
      </c>
      <c r="F788" s="9" t="s">
        <v>2255</v>
      </c>
      <c r="G788" s="9" t="s">
        <v>2256</v>
      </c>
      <c r="H788" s="9" t="s">
        <v>2257</v>
      </c>
      <c r="I788" s="10">
        <v>45639</v>
      </c>
    </row>
    <row r="789" spans="1:9" x14ac:dyDescent="0.15">
      <c r="A789" s="9">
        <v>788</v>
      </c>
      <c r="B789" s="9" t="s">
        <v>9</v>
      </c>
      <c r="C789" s="9">
        <v>1928</v>
      </c>
      <c r="D789" s="10">
        <v>45736</v>
      </c>
      <c r="E789" s="11" t="str">
        <f>+HYPERLINK("http://trademark.i-assist.jp/data/china/image_1928th/82531569.pdf","82531569")</f>
        <v>82531569</v>
      </c>
      <c r="F789" s="12" t="s">
        <v>2258</v>
      </c>
      <c r="G789" s="12" t="s">
        <v>52</v>
      </c>
      <c r="H789" s="9" t="s">
        <v>2259</v>
      </c>
      <c r="I789" s="10">
        <v>45639</v>
      </c>
    </row>
    <row r="790" spans="1:9" x14ac:dyDescent="0.15">
      <c r="A790" s="9">
        <v>789</v>
      </c>
      <c r="B790" s="9" t="s">
        <v>9</v>
      </c>
      <c r="C790" s="9">
        <v>1928</v>
      </c>
      <c r="D790" s="10">
        <v>45736</v>
      </c>
      <c r="E790" s="11" t="str">
        <f>+HYPERLINK("http://trademark.i-assist.jp/data/china/image_1928th/82531588.pdf","82531588")</f>
        <v>82531588</v>
      </c>
      <c r="F790" s="9" t="s">
        <v>2260</v>
      </c>
      <c r="G790" s="9" t="s">
        <v>2261</v>
      </c>
      <c r="H790" s="9" t="s">
        <v>2262</v>
      </c>
      <c r="I790" s="10">
        <v>45639</v>
      </c>
    </row>
    <row r="791" spans="1:9" x14ac:dyDescent="0.15">
      <c r="A791" s="9">
        <v>790</v>
      </c>
      <c r="B791" s="9" t="s">
        <v>9</v>
      </c>
      <c r="C791" s="9">
        <v>1928</v>
      </c>
      <c r="D791" s="10">
        <v>45736</v>
      </c>
      <c r="E791" s="11" t="str">
        <f>+HYPERLINK("http://trademark.i-assist.jp/data/china/image_1928th/82531837.pdf","82531837")</f>
        <v>82531837</v>
      </c>
      <c r="F791" s="9" t="s">
        <v>2263</v>
      </c>
      <c r="G791" s="12" t="s">
        <v>2264</v>
      </c>
      <c r="H791" s="9" t="s">
        <v>2265</v>
      </c>
      <c r="I791" s="10">
        <v>45639</v>
      </c>
    </row>
    <row r="792" spans="1:9" x14ac:dyDescent="0.15">
      <c r="A792" s="9">
        <v>791</v>
      </c>
      <c r="B792" s="9" t="s">
        <v>9</v>
      </c>
      <c r="C792" s="9">
        <v>1928</v>
      </c>
      <c r="D792" s="10">
        <v>45736</v>
      </c>
      <c r="E792" s="11" t="str">
        <f>+HYPERLINK("http://trademark.i-assist.jp/data/china/image_1928th/82532104.pdf","82532104")</f>
        <v>82532104</v>
      </c>
      <c r="F792" s="9" t="s">
        <v>2266</v>
      </c>
      <c r="G792" s="9" t="s">
        <v>2267</v>
      </c>
      <c r="H792" s="9" t="s">
        <v>2268</v>
      </c>
      <c r="I792" s="10">
        <v>45639</v>
      </c>
    </row>
    <row r="793" spans="1:9" x14ac:dyDescent="0.15">
      <c r="A793" s="9">
        <v>792</v>
      </c>
      <c r="B793" s="9" t="s">
        <v>9</v>
      </c>
      <c r="C793" s="9">
        <v>1928</v>
      </c>
      <c r="D793" s="10">
        <v>45736</v>
      </c>
      <c r="E793" s="11" t="str">
        <f>+HYPERLINK("http://trademark.i-assist.jp/data/china/image_1928th/82532374.pdf","82532374")</f>
        <v>82532374</v>
      </c>
      <c r="F793" s="9" t="s">
        <v>2269</v>
      </c>
      <c r="G793" s="9" t="s">
        <v>2270</v>
      </c>
      <c r="H793" s="9" t="s">
        <v>2271</v>
      </c>
      <c r="I793" s="10">
        <v>45639</v>
      </c>
    </row>
    <row r="794" spans="1:9" x14ac:dyDescent="0.15">
      <c r="A794" s="9">
        <v>793</v>
      </c>
      <c r="B794" s="9" t="s">
        <v>9</v>
      </c>
      <c r="C794" s="9">
        <v>1928</v>
      </c>
      <c r="D794" s="10">
        <v>45736</v>
      </c>
      <c r="E794" s="11" t="str">
        <f>+HYPERLINK("http://trademark.i-assist.jp/data/china/image_1928th/82532391A.pdf","82532391A")</f>
        <v>82532391A</v>
      </c>
      <c r="F794" s="9" t="s">
        <v>2272</v>
      </c>
      <c r="G794" s="9" t="s">
        <v>2273</v>
      </c>
      <c r="H794" s="9" t="s">
        <v>2274</v>
      </c>
      <c r="I794" s="10">
        <v>45639</v>
      </c>
    </row>
    <row r="795" spans="1:9" x14ac:dyDescent="0.15">
      <c r="A795" s="9">
        <v>794</v>
      </c>
      <c r="B795" s="9" t="s">
        <v>9</v>
      </c>
      <c r="C795" s="9">
        <v>1928</v>
      </c>
      <c r="D795" s="10">
        <v>45736</v>
      </c>
      <c r="E795" s="11" t="str">
        <f>+HYPERLINK("http://trademark.i-assist.jp/data/china/image_1928th/82532546.pdf","82532546")</f>
        <v>82532546</v>
      </c>
      <c r="F795" s="9" t="s">
        <v>2275</v>
      </c>
      <c r="G795" s="9" t="s">
        <v>2276</v>
      </c>
      <c r="H795" s="9" t="s">
        <v>2277</v>
      </c>
      <c r="I795" s="10">
        <v>45639</v>
      </c>
    </row>
    <row r="796" spans="1:9" x14ac:dyDescent="0.15">
      <c r="A796" s="9">
        <v>795</v>
      </c>
      <c r="B796" s="9" t="s">
        <v>9</v>
      </c>
      <c r="C796" s="9">
        <v>1928</v>
      </c>
      <c r="D796" s="10">
        <v>45736</v>
      </c>
      <c r="E796" s="11" t="str">
        <f>+HYPERLINK("http://trademark.i-assist.jp/data/china/image_1928th/82532654.pdf","82532654")</f>
        <v>82532654</v>
      </c>
      <c r="F796" s="9" t="s">
        <v>2278</v>
      </c>
      <c r="G796" s="9" t="s">
        <v>2279</v>
      </c>
      <c r="H796" s="9" t="s">
        <v>2280</v>
      </c>
      <c r="I796" s="10">
        <v>45639</v>
      </c>
    </row>
    <row r="797" spans="1:9" x14ac:dyDescent="0.15">
      <c r="A797" s="9">
        <v>796</v>
      </c>
      <c r="B797" s="9" t="s">
        <v>9</v>
      </c>
      <c r="C797" s="9">
        <v>1928</v>
      </c>
      <c r="D797" s="10">
        <v>45736</v>
      </c>
      <c r="E797" s="11" t="str">
        <f>+HYPERLINK("http://trademark.i-assist.jp/data/china/image_1928th/82532819.pdf","82532819")</f>
        <v>82532819</v>
      </c>
      <c r="F797" s="12" t="s">
        <v>2281</v>
      </c>
      <c r="G797" s="12" t="s">
        <v>2282</v>
      </c>
      <c r="H797" s="9" t="s">
        <v>2283</v>
      </c>
      <c r="I797" s="10">
        <v>45639</v>
      </c>
    </row>
    <row r="798" spans="1:9" x14ac:dyDescent="0.15">
      <c r="A798" s="9">
        <v>797</v>
      </c>
      <c r="B798" s="9" t="s">
        <v>9</v>
      </c>
      <c r="C798" s="9">
        <v>1928</v>
      </c>
      <c r="D798" s="10">
        <v>45736</v>
      </c>
      <c r="E798" s="11" t="str">
        <f>+HYPERLINK("http://trademark.i-assist.jp/data/china/image_1928th/82532975.pdf","82532975")</f>
        <v>82532975</v>
      </c>
      <c r="F798" s="9" t="s">
        <v>2284</v>
      </c>
      <c r="G798" s="12" t="s">
        <v>2285</v>
      </c>
      <c r="H798" s="12" t="s">
        <v>2286</v>
      </c>
      <c r="I798" s="10">
        <v>45639</v>
      </c>
    </row>
    <row r="799" spans="1:9" x14ac:dyDescent="0.15">
      <c r="A799" s="9">
        <v>798</v>
      </c>
      <c r="B799" s="9" t="s">
        <v>9</v>
      </c>
      <c r="C799" s="9">
        <v>1928</v>
      </c>
      <c r="D799" s="10">
        <v>45736</v>
      </c>
      <c r="E799" s="11" t="str">
        <f>+HYPERLINK("http://trademark.i-assist.jp/data/china/image_1928th/82533170.pdf","82533170")</f>
        <v>82533170</v>
      </c>
      <c r="F799" s="9" t="s">
        <v>2287</v>
      </c>
      <c r="G799" s="12" t="s">
        <v>2288</v>
      </c>
      <c r="H799" s="9" t="s">
        <v>2289</v>
      </c>
      <c r="I799" s="10">
        <v>45639</v>
      </c>
    </row>
    <row r="800" spans="1:9" x14ac:dyDescent="0.15">
      <c r="A800" s="9">
        <v>799</v>
      </c>
      <c r="B800" s="9" t="s">
        <v>9</v>
      </c>
      <c r="C800" s="9">
        <v>1928</v>
      </c>
      <c r="D800" s="10">
        <v>45736</v>
      </c>
      <c r="E800" s="11" t="str">
        <f>+HYPERLINK("http://trademark.i-assist.jp/data/china/image_1928th/82534003.pdf","82534003")</f>
        <v>82534003</v>
      </c>
      <c r="F800" s="9" t="s">
        <v>2290</v>
      </c>
      <c r="G800" s="9" t="s">
        <v>2291</v>
      </c>
      <c r="H800" s="12" t="s">
        <v>2292</v>
      </c>
      <c r="I800" s="10">
        <v>45639</v>
      </c>
    </row>
    <row r="801" spans="1:9" x14ac:dyDescent="0.15">
      <c r="A801" s="9">
        <v>800</v>
      </c>
      <c r="B801" s="9" t="s">
        <v>9</v>
      </c>
      <c r="C801" s="9">
        <v>1928</v>
      </c>
      <c r="D801" s="10">
        <v>45736</v>
      </c>
      <c r="E801" s="11" t="str">
        <f>+HYPERLINK("http://trademark.i-assist.jp/data/china/image_1928th/82535018.pdf","82535018")</f>
        <v>82535018</v>
      </c>
      <c r="F801" s="12" t="s">
        <v>18</v>
      </c>
      <c r="G801" s="12" t="s">
        <v>2293</v>
      </c>
      <c r="H801" s="9" t="s">
        <v>2294</v>
      </c>
      <c r="I801" s="10">
        <v>45639</v>
      </c>
    </row>
    <row r="802" spans="1:9" x14ac:dyDescent="0.15">
      <c r="A802" s="9">
        <v>801</v>
      </c>
      <c r="B802" s="9" t="s">
        <v>9</v>
      </c>
      <c r="C802" s="9">
        <v>1928</v>
      </c>
      <c r="D802" s="10">
        <v>45736</v>
      </c>
      <c r="E802" s="11" t="str">
        <f>+HYPERLINK("http://trademark.i-assist.jp/data/china/image_1928th/82535337.pdf","82535337")</f>
        <v>82535337</v>
      </c>
      <c r="F802" s="12" t="s">
        <v>2295</v>
      </c>
      <c r="G802" s="9" t="s">
        <v>2296</v>
      </c>
      <c r="H802" s="9" t="s">
        <v>2297</v>
      </c>
      <c r="I802" s="10">
        <v>45639</v>
      </c>
    </row>
    <row r="803" spans="1:9" x14ac:dyDescent="0.15">
      <c r="A803" s="9">
        <v>802</v>
      </c>
      <c r="B803" s="9" t="s">
        <v>9</v>
      </c>
      <c r="C803" s="9">
        <v>1928</v>
      </c>
      <c r="D803" s="10">
        <v>45736</v>
      </c>
      <c r="E803" s="11" t="str">
        <f>+HYPERLINK("http://trademark.i-assist.jp/data/china/image_1928th/82535374.pdf","82535374")</f>
        <v>82535374</v>
      </c>
      <c r="F803" s="9" t="s">
        <v>2298</v>
      </c>
      <c r="G803" s="12" t="s">
        <v>2299</v>
      </c>
      <c r="H803" s="9" t="s">
        <v>2300</v>
      </c>
      <c r="I803" s="10">
        <v>45639</v>
      </c>
    </row>
    <row r="804" spans="1:9" x14ac:dyDescent="0.15">
      <c r="A804" s="9">
        <v>803</v>
      </c>
      <c r="B804" s="9" t="s">
        <v>9</v>
      </c>
      <c r="C804" s="9">
        <v>1928</v>
      </c>
      <c r="D804" s="10">
        <v>45736</v>
      </c>
      <c r="E804" s="11" t="str">
        <f>+HYPERLINK("http://trademark.i-assist.jp/data/china/image_1928th/82535388.pdf","82535388")</f>
        <v>82535388</v>
      </c>
      <c r="F804" s="9" t="s">
        <v>2301</v>
      </c>
      <c r="G804" s="9" t="s">
        <v>2302</v>
      </c>
      <c r="H804" s="9" t="s">
        <v>2303</v>
      </c>
      <c r="I804" s="10">
        <v>45639</v>
      </c>
    </row>
    <row r="805" spans="1:9" x14ac:dyDescent="0.15">
      <c r="A805" s="9">
        <v>804</v>
      </c>
      <c r="B805" s="9" t="s">
        <v>9</v>
      </c>
      <c r="C805" s="9">
        <v>1928</v>
      </c>
      <c r="D805" s="10">
        <v>45736</v>
      </c>
      <c r="E805" s="11" t="str">
        <f>+HYPERLINK("http://trademark.i-assist.jp/data/china/image_1928th/82535430.pdf","82535430")</f>
        <v>82535430</v>
      </c>
      <c r="F805" s="9" t="s">
        <v>2304</v>
      </c>
      <c r="G805" s="9" t="s">
        <v>2305</v>
      </c>
      <c r="H805" s="9" t="s">
        <v>2306</v>
      </c>
      <c r="I805" s="10">
        <v>45639</v>
      </c>
    </row>
    <row r="806" spans="1:9" x14ac:dyDescent="0.15">
      <c r="A806" s="9">
        <v>805</v>
      </c>
      <c r="B806" s="9" t="s">
        <v>9</v>
      </c>
      <c r="C806" s="9">
        <v>1928</v>
      </c>
      <c r="D806" s="10">
        <v>45736</v>
      </c>
      <c r="E806" s="11" t="str">
        <f>+HYPERLINK("http://trademark.i-assist.jp/data/china/image_1928th/82535717.pdf","82535717")</f>
        <v>82535717</v>
      </c>
      <c r="F806" s="9" t="s">
        <v>2307</v>
      </c>
      <c r="G806" s="9" t="s">
        <v>73</v>
      </c>
      <c r="H806" s="9" t="s">
        <v>2308</v>
      </c>
      <c r="I806" s="10">
        <v>45639</v>
      </c>
    </row>
    <row r="807" spans="1:9" x14ac:dyDescent="0.15">
      <c r="A807" s="9">
        <v>806</v>
      </c>
      <c r="B807" s="9" t="s">
        <v>9</v>
      </c>
      <c r="C807" s="9">
        <v>1928</v>
      </c>
      <c r="D807" s="10">
        <v>45736</v>
      </c>
      <c r="E807" s="11" t="str">
        <f>+HYPERLINK("http://trademark.i-assist.jp/data/china/image_1928th/82536227.pdf","82536227")</f>
        <v>82536227</v>
      </c>
      <c r="F807" s="9" t="s">
        <v>2309</v>
      </c>
      <c r="G807" s="12" t="s">
        <v>2310</v>
      </c>
      <c r="H807" s="9" t="s">
        <v>2311</v>
      </c>
      <c r="I807" s="10">
        <v>45639</v>
      </c>
    </row>
    <row r="808" spans="1:9" x14ac:dyDescent="0.15">
      <c r="A808" s="9">
        <v>807</v>
      </c>
      <c r="B808" s="9" t="s">
        <v>9</v>
      </c>
      <c r="C808" s="9">
        <v>1928</v>
      </c>
      <c r="D808" s="10">
        <v>45736</v>
      </c>
      <c r="E808" s="11" t="str">
        <f>+HYPERLINK("http://trademark.i-assist.jp/data/china/image_1928th/82536512.pdf","82536512")</f>
        <v>82536512</v>
      </c>
      <c r="F808" s="12" t="s">
        <v>18</v>
      </c>
      <c r="G808" s="9" t="s">
        <v>2312</v>
      </c>
      <c r="H808" s="9" t="s">
        <v>2313</v>
      </c>
      <c r="I808" s="10">
        <v>45639</v>
      </c>
    </row>
    <row r="809" spans="1:9" x14ac:dyDescent="0.15">
      <c r="A809" s="9">
        <v>808</v>
      </c>
      <c r="B809" s="9" t="s">
        <v>9</v>
      </c>
      <c r="C809" s="9">
        <v>1928</v>
      </c>
      <c r="D809" s="10">
        <v>45736</v>
      </c>
      <c r="E809" s="11" t="str">
        <f>+HYPERLINK("http://trademark.i-assist.jp/data/china/image_1928th/82536699.pdf","82536699")</f>
        <v>82536699</v>
      </c>
      <c r="F809" s="9" t="s">
        <v>2314</v>
      </c>
      <c r="G809" s="12" t="s">
        <v>2315</v>
      </c>
      <c r="H809" s="9" t="s">
        <v>2316</v>
      </c>
      <c r="I809" s="10">
        <v>45639</v>
      </c>
    </row>
    <row r="810" spans="1:9" x14ac:dyDescent="0.15">
      <c r="A810" s="9">
        <v>809</v>
      </c>
      <c r="B810" s="9" t="s">
        <v>9</v>
      </c>
      <c r="C810" s="9">
        <v>1928</v>
      </c>
      <c r="D810" s="10">
        <v>45736</v>
      </c>
      <c r="E810" s="11" t="str">
        <f>+HYPERLINK("http://trademark.i-assist.jp/data/china/image_1928th/82536995.pdf","82536995")</f>
        <v>82536995</v>
      </c>
      <c r="F810" s="9" t="s">
        <v>2317</v>
      </c>
      <c r="G810" s="12" t="s">
        <v>2318</v>
      </c>
      <c r="H810" s="9" t="s">
        <v>2319</v>
      </c>
      <c r="I810" s="10">
        <v>45639</v>
      </c>
    </row>
    <row r="811" spans="1:9" x14ac:dyDescent="0.15">
      <c r="A811" s="9">
        <v>810</v>
      </c>
      <c r="B811" s="9" t="s">
        <v>9</v>
      </c>
      <c r="C811" s="9">
        <v>1928</v>
      </c>
      <c r="D811" s="10">
        <v>45736</v>
      </c>
      <c r="E811" s="11" t="str">
        <f>+HYPERLINK("http://trademark.i-assist.jp/data/china/image_1928th/82537132.pdf","82537132")</f>
        <v>82537132</v>
      </c>
      <c r="F811" s="9" t="s">
        <v>2320</v>
      </c>
      <c r="G811" s="9" t="s">
        <v>2321</v>
      </c>
      <c r="H811" s="9" t="s">
        <v>2322</v>
      </c>
      <c r="I811" s="10">
        <v>45639</v>
      </c>
    </row>
    <row r="812" spans="1:9" x14ac:dyDescent="0.15">
      <c r="A812" s="9">
        <v>811</v>
      </c>
      <c r="B812" s="9" t="s">
        <v>9</v>
      </c>
      <c r="C812" s="9">
        <v>1928</v>
      </c>
      <c r="D812" s="10">
        <v>45736</v>
      </c>
      <c r="E812" s="11" t="str">
        <f>+HYPERLINK("http://trademark.i-assist.jp/data/china/image_1928th/82537701.pdf","82537701")</f>
        <v>82537701</v>
      </c>
      <c r="F812" s="9" t="s">
        <v>2323</v>
      </c>
      <c r="G812" s="9" t="s">
        <v>2324</v>
      </c>
      <c r="H812" s="9" t="s">
        <v>2325</v>
      </c>
      <c r="I812" s="10">
        <v>45639</v>
      </c>
    </row>
    <row r="813" spans="1:9" x14ac:dyDescent="0.15">
      <c r="A813" s="9">
        <v>812</v>
      </c>
      <c r="B813" s="9" t="s">
        <v>9</v>
      </c>
      <c r="C813" s="9">
        <v>1928</v>
      </c>
      <c r="D813" s="10">
        <v>45736</v>
      </c>
      <c r="E813" s="11" t="str">
        <f>+HYPERLINK("http://trademark.i-assist.jp/data/china/image_1928th/82537921.pdf","82537921")</f>
        <v>82537921</v>
      </c>
      <c r="F813" s="12" t="s">
        <v>2326</v>
      </c>
      <c r="G813" s="12" t="s">
        <v>2327</v>
      </c>
      <c r="H813" s="12" t="s">
        <v>2328</v>
      </c>
      <c r="I813" s="10">
        <v>45639</v>
      </c>
    </row>
    <row r="814" spans="1:9" x14ac:dyDescent="0.15">
      <c r="A814" s="9">
        <v>813</v>
      </c>
      <c r="B814" s="9" t="s">
        <v>9</v>
      </c>
      <c r="C814" s="9">
        <v>1928</v>
      </c>
      <c r="D814" s="10">
        <v>45736</v>
      </c>
      <c r="E814" s="11" t="str">
        <f>+HYPERLINK("http://trademark.i-assist.jp/data/china/image_1928th/82538066.pdf","82538066")</f>
        <v>82538066</v>
      </c>
      <c r="F814" s="12" t="s">
        <v>2329</v>
      </c>
      <c r="G814" s="12" t="s">
        <v>2329</v>
      </c>
      <c r="H814" s="9" t="s">
        <v>2330</v>
      </c>
      <c r="I814" s="10">
        <v>45639</v>
      </c>
    </row>
    <row r="815" spans="1:9" x14ac:dyDescent="0.15">
      <c r="A815" s="9">
        <v>814</v>
      </c>
      <c r="B815" s="9" t="s">
        <v>9</v>
      </c>
      <c r="C815" s="9">
        <v>1928</v>
      </c>
      <c r="D815" s="10">
        <v>45736</v>
      </c>
      <c r="E815" s="11" t="str">
        <f>+HYPERLINK("http://trademark.i-assist.jp/data/china/image_1928th/82538156.pdf","82538156")</f>
        <v>82538156</v>
      </c>
      <c r="F815" s="9" t="s">
        <v>2331</v>
      </c>
      <c r="G815" s="9" t="s">
        <v>2332</v>
      </c>
      <c r="H815" s="9" t="s">
        <v>2333</v>
      </c>
      <c r="I815" s="10">
        <v>45639</v>
      </c>
    </row>
    <row r="816" spans="1:9" x14ac:dyDescent="0.15">
      <c r="A816" s="9">
        <v>815</v>
      </c>
      <c r="B816" s="9" t="s">
        <v>9</v>
      </c>
      <c r="C816" s="9">
        <v>1928</v>
      </c>
      <c r="D816" s="10">
        <v>45736</v>
      </c>
      <c r="E816" s="11" t="str">
        <f>+HYPERLINK("http://trademark.i-assist.jp/data/china/image_1928th/82538394.pdf","82538394")</f>
        <v>82538394</v>
      </c>
      <c r="F816" s="9" t="s">
        <v>2334</v>
      </c>
      <c r="G816" s="9" t="s">
        <v>2335</v>
      </c>
      <c r="H816" s="12" t="s">
        <v>2336</v>
      </c>
      <c r="I816" s="10">
        <v>45639</v>
      </c>
    </row>
    <row r="817" spans="1:9" x14ac:dyDescent="0.15">
      <c r="A817" s="9">
        <v>816</v>
      </c>
      <c r="B817" s="9" t="s">
        <v>9</v>
      </c>
      <c r="C817" s="9">
        <v>1928</v>
      </c>
      <c r="D817" s="10">
        <v>45736</v>
      </c>
      <c r="E817" s="11" t="str">
        <f>+HYPERLINK("http://trademark.i-assist.jp/data/china/image_1928th/82538601.pdf","82538601")</f>
        <v>82538601</v>
      </c>
      <c r="F817" s="9" t="s">
        <v>2337</v>
      </c>
      <c r="G817" s="9" t="s">
        <v>2338</v>
      </c>
      <c r="H817" s="9" t="s">
        <v>2339</v>
      </c>
      <c r="I817" s="10">
        <v>45639</v>
      </c>
    </row>
    <row r="818" spans="1:9" x14ac:dyDescent="0.15">
      <c r="A818" s="9">
        <v>817</v>
      </c>
      <c r="B818" s="9" t="s">
        <v>9</v>
      </c>
      <c r="C818" s="9">
        <v>1928</v>
      </c>
      <c r="D818" s="10">
        <v>45736</v>
      </c>
      <c r="E818" s="11" t="str">
        <f>+HYPERLINK("http://trademark.i-assist.jp/data/china/image_1928th/82539400.pdf","82539400")</f>
        <v>82539400</v>
      </c>
      <c r="F818" s="9" t="s">
        <v>2340</v>
      </c>
      <c r="G818" s="9" t="s">
        <v>2341</v>
      </c>
      <c r="H818" s="9" t="s">
        <v>2342</v>
      </c>
      <c r="I818" s="10">
        <v>45639</v>
      </c>
    </row>
    <row r="819" spans="1:9" x14ac:dyDescent="0.15">
      <c r="A819" s="9">
        <v>818</v>
      </c>
      <c r="B819" s="9" t="s">
        <v>9</v>
      </c>
      <c r="C819" s="9">
        <v>1928</v>
      </c>
      <c r="D819" s="10">
        <v>45736</v>
      </c>
      <c r="E819" s="11" t="str">
        <f>+HYPERLINK("http://trademark.i-assist.jp/data/china/image_1928th/82539681.pdf","82539681")</f>
        <v>82539681</v>
      </c>
      <c r="F819" s="9" t="s">
        <v>2343</v>
      </c>
      <c r="G819" s="9" t="s">
        <v>67</v>
      </c>
      <c r="H819" s="12" t="s">
        <v>2344</v>
      </c>
      <c r="I819" s="10">
        <v>45639</v>
      </c>
    </row>
    <row r="820" spans="1:9" x14ac:dyDescent="0.15">
      <c r="A820" s="9">
        <v>819</v>
      </c>
      <c r="B820" s="9" t="s">
        <v>9</v>
      </c>
      <c r="C820" s="9">
        <v>1928</v>
      </c>
      <c r="D820" s="10">
        <v>45736</v>
      </c>
      <c r="E820" s="11" t="str">
        <f>+HYPERLINK("http://trademark.i-assist.jp/data/china/image_1928th/82540124.pdf","82540124")</f>
        <v>82540124</v>
      </c>
      <c r="F820" s="9" t="s">
        <v>2345</v>
      </c>
      <c r="G820" s="9" t="s">
        <v>2346</v>
      </c>
      <c r="H820" s="9" t="s">
        <v>2347</v>
      </c>
      <c r="I820" s="10">
        <v>45639</v>
      </c>
    </row>
    <row r="821" spans="1:9" x14ac:dyDescent="0.15">
      <c r="A821" s="9">
        <v>820</v>
      </c>
      <c r="B821" s="9" t="s">
        <v>9</v>
      </c>
      <c r="C821" s="9">
        <v>1928</v>
      </c>
      <c r="D821" s="10">
        <v>45736</v>
      </c>
      <c r="E821" s="11" t="str">
        <f>+HYPERLINK("http://trademark.i-assist.jp/data/china/image_1928th/82540185.pdf","82540185")</f>
        <v>82540185</v>
      </c>
      <c r="F821" s="9" t="s">
        <v>2348</v>
      </c>
      <c r="G821" s="12" t="s">
        <v>1408</v>
      </c>
      <c r="H821" s="9" t="s">
        <v>2349</v>
      </c>
      <c r="I821" s="10">
        <v>45639</v>
      </c>
    </row>
    <row r="822" spans="1:9" x14ac:dyDescent="0.15">
      <c r="A822" s="9">
        <v>821</v>
      </c>
      <c r="B822" s="9" t="s">
        <v>9</v>
      </c>
      <c r="C822" s="9">
        <v>1928</v>
      </c>
      <c r="D822" s="10">
        <v>45736</v>
      </c>
      <c r="E822" s="11" t="str">
        <f>+HYPERLINK("http://trademark.i-assist.jp/data/china/image_1928th/82540190.pdf","82540190")</f>
        <v>82540190</v>
      </c>
      <c r="F822" s="9" t="s">
        <v>2350</v>
      </c>
      <c r="G822" s="12" t="s">
        <v>2351</v>
      </c>
      <c r="H822" s="9" t="s">
        <v>2352</v>
      </c>
      <c r="I822" s="10">
        <v>45639</v>
      </c>
    </row>
    <row r="823" spans="1:9" x14ac:dyDescent="0.15">
      <c r="A823" s="9">
        <v>822</v>
      </c>
      <c r="B823" s="9" t="s">
        <v>9</v>
      </c>
      <c r="C823" s="9">
        <v>1928</v>
      </c>
      <c r="D823" s="10">
        <v>45736</v>
      </c>
      <c r="E823" s="11" t="str">
        <f>+HYPERLINK("http://trademark.i-assist.jp/data/china/image_1928th/82540208.pdf","82540208")</f>
        <v>82540208</v>
      </c>
      <c r="F823" s="9" t="s">
        <v>2353</v>
      </c>
      <c r="G823" s="12" t="s">
        <v>2351</v>
      </c>
      <c r="H823" s="12" t="s">
        <v>2354</v>
      </c>
      <c r="I823" s="10">
        <v>45639</v>
      </c>
    </row>
    <row r="824" spans="1:9" x14ac:dyDescent="0.15">
      <c r="A824" s="9">
        <v>823</v>
      </c>
      <c r="B824" s="9" t="s">
        <v>9</v>
      </c>
      <c r="C824" s="9">
        <v>1928</v>
      </c>
      <c r="D824" s="10">
        <v>45736</v>
      </c>
      <c r="E824" s="11" t="str">
        <f>+HYPERLINK("http://trademark.i-assist.jp/data/china/image_1928th/82540465.pdf","82540465")</f>
        <v>82540465</v>
      </c>
      <c r="F824" s="9" t="s">
        <v>2355</v>
      </c>
      <c r="G824" s="9" t="s">
        <v>2356</v>
      </c>
      <c r="H824" s="9" t="s">
        <v>2357</v>
      </c>
      <c r="I824" s="10">
        <v>45639</v>
      </c>
    </row>
    <row r="825" spans="1:9" x14ac:dyDescent="0.15">
      <c r="A825" s="9">
        <v>824</v>
      </c>
      <c r="B825" s="9" t="s">
        <v>9</v>
      </c>
      <c r="C825" s="9">
        <v>1928</v>
      </c>
      <c r="D825" s="10">
        <v>45736</v>
      </c>
      <c r="E825" s="11" t="str">
        <f>+HYPERLINK("http://trademark.i-assist.jp/data/china/image_1928th/82540757.pdf","82540757")</f>
        <v>82540757</v>
      </c>
      <c r="F825" s="9" t="s">
        <v>2358</v>
      </c>
      <c r="G825" s="9" t="s">
        <v>2359</v>
      </c>
      <c r="H825" s="9" t="s">
        <v>2360</v>
      </c>
      <c r="I825" s="10">
        <v>45639</v>
      </c>
    </row>
    <row r="826" spans="1:9" x14ac:dyDescent="0.15">
      <c r="A826" s="9">
        <v>825</v>
      </c>
      <c r="B826" s="9" t="s">
        <v>9</v>
      </c>
      <c r="C826" s="9">
        <v>1928</v>
      </c>
      <c r="D826" s="10">
        <v>45736</v>
      </c>
      <c r="E826" s="11" t="str">
        <f>+HYPERLINK("http://trademark.i-assist.jp/data/china/image_1928th/82541188.pdf","82541188")</f>
        <v>82541188</v>
      </c>
      <c r="F826" s="9" t="s">
        <v>2361</v>
      </c>
      <c r="G826" s="9" t="s">
        <v>2362</v>
      </c>
      <c r="H826" s="9" t="s">
        <v>2363</v>
      </c>
      <c r="I826" s="10">
        <v>45639</v>
      </c>
    </row>
    <row r="827" spans="1:9" x14ac:dyDescent="0.15">
      <c r="A827" s="9">
        <v>826</v>
      </c>
      <c r="B827" s="9" t="s">
        <v>9</v>
      </c>
      <c r="C827" s="9">
        <v>1928</v>
      </c>
      <c r="D827" s="10">
        <v>45736</v>
      </c>
      <c r="E827" s="11" t="str">
        <f>+HYPERLINK("http://trademark.i-assist.jp/data/china/image_1928th/82541377.pdf","82541377")</f>
        <v>82541377</v>
      </c>
      <c r="F827" s="9" t="s">
        <v>2364</v>
      </c>
      <c r="G827" s="9" t="s">
        <v>2365</v>
      </c>
      <c r="H827" s="9" t="s">
        <v>2366</v>
      </c>
      <c r="I827" s="10">
        <v>45639</v>
      </c>
    </row>
    <row r="828" spans="1:9" x14ac:dyDescent="0.15">
      <c r="A828" s="9">
        <v>827</v>
      </c>
      <c r="B828" s="9" t="s">
        <v>9</v>
      </c>
      <c r="C828" s="9">
        <v>1928</v>
      </c>
      <c r="D828" s="10">
        <v>45736</v>
      </c>
      <c r="E828" s="11" t="str">
        <f>+HYPERLINK("http://trademark.i-assist.jp/data/china/image_1928th/82541728.pdf","82541728")</f>
        <v>82541728</v>
      </c>
      <c r="F828" s="12" t="s">
        <v>2367</v>
      </c>
      <c r="G828" s="12" t="s">
        <v>2368</v>
      </c>
      <c r="H828" s="9" t="s">
        <v>2369</v>
      </c>
      <c r="I828" s="10">
        <v>45639</v>
      </c>
    </row>
    <row r="829" spans="1:9" x14ac:dyDescent="0.15">
      <c r="A829" s="9">
        <v>828</v>
      </c>
      <c r="B829" s="9" t="s">
        <v>9</v>
      </c>
      <c r="C829" s="9">
        <v>1928</v>
      </c>
      <c r="D829" s="10">
        <v>45736</v>
      </c>
      <c r="E829" s="11" t="str">
        <f>+HYPERLINK("http://trademark.i-assist.jp/data/china/image_1928th/82543039.pdf","82543039")</f>
        <v>82543039</v>
      </c>
      <c r="F829" s="9" t="s">
        <v>2370</v>
      </c>
      <c r="G829" s="9" t="s">
        <v>2371</v>
      </c>
      <c r="H829" s="9" t="s">
        <v>2372</v>
      </c>
      <c r="I829" s="10">
        <v>45639</v>
      </c>
    </row>
    <row r="830" spans="1:9" x14ac:dyDescent="0.15">
      <c r="A830" s="9">
        <v>829</v>
      </c>
      <c r="B830" s="9" t="s">
        <v>9</v>
      </c>
      <c r="C830" s="9">
        <v>1928</v>
      </c>
      <c r="D830" s="10">
        <v>45736</v>
      </c>
      <c r="E830" s="11" t="str">
        <f>+HYPERLINK("http://trademark.i-assist.jp/data/china/image_1928th/82543250.pdf","82543250")</f>
        <v>82543250</v>
      </c>
      <c r="F830" s="9" t="s">
        <v>2373</v>
      </c>
      <c r="G830" s="9" t="s">
        <v>1057</v>
      </c>
      <c r="H830" s="9" t="s">
        <v>2374</v>
      </c>
      <c r="I830" s="10">
        <v>45639</v>
      </c>
    </row>
    <row r="831" spans="1:9" x14ac:dyDescent="0.15">
      <c r="A831" s="9">
        <v>830</v>
      </c>
      <c r="B831" s="9" t="s">
        <v>9</v>
      </c>
      <c r="C831" s="9">
        <v>1928</v>
      </c>
      <c r="D831" s="10">
        <v>45736</v>
      </c>
      <c r="E831" s="11" t="str">
        <f>+HYPERLINK("http://trademark.i-assist.jp/data/china/image_1928th/82543442.pdf","82543442")</f>
        <v>82543442</v>
      </c>
      <c r="F831" s="12" t="s">
        <v>2375</v>
      </c>
      <c r="G831" s="9" t="s">
        <v>2376</v>
      </c>
      <c r="H831" s="9" t="s">
        <v>2377</v>
      </c>
      <c r="I831" s="10">
        <v>45639</v>
      </c>
    </row>
    <row r="832" spans="1:9" x14ac:dyDescent="0.15">
      <c r="A832" s="9">
        <v>831</v>
      </c>
      <c r="B832" s="9" t="s">
        <v>9</v>
      </c>
      <c r="C832" s="9">
        <v>1928</v>
      </c>
      <c r="D832" s="10">
        <v>45736</v>
      </c>
      <c r="E832" s="11" t="str">
        <f>+HYPERLINK("http://trademark.i-assist.jp/data/china/image_1928th/82543443.pdf","82543443")</f>
        <v>82543443</v>
      </c>
      <c r="F832" s="9" t="s">
        <v>2378</v>
      </c>
      <c r="G832" s="9" t="s">
        <v>2379</v>
      </c>
      <c r="H832" s="9" t="s">
        <v>2380</v>
      </c>
      <c r="I832" s="10">
        <v>45639</v>
      </c>
    </row>
    <row r="833" spans="1:9" x14ac:dyDescent="0.15">
      <c r="A833" s="9">
        <v>832</v>
      </c>
      <c r="B833" s="9" t="s">
        <v>9</v>
      </c>
      <c r="C833" s="9">
        <v>1928</v>
      </c>
      <c r="D833" s="10">
        <v>45736</v>
      </c>
      <c r="E833" s="11" t="str">
        <f>+HYPERLINK("http://trademark.i-assist.jp/data/china/image_1928th/82543454.pdf","82543454")</f>
        <v>82543454</v>
      </c>
      <c r="F833" s="12" t="s">
        <v>2381</v>
      </c>
      <c r="G833" s="12" t="s">
        <v>2382</v>
      </c>
      <c r="H833" s="9" t="s">
        <v>2383</v>
      </c>
      <c r="I833" s="10">
        <v>45639</v>
      </c>
    </row>
    <row r="834" spans="1:9" x14ac:dyDescent="0.15">
      <c r="A834" s="9">
        <v>833</v>
      </c>
      <c r="B834" s="9" t="s">
        <v>9</v>
      </c>
      <c r="C834" s="9">
        <v>1928</v>
      </c>
      <c r="D834" s="10">
        <v>45736</v>
      </c>
      <c r="E834" s="11" t="str">
        <f>+HYPERLINK("http://trademark.i-assist.jp/data/china/image_1928th/82543499.pdf","82543499")</f>
        <v>82543499</v>
      </c>
      <c r="F834" s="9" t="s">
        <v>2384</v>
      </c>
      <c r="G834" s="9" t="s">
        <v>2385</v>
      </c>
      <c r="H834" s="9" t="s">
        <v>2386</v>
      </c>
      <c r="I834" s="10">
        <v>45639</v>
      </c>
    </row>
    <row r="835" spans="1:9" x14ac:dyDescent="0.15">
      <c r="A835" s="9">
        <v>834</v>
      </c>
      <c r="B835" s="9" t="s">
        <v>9</v>
      </c>
      <c r="C835" s="9">
        <v>1928</v>
      </c>
      <c r="D835" s="10">
        <v>45736</v>
      </c>
      <c r="E835" s="11" t="str">
        <f>+HYPERLINK("http://trademark.i-assist.jp/data/china/image_1928th/82543966.pdf","82543966")</f>
        <v>82543966</v>
      </c>
      <c r="F835" s="9" t="s">
        <v>2387</v>
      </c>
      <c r="G835" s="9" t="s">
        <v>2388</v>
      </c>
      <c r="H835" s="12" t="s">
        <v>2389</v>
      </c>
      <c r="I835" s="10">
        <v>45639</v>
      </c>
    </row>
    <row r="836" spans="1:9" x14ac:dyDescent="0.15">
      <c r="A836" s="9">
        <v>835</v>
      </c>
      <c r="B836" s="9" t="s">
        <v>9</v>
      </c>
      <c r="C836" s="9">
        <v>1928</v>
      </c>
      <c r="D836" s="10">
        <v>45736</v>
      </c>
      <c r="E836" s="11" t="str">
        <f>+HYPERLINK("http://trademark.i-assist.jp/data/china/image_1928th/82544167.pdf","82544167")</f>
        <v>82544167</v>
      </c>
      <c r="F836" s="9" t="s">
        <v>2390</v>
      </c>
      <c r="G836" s="9" t="s">
        <v>2247</v>
      </c>
      <c r="H836" s="9" t="s">
        <v>2391</v>
      </c>
      <c r="I836" s="10">
        <v>45639</v>
      </c>
    </row>
    <row r="837" spans="1:9" x14ac:dyDescent="0.15">
      <c r="A837" s="9">
        <v>836</v>
      </c>
      <c r="B837" s="9" t="s">
        <v>9</v>
      </c>
      <c r="C837" s="9">
        <v>1928</v>
      </c>
      <c r="D837" s="10">
        <v>45736</v>
      </c>
      <c r="E837" s="11" t="str">
        <f>+HYPERLINK("http://trademark.i-assist.jp/data/china/image_1928th/82544223.pdf","82544223")</f>
        <v>82544223</v>
      </c>
      <c r="F837" s="9" t="s">
        <v>2392</v>
      </c>
      <c r="G837" s="9" t="s">
        <v>2393</v>
      </c>
      <c r="H837" s="9" t="s">
        <v>2394</v>
      </c>
      <c r="I837" s="10">
        <v>45639</v>
      </c>
    </row>
    <row r="838" spans="1:9" x14ac:dyDescent="0.15">
      <c r="A838" s="9">
        <v>837</v>
      </c>
      <c r="B838" s="9" t="s">
        <v>9</v>
      </c>
      <c r="C838" s="9">
        <v>1928</v>
      </c>
      <c r="D838" s="10">
        <v>45736</v>
      </c>
      <c r="E838" s="11" t="str">
        <f>+HYPERLINK("http://trademark.i-assist.jp/data/china/image_1928th/82544238.pdf","82544238")</f>
        <v>82544238</v>
      </c>
      <c r="F838" s="9" t="s">
        <v>2395</v>
      </c>
      <c r="G838" s="9" t="s">
        <v>2393</v>
      </c>
      <c r="H838" s="9" t="s">
        <v>2396</v>
      </c>
      <c r="I838" s="10">
        <v>45639</v>
      </c>
    </row>
    <row r="839" spans="1:9" x14ac:dyDescent="0.15">
      <c r="A839" s="9">
        <v>838</v>
      </c>
      <c r="B839" s="9" t="s">
        <v>9</v>
      </c>
      <c r="C839" s="9">
        <v>1928</v>
      </c>
      <c r="D839" s="10">
        <v>45736</v>
      </c>
      <c r="E839" s="11" t="str">
        <f>+HYPERLINK("http://trademark.i-assist.jp/data/china/image_1928th/82544320.pdf","82544320")</f>
        <v>82544320</v>
      </c>
      <c r="F839" s="9" t="s">
        <v>2397</v>
      </c>
      <c r="G839" s="9" t="s">
        <v>2398</v>
      </c>
      <c r="H839" s="9" t="s">
        <v>2399</v>
      </c>
      <c r="I839" s="10">
        <v>45639</v>
      </c>
    </row>
    <row r="840" spans="1:9" x14ac:dyDescent="0.15">
      <c r="A840" s="9">
        <v>839</v>
      </c>
      <c r="B840" s="9" t="s">
        <v>9</v>
      </c>
      <c r="C840" s="9">
        <v>1928</v>
      </c>
      <c r="D840" s="10">
        <v>45736</v>
      </c>
      <c r="E840" s="11" t="str">
        <f>+HYPERLINK("http://trademark.i-assist.jp/data/china/image_1928th/82544349.pdf","82544349")</f>
        <v>82544349</v>
      </c>
      <c r="F840" s="12" t="s">
        <v>2400</v>
      </c>
      <c r="G840" s="9" t="s">
        <v>2401</v>
      </c>
      <c r="H840" s="9" t="s">
        <v>2402</v>
      </c>
      <c r="I840" s="10">
        <v>45639</v>
      </c>
    </row>
    <row r="841" spans="1:9" x14ac:dyDescent="0.15">
      <c r="A841" s="9">
        <v>840</v>
      </c>
      <c r="B841" s="9" t="s">
        <v>9</v>
      </c>
      <c r="C841" s="9">
        <v>1928</v>
      </c>
      <c r="D841" s="10">
        <v>45736</v>
      </c>
      <c r="E841" s="11" t="str">
        <f>+HYPERLINK("http://trademark.i-assist.jp/data/china/image_1928th/82544977.pdf","82544977")</f>
        <v>82544977</v>
      </c>
      <c r="F841" s="9" t="s">
        <v>2403</v>
      </c>
      <c r="G841" s="12" t="s">
        <v>2404</v>
      </c>
      <c r="H841" s="9" t="s">
        <v>2405</v>
      </c>
      <c r="I841" s="10">
        <v>45639</v>
      </c>
    </row>
    <row r="842" spans="1:9" x14ac:dyDescent="0.15">
      <c r="A842" s="9">
        <v>841</v>
      </c>
      <c r="B842" s="9" t="s">
        <v>9</v>
      </c>
      <c r="C842" s="9">
        <v>1928</v>
      </c>
      <c r="D842" s="10">
        <v>45736</v>
      </c>
      <c r="E842" s="11" t="str">
        <f>+HYPERLINK("http://trademark.i-assist.jp/data/china/image_1928th/82545375.pdf","82545375")</f>
        <v>82545375</v>
      </c>
      <c r="F842" s="9" t="s">
        <v>2406</v>
      </c>
      <c r="G842" s="12" t="s">
        <v>2318</v>
      </c>
      <c r="H842" s="9" t="s">
        <v>2407</v>
      </c>
      <c r="I842" s="10">
        <v>45639</v>
      </c>
    </row>
    <row r="843" spans="1:9" x14ac:dyDescent="0.15">
      <c r="A843" s="9">
        <v>842</v>
      </c>
      <c r="B843" s="9" t="s">
        <v>9</v>
      </c>
      <c r="C843" s="9">
        <v>1928</v>
      </c>
      <c r="D843" s="10">
        <v>45736</v>
      </c>
      <c r="E843" s="11" t="str">
        <f>+HYPERLINK("http://trademark.i-assist.jp/data/china/image_1928th/82545393.pdf","82545393")</f>
        <v>82545393</v>
      </c>
      <c r="F843" s="12" t="s">
        <v>2408</v>
      </c>
      <c r="G843" s="9" t="s">
        <v>2409</v>
      </c>
      <c r="H843" s="9" t="s">
        <v>2410</v>
      </c>
      <c r="I843" s="10">
        <v>45639</v>
      </c>
    </row>
    <row r="844" spans="1:9" x14ac:dyDescent="0.15">
      <c r="A844" s="9">
        <v>843</v>
      </c>
      <c r="B844" s="9" t="s">
        <v>9</v>
      </c>
      <c r="C844" s="9">
        <v>1928</v>
      </c>
      <c r="D844" s="10">
        <v>45736</v>
      </c>
      <c r="E844" s="11" t="str">
        <f>+HYPERLINK("http://trademark.i-assist.jp/data/china/image_1928th/82545417.pdf","82545417")</f>
        <v>82545417</v>
      </c>
      <c r="F844" s="9" t="s">
        <v>2411</v>
      </c>
      <c r="G844" s="9" t="s">
        <v>2412</v>
      </c>
      <c r="H844" s="9" t="s">
        <v>2413</v>
      </c>
      <c r="I844" s="10">
        <v>45639</v>
      </c>
    </row>
    <row r="845" spans="1:9" x14ac:dyDescent="0.15">
      <c r="A845" s="9">
        <v>844</v>
      </c>
      <c r="B845" s="9" t="s">
        <v>9</v>
      </c>
      <c r="C845" s="9">
        <v>1928</v>
      </c>
      <c r="D845" s="10">
        <v>45736</v>
      </c>
      <c r="E845" s="11" t="str">
        <f>+HYPERLINK("http://trademark.i-assist.jp/data/china/image_1928th/82546601.pdf","82546601")</f>
        <v>82546601</v>
      </c>
      <c r="F845" s="9" t="s">
        <v>2414</v>
      </c>
      <c r="G845" s="9" t="s">
        <v>2415</v>
      </c>
      <c r="H845" s="9" t="s">
        <v>2416</v>
      </c>
      <c r="I845" s="10">
        <v>45639</v>
      </c>
    </row>
    <row r="846" spans="1:9" x14ac:dyDescent="0.15">
      <c r="A846" s="9">
        <v>845</v>
      </c>
      <c r="B846" s="9" t="s">
        <v>9</v>
      </c>
      <c r="C846" s="9">
        <v>1928</v>
      </c>
      <c r="D846" s="10">
        <v>45736</v>
      </c>
      <c r="E846" s="11" t="str">
        <f>+HYPERLINK("http://trademark.i-assist.jp/data/china/image_1928th/82546682.pdf","82546682")</f>
        <v>82546682</v>
      </c>
      <c r="F846" s="9" t="s">
        <v>2417</v>
      </c>
      <c r="G846" s="12" t="s">
        <v>2418</v>
      </c>
      <c r="H846" s="9" t="s">
        <v>2419</v>
      </c>
      <c r="I846" s="10">
        <v>45639</v>
      </c>
    </row>
    <row r="847" spans="1:9" x14ac:dyDescent="0.15">
      <c r="A847" s="9">
        <v>846</v>
      </c>
      <c r="B847" s="9" t="s">
        <v>9</v>
      </c>
      <c r="C847" s="9">
        <v>1928</v>
      </c>
      <c r="D847" s="10">
        <v>45736</v>
      </c>
      <c r="E847" s="11" t="str">
        <f>+HYPERLINK("http://trademark.i-assist.jp/data/china/image_1928th/82546796.pdf","82546796")</f>
        <v>82546796</v>
      </c>
      <c r="F847" s="9" t="s">
        <v>2420</v>
      </c>
      <c r="G847" s="12" t="s">
        <v>2351</v>
      </c>
      <c r="H847" s="9" t="s">
        <v>2421</v>
      </c>
      <c r="I847" s="10">
        <v>45639</v>
      </c>
    </row>
    <row r="848" spans="1:9" x14ac:dyDescent="0.15">
      <c r="A848" s="9">
        <v>847</v>
      </c>
      <c r="B848" s="9" t="s">
        <v>9</v>
      </c>
      <c r="C848" s="9">
        <v>1928</v>
      </c>
      <c r="D848" s="10">
        <v>45736</v>
      </c>
      <c r="E848" s="11" t="str">
        <f>+HYPERLINK("http://trademark.i-assist.jp/data/china/image_1928th/82546877.pdf","82546877")</f>
        <v>82546877</v>
      </c>
      <c r="F848" s="9" t="s">
        <v>2422</v>
      </c>
      <c r="G848" s="9" t="s">
        <v>14</v>
      </c>
      <c r="H848" s="9" t="s">
        <v>2423</v>
      </c>
      <c r="I848" s="10">
        <v>45639</v>
      </c>
    </row>
    <row r="849" spans="1:9" x14ac:dyDescent="0.15">
      <c r="A849" s="9">
        <v>848</v>
      </c>
      <c r="B849" s="9" t="s">
        <v>9</v>
      </c>
      <c r="C849" s="9">
        <v>1928</v>
      </c>
      <c r="D849" s="10">
        <v>45736</v>
      </c>
      <c r="E849" s="11" t="str">
        <f>+HYPERLINK("http://trademark.i-assist.jp/data/china/image_1928th/82547747.pdf","82547747")</f>
        <v>82547747</v>
      </c>
      <c r="F849" s="9" t="s">
        <v>2424</v>
      </c>
      <c r="G849" s="9" t="s">
        <v>2332</v>
      </c>
      <c r="H849" s="9" t="s">
        <v>2425</v>
      </c>
      <c r="I849" s="10">
        <v>45639</v>
      </c>
    </row>
    <row r="850" spans="1:9" x14ac:dyDescent="0.15">
      <c r="A850" s="9">
        <v>849</v>
      </c>
      <c r="B850" s="9" t="s">
        <v>9</v>
      </c>
      <c r="C850" s="9">
        <v>1928</v>
      </c>
      <c r="D850" s="10">
        <v>45736</v>
      </c>
      <c r="E850" s="11" t="str">
        <f>+HYPERLINK("http://trademark.i-assist.jp/data/china/image_1928th/82548211.pdf","82548211")</f>
        <v>82548211</v>
      </c>
      <c r="F850" s="12" t="s">
        <v>2426</v>
      </c>
      <c r="G850" s="9" t="s">
        <v>2427</v>
      </c>
      <c r="H850" s="12" t="s">
        <v>2428</v>
      </c>
      <c r="I850" s="10">
        <v>45639</v>
      </c>
    </row>
    <row r="851" spans="1:9" x14ac:dyDescent="0.15">
      <c r="A851" s="9">
        <v>850</v>
      </c>
      <c r="B851" s="9" t="s">
        <v>9</v>
      </c>
      <c r="C851" s="9">
        <v>1928</v>
      </c>
      <c r="D851" s="10">
        <v>45736</v>
      </c>
      <c r="E851" s="11" t="str">
        <f>+HYPERLINK("http://trademark.i-assist.jp/data/china/image_1928th/82548290.pdf","82548290")</f>
        <v>82548290</v>
      </c>
      <c r="F851" s="9" t="s">
        <v>2429</v>
      </c>
      <c r="G851" s="9" t="s">
        <v>1057</v>
      </c>
      <c r="H851" s="9" t="s">
        <v>2430</v>
      </c>
      <c r="I851" s="10">
        <v>45639</v>
      </c>
    </row>
    <row r="852" spans="1:9" x14ac:dyDescent="0.15">
      <c r="A852" s="9">
        <v>851</v>
      </c>
      <c r="B852" s="9" t="s">
        <v>9</v>
      </c>
      <c r="C852" s="9">
        <v>1928</v>
      </c>
      <c r="D852" s="10">
        <v>45736</v>
      </c>
      <c r="E852" s="11" t="str">
        <f>+HYPERLINK("http://trademark.i-assist.jp/data/china/image_1928th/82548317.pdf","82548317")</f>
        <v>82548317</v>
      </c>
      <c r="F852" s="9" t="s">
        <v>2431</v>
      </c>
      <c r="G852" s="9" t="s">
        <v>1167</v>
      </c>
      <c r="H852" s="9" t="s">
        <v>2432</v>
      </c>
      <c r="I852" s="10">
        <v>45639</v>
      </c>
    </row>
    <row r="853" spans="1:9" x14ac:dyDescent="0.15">
      <c r="A853" s="9">
        <v>852</v>
      </c>
      <c r="B853" s="9" t="s">
        <v>9</v>
      </c>
      <c r="C853" s="9">
        <v>1928</v>
      </c>
      <c r="D853" s="10">
        <v>45736</v>
      </c>
      <c r="E853" s="11" t="str">
        <f>+HYPERLINK("http://trademark.i-assist.jp/data/china/image_1928th/82548378.pdf","82548378")</f>
        <v>82548378</v>
      </c>
      <c r="F853" s="9" t="s">
        <v>2232</v>
      </c>
      <c r="G853" s="12" t="s">
        <v>2233</v>
      </c>
      <c r="H853" s="9" t="s">
        <v>2433</v>
      </c>
      <c r="I853" s="10">
        <v>45639</v>
      </c>
    </row>
    <row r="854" spans="1:9" x14ac:dyDescent="0.15">
      <c r="A854" s="9">
        <v>853</v>
      </c>
      <c r="B854" s="9" t="s">
        <v>9</v>
      </c>
      <c r="C854" s="9">
        <v>1928</v>
      </c>
      <c r="D854" s="10">
        <v>45736</v>
      </c>
      <c r="E854" s="11" t="str">
        <f>+HYPERLINK("http://trademark.i-assist.jp/data/china/image_1928th/82548417.pdf","82548417")</f>
        <v>82548417</v>
      </c>
      <c r="F854" s="12" t="s">
        <v>2434</v>
      </c>
      <c r="G854" s="12" t="s">
        <v>2435</v>
      </c>
      <c r="H854" s="9" t="s">
        <v>2436</v>
      </c>
      <c r="I854" s="10">
        <v>45639</v>
      </c>
    </row>
    <row r="855" spans="1:9" x14ac:dyDescent="0.15">
      <c r="A855" s="9">
        <v>854</v>
      </c>
      <c r="B855" s="9" t="s">
        <v>9</v>
      </c>
      <c r="C855" s="9">
        <v>1928</v>
      </c>
      <c r="D855" s="10">
        <v>45736</v>
      </c>
      <c r="E855" s="11" t="str">
        <f>+HYPERLINK("http://trademark.i-assist.jp/data/china/image_1928th/82548528.pdf","82548528")</f>
        <v>82548528</v>
      </c>
      <c r="F855" s="9" t="s">
        <v>2437</v>
      </c>
      <c r="G855" s="9" t="s">
        <v>2438</v>
      </c>
      <c r="H855" s="9" t="s">
        <v>2439</v>
      </c>
      <c r="I855" s="10">
        <v>45639</v>
      </c>
    </row>
    <row r="856" spans="1:9" x14ac:dyDescent="0.15">
      <c r="A856" s="9">
        <v>855</v>
      </c>
      <c r="B856" s="9" t="s">
        <v>9</v>
      </c>
      <c r="C856" s="9">
        <v>1928</v>
      </c>
      <c r="D856" s="10">
        <v>45736</v>
      </c>
      <c r="E856" s="11" t="str">
        <f>+HYPERLINK("http://trademark.i-assist.jp/data/china/image_1928th/82548598.pdf","82548598")</f>
        <v>82548598</v>
      </c>
      <c r="F856" s="9" t="s">
        <v>2440</v>
      </c>
      <c r="G856" s="9" t="s">
        <v>2267</v>
      </c>
      <c r="H856" s="9" t="s">
        <v>2441</v>
      </c>
      <c r="I856" s="10">
        <v>45639</v>
      </c>
    </row>
    <row r="857" spans="1:9" x14ac:dyDescent="0.15">
      <c r="A857" s="9">
        <v>856</v>
      </c>
      <c r="B857" s="9" t="s">
        <v>9</v>
      </c>
      <c r="C857" s="9">
        <v>1928</v>
      </c>
      <c r="D857" s="10">
        <v>45736</v>
      </c>
      <c r="E857" s="11" t="str">
        <f>+HYPERLINK("http://trademark.i-assist.jp/data/china/image_1928th/82549170.pdf","82549170")</f>
        <v>82549170</v>
      </c>
      <c r="F857" s="9" t="s">
        <v>2442</v>
      </c>
      <c r="G857" s="9" t="s">
        <v>2443</v>
      </c>
      <c r="H857" s="9" t="s">
        <v>2444</v>
      </c>
      <c r="I857" s="10">
        <v>45639</v>
      </c>
    </row>
    <row r="858" spans="1:9" x14ac:dyDescent="0.15">
      <c r="A858" s="9">
        <v>857</v>
      </c>
      <c r="B858" s="9" t="s">
        <v>9</v>
      </c>
      <c r="C858" s="9">
        <v>1928</v>
      </c>
      <c r="D858" s="10">
        <v>45736</v>
      </c>
      <c r="E858" s="11" t="str">
        <f>+HYPERLINK("http://trademark.i-assist.jp/data/china/image_1928th/82549265.pdf","82549265")</f>
        <v>82549265</v>
      </c>
      <c r="F858" s="9" t="s">
        <v>2445</v>
      </c>
      <c r="G858" s="12" t="s">
        <v>2446</v>
      </c>
      <c r="H858" s="9" t="s">
        <v>2447</v>
      </c>
      <c r="I858" s="10">
        <v>45639</v>
      </c>
    </row>
    <row r="859" spans="1:9" x14ac:dyDescent="0.15">
      <c r="A859" s="9">
        <v>858</v>
      </c>
      <c r="B859" s="9" t="s">
        <v>9</v>
      </c>
      <c r="C859" s="9">
        <v>1928</v>
      </c>
      <c r="D859" s="10">
        <v>45736</v>
      </c>
      <c r="E859" s="11" t="str">
        <f>+HYPERLINK("http://trademark.i-assist.jp/data/china/image_1928th/82549714.pdf","82549714")</f>
        <v>82549714</v>
      </c>
      <c r="F859" s="9" t="s">
        <v>2448</v>
      </c>
      <c r="G859" s="9" t="s">
        <v>2449</v>
      </c>
      <c r="H859" s="12" t="s">
        <v>2450</v>
      </c>
      <c r="I859" s="10">
        <v>45639</v>
      </c>
    </row>
    <row r="860" spans="1:9" x14ac:dyDescent="0.15">
      <c r="A860" s="9">
        <v>859</v>
      </c>
      <c r="B860" s="9" t="s">
        <v>9</v>
      </c>
      <c r="C860" s="9">
        <v>1928</v>
      </c>
      <c r="D860" s="10">
        <v>45736</v>
      </c>
      <c r="E860" s="11" t="str">
        <f>+HYPERLINK("http://trademark.i-assist.jp/data/china/image_1928th/82550331.pdf","82550331")</f>
        <v>82550331</v>
      </c>
      <c r="F860" s="9" t="s">
        <v>2451</v>
      </c>
      <c r="G860" s="12" t="s">
        <v>2288</v>
      </c>
      <c r="H860" s="9" t="s">
        <v>2452</v>
      </c>
      <c r="I860" s="10">
        <v>45639</v>
      </c>
    </row>
    <row r="861" spans="1:9" x14ac:dyDescent="0.15">
      <c r="A861" s="9">
        <v>860</v>
      </c>
      <c r="B861" s="9" t="s">
        <v>9</v>
      </c>
      <c r="C861" s="9">
        <v>1928</v>
      </c>
      <c r="D861" s="10">
        <v>45736</v>
      </c>
      <c r="E861" s="11" t="str">
        <f>+HYPERLINK("http://trademark.i-assist.jp/data/china/image_1928th/82550436.pdf","82550436")</f>
        <v>82550436</v>
      </c>
      <c r="F861" s="12" t="s">
        <v>2453</v>
      </c>
      <c r="G861" s="12" t="s">
        <v>2454</v>
      </c>
      <c r="H861" s="9" t="s">
        <v>2455</v>
      </c>
      <c r="I861" s="10">
        <v>45639</v>
      </c>
    </row>
    <row r="862" spans="1:9" x14ac:dyDescent="0.15">
      <c r="A862" s="9">
        <v>861</v>
      </c>
      <c r="B862" s="9" t="s">
        <v>9</v>
      </c>
      <c r="C862" s="9">
        <v>1928</v>
      </c>
      <c r="D862" s="10">
        <v>45736</v>
      </c>
      <c r="E862" s="11" t="str">
        <f>+HYPERLINK("http://trademark.i-assist.jp/data/china/image_1928th/82550507.pdf","82550507")</f>
        <v>82550507</v>
      </c>
      <c r="F862" s="9" t="s">
        <v>2456</v>
      </c>
      <c r="G862" s="9" t="s">
        <v>2457</v>
      </c>
      <c r="H862" s="9" t="s">
        <v>2458</v>
      </c>
      <c r="I862" s="10">
        <v>45639</v>
      </c>
    </row>
    <row r="863" spans="1:9" x14ac:dyDescent="0.15">
      <c r="A863" s="9">
        <v>862</v>
      </c>
      <c r="B863" s="9" t="s">
        <v>9</v>
      </c>
      <c r="C863" s="9">
        <v>1928</v>
      </c>
      <c r="D863" s="10">
        <v>45736</v>
      </c>
      <c r="E863" s="11" t="str">
        <f>+HYPERLINK("http://trademark.i-assist.jp/data/china/image_1928th/82550544.pdf","82550544")</f>
        <v>82550544</v>
      </c>
      <c r="F863" s="9" t="s">
        <v>2459</v>
      </c>
      <c r="G863" s="9" t="s">
        <v>2460</v>
      </c>
      <c r="H863" s="9" t="s">
        <v>2461</v>
      </c>
      <c r="I863" s="10">
        <v>45640</v>
      </c>
    </row>
    <row r="864" spans="1:9" x14ac:dyDescent="0.15">
      <c r="A864" s="9">
        <v>863</v>
      </c>
      <c r="B864" s="9" t="s">
        <v>9</v>
      </c>
      <c r="C864" s="9">
        <v>1928</v>
      </c>
      <c r="D864" s="10">
        <v>45736</v>
      </c>
      <c r="E864" s="11" t="str">
        <f>+HYPERLINK("http://trademark.i-assist.jp/data/china/image_1928th/82550610.pdf","82550610")</f>
        <v>82550610</v>
      </c>
      <c r="F864" s="9" t="s">
        <v>2462</v>
      </c>
      <c r="G864" s="12" t="s">
        <v>2463</v>
      </c>
      <c r="H864" s="9" t="s">
        <v>2464</v>
      </c>
      <c r="I864" s="10">
        <v>45640</v>
      </c>
    </row>
    <row r="865" spans="1:9" x14ac:dyDescent="0.15">
      <c r="A865" s="9">
        <v>864</v>
      </c>
      <c r="B865" s="9" t="s">
        <v>9</v>
      </c>
      <c r="C865" s="9">
        <v>1928</v>
      </c>
      <c r="D865" s="10">
        <v>45736</v>
      </c>
      <c r="E865" s="11" t="str">
        <f>+HYPERLINK("http://trademark.i-assist.jp/data/china/image_1928th/82551664.pdf","82551664")</f>
        <v>82551664</v>
      </c>
      <c r="F865" s="12" t="s">
        <v>2465</v>
      </c>
      <c r="G865" s="12" t="s">
        <v>2466</v>
      </c>
      <c r="H865" s="9" t="s">
        <v>2467</v>
      </c>
      <c r="I865" s="10">
        <v>45641</v>
      </c>
    </row>
    <row r="866" spans="1:9" x14ac:dyDescent="0.15">
      <c r="A866" s="9">
        <v>865</v>
      </c>
      <c r="B866" s="9" t="s">
        <v>9</v>
      </c>
      <c r="C866" s="9">
        <v>1928</v>
      </c>
      <c r="D866" s="10">
        <v>45736</v>
      </c>
      <c r="E866" s="11" t="str">
        <f>+HYPERLINK("http://trademark.i-assist.jp/data/china/image_1928th/82551987.pdf","82551987")</f>
        <v>82551987</v>
      </c>
      <c r="F866" s="12" t="s">
        <v>2468</v>
      </c>
      <c r="G866" s="12" t="s">
        <v>2469</v>
      </c>
      <c r="H866" s="9" t="s">
        <v>2470</v>
      </c>
      <c r="I866" s="10">
        <v>45641</v>
      </c>
    </row>
    <row r="867" spans="1:9" x14ac:dyDescent="0.15">
      <c r="A867" s="9">
        <v>866</v>
      </c>
      <c r="B867" s="9" t="s">
        <v>9</v>
      </c>
      <c r="C867" s="9">
        <v>1928</v>
      </c>
      <c r="D867" s="10">
        <v>45736</v>
      </c>
      <c r="E867" s="11" t="str">
        <f>+HYPERLINK("http://trademark.i-assist.jp/data/china/image_1928th/82552180.pdf","82552180")</f>
        <v>82552180</v>
      </c>
      <c r="F867" s="12" t="s">
        <v>2471</v>
      </c>
      <c r="G867" s="9" t="s">
        <v>2472</v>
      </c>
      <c r="H867" s="9" t="s">
        <v>2473</v>
      </c>
      <c r="I867" s="10">
        <v>45641</v>
      </c>
    </row>
    <row r="868" spans="1:9" x14ac:dyDescent="0.15">
      <c r="A868" s="9">
        <v>867</v>
      </c>
      <c r="B868" s="9" t="s">
        <v>9</v>
      </c>
      <c r="C868" s="9">
        <v>1928</v>
      </c>
      <c r="D868" s="10">
        <v>45736</v>
      </c>
      <c r="E868" s="11" t="str">
        <f>+HYPERLINK("http://trademark.i-assist.jp/data/china/image_1928th/82552196.pdf","82552196")</f>
        <v>82552196</v>
      </c>
      <c r="F868" s="9" t="s">
        <v>2474</v>
      </c>
      <c r="G868" s="9" t="s">
        <v>2472</v>
      </c>
      <c r="H868" s="9" t="s">
        <v>2475</v>
      </c>
      <c r="I868" s="10">
        <v>45641</v>
      </c>
    </row>
    <row r="869" spans="1:9" x14ac:dyDescent="0.15">
      <c r="A869" s="9">
        <v>868</v>
      </c>
      <c r="B869" s="9" t="s">
        <v>9</v>
      </c>
      <c r="C869" s="9">
        <v>1928</v>
      </c>
      <c r="D869" s="10">
        <v>45736</v>
      </c>
      <c r="E869" s="11" t="str">
        <f>+HYPERLINK("http://trademark.i-assist.jp/data/china/image_1928th/82552575.pdf","82552575")</f>
        <v>82552575</v>
      </c>
      <c r="F869" s="9" t="s">
        <v>2476</v>
      </c>
      <c r="G869" s="12" t="s">
        <v>2477</v>
      </c>
      <c r="H869" s="9" t="s">
        <v>2478</v>
      </c>
      <c r="I869" s="10">
        <v>45642</v>
      </c>
    </row>
    <row r="870" spans="1:9" x14ac:dyDescent="0.15">
      <c r="A870" s="9">
        <v>869</v>
      </c>
      <c r="B870" s="9" t="s">
        <v>9</v>
      </c>
      <c r="C870" s="9">
        <v>1928</v>
      </c>
      <c r="D870" s="10">
        <v>45736</v>
      </c>
      <c r="E870" s="11" t="str">
        <f>+HYPERLINK("http://trademark.i-assist.jp/data/china/image_1928th/82553457.pdf","82553457")</f>
        <v>82553457</v>
      </c>
      <c r="F870" s="9" t="s">
        <v>2479</v>
      </c>
      <c r="G870" s="9" t="s">
        <v>2480</v>
      </c>
      <c r="H870" s="9" t="s">
        <v>2481</v>
      </c>
      <c r="I870" s="10">
        <v>45642</v>
      </c>
    </row>
    <row r="871" spans="1:9" x14ac:dyDescent="0.15">
      <c r="A871" s="9">
        <v>870</v>
      </c>
      <c r="B871" s="9" t="s">
        <v>9</v>
      </c>
      <c r="C871" s="9">
        <v>1928</v>
      </c>
      <c r="D871" s="10">
        <v>45736</v>
      </c>
      <c r="E871" s="11" t="str">
        <f>+HYPERLINK("http://trademark.i-assist.jp/data/china/image_1928th/82553524.pdf","82553524")</f>
        <v>82553524</v>
      </c>
      <c r="F871" s="12" t="s">
        <v>2482</v>
      </c>
      <c r="G871" s="9" t="s">
        <v>2483</v>
      </c>
      <c r="H871" s="9" t="s">
        <v>2484</v>
      </c>
      <c r="I871" s="10">
        <v>45642</v>
      </c>
    </row>
    <row r="872" spans="1:9" x14ac:dyDescent="0.15">
      <c r="A872" s="9">
        <v>871</v>
      </c>
      <c r="B872" s="9" t="s">
        <v>9</v>
      </c>
      <c r="C872" s="9">
        <v>1928</v>
      </c>
      <c r="D872" s="10">
        <v>45736</v>
      </c>
      <c r="E872" s="11" t="str">
        <f>+HYPERLINK("http://trademark.i-assist.jp/data/china/image_1928th/82553759.pdf","82553759")</f>
        <v>82553759</v>
      </c>
      <c r="F872" s="9" t="s">
        <v>2485</v>
      </c>
      <c r="G872" s="12" t="s">
        <v>2486</v>
      </c>
      <c r="H872" s="9" t="s">
        <v>2487</v>
      </c>
      <c r="I872" s="10">
        <v>45642</v>
      </c>
    </row>
    <row r="873" spans="1:9" x14ac:dyDescent="0.15">
      <c r="A873" s="9">
        <v>872</v>
      </c>
      <c r="B873" s="9" t="s">
        <v>9</v>
      </c>
      <c r="C873" s="9">
        <v>1928</v>
      </c>
      <c r="D873" s="10">
        <v>45736</v>
      </c>
      <c r="E873" s="11" t="str">
        <f>+HYPERLINK("http://trademark.i-assist.jp/data/china/image_1928th/82553914.pdf","82553914")</f>
        <v>82553914</v>
      </c>
      <c r="F873" s="9" t="s">
        <v>2488</v>
      </c>
      <c r="G873" s="12" t="s">
        <v>2489</v>
      </c>
      <c r="H873" s="9" t="s">
        <v>2490</v>
      </c>
      <c r="I873" s="10">
        <v>45642</v>
      </c>
    </row>
    <row r="874" spans="1:9" x14ac:dyDescent="0.15">
      <c r="A874" s="9">
        <v>873</v>
      </c>
      <c r="B874" s="9" t="s">
        <v>9</v>
      </c>
      <c r="C874" s="9">
        <v>1928</v>
      </c>
      <c r="D874" s="10">
        <v>45736</v>
      </c>
      <c r="E874" s="11" t="str">
        <f>+HYPERLINK("http://trademark.i-assist.jp/data/china/image_1928th/82554089.pdf","82554089")</f>
        <v>82554089</v>
      </c>
      <c r="F874" s="12" t="s">
        <v>2491</v>
      </c>
      <c r="G874" s="9" t="s">
        <v>2492</v>
      </c>
      <c r="H874" s="9" t="s">
        <v>2493</v>
      </c>
      <c r="I874" s="10">
        <v>45642</v>
      </c>
    </row>
    <row r="875" spans="1:9" x14ac:dyDescent="0.15">
      <c r="A875" s="9">
        <v>874</v>
      </c>
      <c r="B875" s="9" t="s">
        <v>9</v>
      </c>
      <c r="C875" s="9">
        <v>1928</v>
      </c>
      <c r="D875" s="10">
        <v>45736</v>
      </c>
      <c r="E875" s="11" t="str">
        <f>+HYPERLINK("http://trademark.i-assist.jp/data/china/image_1928th/82554106.pdf","82554106")</f>
        <v>82554106</v>
      </c>
      <c r="F875" s="9" t="s">
        <v>2494</v>
      </c>
      <c r="G875" s="12" t="s">
        <v>2495</v>
      </c>
      <c r="H875" s="12" t="s">
        <v>2496</v>
      </c>
      <c r="I875" s="10">
        <v>45642</v>
      </c>
    </row>
    <row r="876" spans="1:9" x14ac:dyDescent="0.15">
      <c r="A876" s="9">
        <v>875</v>
      </c>
      <c r="B876" s="9" t="s">
        <v>9</v>
      </c>
      <c r="C876" s="9">
        <v>1928</v>
      </c>
      <c r="D876" s="10">
        <v>45736</v>
      </c>
      <c r="E876" s="11" t="str">
        <f>+HYPERLINK("http://trademark.i-assist.jp/data/china/image_1928th/82554131.pdf","82554131")</f>
        <v>82554131</v>
      </c>
      <c r="F876" s="9" t="s">
        <v>2497</v>
      </c>
      <c r="G876" s="9" t="s">
        <v>2498</v>
      </c>
      <c r="H876" s="9" t="s">
        <v>2499</v>
      </c>
      <c r="I876" s="10">
        <v>45642</v>
      </c>
    </row>
    <row r="877" spans="1:9" x14ac:dyDescent="0.15">
      <c r="A877" s="9">
        <v>876</v>
      </c>
      <c r="B877" s="9" t="s">
        <v>9</v>
      </c>
      <c r="C877" s="9">
        <v>1928</v>
      </c>
      <c r="D877" s="10">
        <v>45736</v>
      </c>
      <c r="E877" s="11" t="str">
        <f>+HYPERLINK("http://trademark.i-assist.jp/data/china/image_1928th/82554135.pdf","82554135")</f>
        <v>82554135</v>
      </c>
      <c r="F877" s="9" t="s">
        <v>2500</v>
      </c>
      <c r="G877" s="9" t="s">
        <v>2501</v>
      </c>
      <c r="H877" s="9" t="s">
        <v>2502</v>
      </c>
      <c r="I877" s="10">
        <v>45642</v>
      </c>
    </row>
    <row r="878" spans="1:9" x14ac:dyDescent="0.15">
      <c r="A878" s="9">
        <v>877</v>
      </c>
      <c r="B878" s="9" t="s">
        <v>9</v>
      </c>
      <c r="C878" s="9">
        <v>1928</v>
      </c>
      <c r="D878" s="10">
        <v>45736</v>
      </c>
      <c r="E878" s="11" t="str">
        <f>+HYPERLINK("http://trademark.i-assist.jp/data/china/image_1928th/82554262.pdf","82554262")</f>
        <v>82554262</v>
      </c>
      <c r="F878" s="9" t="s">
        <v>2503</v>
      </c>
      <c r="G878" s="12" t="s">
        <v>2504</v>
      </c>
      <c r="H878" s="9" t="s">
        <v>2505</v>
      </c>
      <c r="I878" s="10">
        <v>45642</v>
      </c>
    </row>
    <row r="879" spans="1:9" x14ac:dyDescent="0.15">
      <c r="A879" s="9">
        <v>878</v>
      </c>
      <c r="B879" s="9" t="s">
        <v>9</v>
      </c>
      <c r="C879" s="9">
        <v>1928</v>
      </c>
      <c r="D879" s="10">
        <v>45736</v>
      </c>
      <c r="E879" s="11" t="str">
        <f>+HYPERLINK("http://trademark.i-assist.jp/data/china/image_1928th/82554351.pdf","82554351")</f>
        <v>82554351</v>
      </c>
      <c r="F879" s="9" t="s">
        <v>2506</v>
      </c>
      <c r="G879" s="9" t="s">
        <v>27</v>
      </c>
      <c r="H879" s="9" t="s">
        <v>2507</v>
      </c>
      <c r="I879" s="10">
        <v>45642</v>
      </c>
    </row>
    <row r="880" spans="1:9" x14ac:dyDescent="0.15">
      <c r="A880" s="9">
        <v>879</v>
      </c>
      <c r="B880" s="9" t="s">
        <v>9</v>
      </c>
      <c r="C880" s="9">
        <v>1928</v>
      </c>
      <c r="D880" s="10">
        <v>45736</v>
      </c>
      <c r="E880" s="11" t="str">
        <f>+HYPERLINK("http://trademark.i-assist.jp/data/china/image_1928th/82554524.pdf","82554524")</f>
        <v>82554524</v>
      </c>
      <c r="F880" s="12" t="s">
        <v>2508</v>
      </c>
      <c r="G880" s="9" t="s">
        <v>2509</v>
      </c>
      <c r="H880" s="9" t="s">
        <v>2510</v>
      </c>
      <c r="I880" s="10">
        <v>45642</v>
      </c>
    </row>
    <row r="881" spans="1:9" x14ac:dyDescent="0.15">
      <c r="A881" s="9">
        <v>880</v>
      </c>
      <c r="B881" s="9" t="s">
        <v>9</v>
      </c>
      <c r="C881" s="9">
        <v>1928</v>
      </c>
      <c r="D881" s="10">
        <v>45736</v>
      </c>
      <c r="E881" s="11" t="str">
        <f>+HYPERLINK("http://trademark.i-assist.jp/data/china/image_1928th/82554577.pdf","82554577")</f>
        <v>82554577</v>
      </c>
      <c r="F881" s="12" t="s">
        <v>2511</v>
      </c>
      <c r="G881" s="12" t="s">
        <v>78</v>
      </c>
      <c r="H881" s="9" t="s">
        <v>2512</v>
      </c>
      <c r="I881" s="10">
        <v>45642</v>
      </c>
    </row>
    <row r="882" spans="1:9" x14ac:dyDescent="0.15">
      <c r="A882" s="9">
        <v>881</v>
      </c>
      <c r="B882" s="9" t="s">
        <v>9</v>
      </c>
      <c r="C882" s="9">
        <v>1928</v>
      </c>
      <c r="D882" s="10">
        <v>45736</v>
      </c>
      <c r="E882" s="11" t="str">
        <f>+HYPERLINK("http://trademark.i-assist.jp/data/china/image_1928th/82554668.pdf","82554668")</f>
        <v>82554668</v>
      </c>
      <c r="F882" s="12" t="s">
        <v>2513</v>
      </c>
      <c r="G882" s="12" t="s">
        <v>2514</v>
      </c>
      <c r="H882" s="9" t="s">
        <v>2515</v>
      </c>
      <c r="I882" s="10">
        <v>45642</v>
      </c>
    </row>
    <row r="883" spans="1:9" x14ac:dyDescent="0.15">
      <c r="A883" s="9">
        <v>882</v>
      </c>
      <c r="B883" s="9" t="s">
        <v>9</v>
      </c>
      <c r="C883" s="9">
        <v>1928</v>
      </c>
      <c r="D883" s="10">
        <v>45736</v>
      </c>
      <c r="E883" s="11" t="str">
        <f>+HYPERLINK("http://trademark.i-assist.jp/data/china/image_1928th/82554695.pdf","82554695")</f>
        <v>82554695</v>
      </c>
      <c r="F883" s="9" t="s">
        <v>2516</v>
      </c>
      <c r="G883" s="12" t="s">
        <v>2517</v>
      </c>
      <c r="H883" s="9" t="s">
        <v>2518</v>
      </c>
      <c r="I883" s="10">
        <v>45642</v>
      </c>
    </row>
    <row r="884" spans="1:9" x14ac:dyDescent="0.15">
      <c r="A884" s="9">
        <v>883</v>
      </c>
      <c r="B884" s="9" t="s">
        <v>9</v>
      </c>
      <c r="C884" s="9">
        <v>1928</v>
      </c>
      <c r="D884" s="10">
        <v>45736</v>
      </c>
      <c r="E884" s="11" t="str">
        <f>+HYPERLINK("http://trademark.i-assist.jp/data/china/image_1928th/82554698.pdf","82554698")</f>
        <v>82554698</v>
      </c>
      <c r="F884" s="9" t="s">
        <v>2519</v>
      </c>
      <c r="G884" s="9" t="s">
        <v>38</v>
      </c>
      <c r="H884" s="9" t="s">
        <v>2520</v>
      </c>
      <c r="I884" s="10">
        <v>45642</v>
      </c>
    </row>
    <row r="885" spans="1:9" x14ac:dyDescent="0.15">
      <c r="A885" s="9">
        <v>884</v>
      </c>
      <c r="B885" s="9" t="s">
        <v>9</v>
      </c>
      <c r="C885" s="9">
        <v>1928</v>
      </c>
      <c r="D885" s="10">
        <v>45736</v>
      </c>
      <c r="E885" s="11" t="str">
        <f>+HYPERLINK("http://trademark.i-assist.jp/data/china/image_1928th/82554757.pdf","82554757")</f>
        <v>82554757</v>
      </c>
      <c r="F885" s="12" t="s">
        <v>2521</v>
      </c>
      <c r="G885" s="9" t="s">
        <v>2522</v>
      </c>
      <c r="H885" s="9" t="s">
        <v>2523</v>
      </c>
      <c r="I885" s="10">
        <v>45642</v>
      </c>
    </row>
    <row r="886" spans="1:9" x14ac:dyDescent="0.15">
      <c r="A886" s="9">
        <v>885</v>
      </c>
      <c r="B886" s="9" t="s">
        <v>9</v>
      </c>
      <c r="C886" s="9">
        <v>1928</v>
      </c>
      <c r="D886" s="10">
        <v>45736</v>
      </c>
      <c r="E886" s="11" t="str">
        <f>+HYPERLINK("http://trademark.i-assist.jp/data/china/image_1928th/82554815.pdf","82554815")</f>
        <v>82554815</v>
      </c>
      <c r="F886" s="9" t="s">
        <v>2524</v>
      </c>
      <c r="G886" s="9" t="s">
        <v>2525</v>
      </c>
      <c r="H886" s="9" t="s">
        <v>2526</v>
      </c>
      <c r="I886" s="10">
        <v>45642</v>
      </c>
    </row>
    <row r="887" spans="1:9" x14ac:dyDescent="0.15">
      <c r="A887" s="9">
        <v>886</v>
      </c>
      <c r="B887" s="9" t="s">
        <v>9</v>
      </c>
      <c r="C887" s="9">
        <v>1928</v>
      </c>
      <c r="D887" s="10">
        <v>45736</v>
      </c>
      <c r="E887" s="11" t="str">
        <f>+HYPERLINK("http://trademark.i-assist.jp/data/china/image_1928th/82554891.pdf","82554891")</f>
        <v>82554891</v>
      </c>
      <c r="F887" s="12" t="s">
        <v>2527</v>
      </c>
      <c r="G887" s="9" t="s">
        <v>2528</v>
      </c>
      <c r="H887" s="9" t="s">
        <v>2529</v>
      </c>
      <c r="I887" s="10">
        <v>45642</v>
      </c>
    </row>
    <row r="888" spans="1:9" x14ac:dyDescent="0.15">
      <c r="A888" s="9">
        <v>887</v>
      </c>
      <c r="B888" s="9" t="s">
        <v>9</v>
      </c>
      <c r="C888" s="9">
        <v>1928</v>
      </c>
      <c r="D888" s="10">
        <v>45736</v>
      </c>
      <c r="E888" s="11" t="str">
        <f>+HYPERLINK("http://trademark.i-assist.jp/data/china/image_1928th/82555317.pdf","82555317")</f>
        <v>82555317</v>
      </c>
      <c r="F888" s="9" t="s">
        <v>2530</v>
      </c>
      <c r="G888" s="9" t="s">
        <v>2531</v>
      </c>
      <c r="H888" s="9" t="s">
        <v>2532</v>
      </c>
      <c r="I888" s="10">
        <v>45642</v>
      </c>
    </row>
    <row r="889" spans="1:9" x14ac:dyDescent="0.15">
      <c r="A889" s="9">
        <v>888</v>
      </c>
      <c r="B889" s="9" t="s">
        <v>9</v>
      </c>
      <c r="C889" s="9">
        <v>1928</v>
      </c>
      <c r="D889" s="10">
        <v>45736</v>
      </c>
      <c r="E889" s="11" t="str">
        <f>+HYPERLINK("http://trademark.i-assist.jp/data/china/image_1928th/82555641.pdf","82555641")</f>
        <v>82555641</v>
      </c>
      <c r="F889" s="9" t="s">
        <v>2533</v>
      </c>
      <c r="G889" s="9" t="s">
        <v>2534</v>
      </c>
      <c r="H889" s="9" t="s">
        <v>2535</v>
      </c>
      <c r="I889" s="10">
        <v>45642</v>
      </c>
    </row>
    <row r="890" spans="1:9" x14ac:dyDescent="0.15">
      <c r="A890" s="9">
        <v>889</v>
      </c>
      <c r="B890" s="9" t="s">
        <v>9</v>
      </c>
      <c r="C890" s="9">
        <v>1928</v>
      </c>
      <c r="D890" s="10">
        <v>45736</v>
      </c>
      <c r="E890" s="11" t="str">
        <f>+HYPERLINK("http://trademark.i-assist.jp/data/china/image_1928th/82555643.pdf","82555643")</f>
        <v>82555643</v>
      </c>
      <c r="F890" s="9" t="s">
        <v>2536</v>
      </c>
      <c r="G890" s="9" t="s">
        <v>2537</v>
      </c>
      <c r="H890" s="9" t="s">
        <v>2538</v>
      </c>
      <c r="I890" s="10">
        <v>45642</v>
      </c>
    </row>
    <row r="891" spans="1:9" x14ac:dyDescent="0.15">
      <c r="A891" s="9">
        <v>890</v>
      </c>
      <c r="B891" s="9" t="s">
        <v>9</v>
      </c>
      <c r="C891" s="9">
        <v>1928</v>
      </c>
      <c r="D891" s="10">
        <v>45736</v>
      </c>
      <c r="E891" s="11" t="str">
        <f>+HYPERLINK("http://trademark.i-assist.jp/data/china/image_1928th/82556027.pdf","82556027")</f>
        <v>82556027</v>
      </c>
      <c r="F891" s="9" t="s">
        <v>2539</v>
      </c>
      <c r="G891" s="9" t="s">
        <v>2472</v>
      </c>
      <c r="H891" s="9" t="s">
        <v>2540</v>
      </c>
      <c r="I891" s="10">
        <v>45641</v>
      </c>
    </row>
    <row r="892" spans="1:9" x14ac:dyDescent="0.15">
      <c r="A892" s="9">
        <v>891</v>
      </c>
      <c r="B892" s="9" t="s">
        <v>9</v>
      </c>
      <c r="C892" s="9">
        <v>1928</v>
      </c>
      <c r="D892" s="10">
        <v>45736</v>
      </c>
      <c r="E892" s="11" t="str">
        <f>+HYPERLINK("http://trademark.i-assist.jp/data/china/image_1928th/82556927.pdf","82556927")</f>
        <v>82556927</v>
      </c>
      <c r="F892" s="9" t="s">
        <v>2541</v>
      </c>
      <c r="G892" s="12" t="s">
        <v>78</v>
      </c>
      <c r="H892" s="9" t="s">
        <v>2542</v>
      </c>
      <c r="I892" s="10">
        <v>45642</v>
      </c>
    </row>
    <row r="893" spans="1:9" x14ac:dyDescent="0.15">
      <c r="A893" s="9">
        <v>892</v>
      </c>
      <c r="B893" s="9" t="s">
        <v>9</v>
      </c>
      <c r="C893" s="9">
        <v>1928</v>
      </c>
      <c r="D893" s="10">
        <v>45736</v>
      </c>
      <c r="E893" s="11" t="str">
        <f>+HYPERLINK("http://trademark.i-assist.jp/data/china/image_1928th/82556974.pdf","82556974")</f>
        <v>82556974</v>
      </c>
      <c r="F893" s="9" t="s">
        <v>2543</v>
      </c>
      <c r="G893" s="12" t="s">
        <v>2544</v>
      </c>
      <c r="H893" s="9" t="s">
        <v>2545</v>
      </c>
      <c r="I893" s="10">
        <v>45642</v>
      </c>
    </row>
    <row r="894" spans="1:9" x14ac:dyDescent="0.15">
      <c r="A894" s="9">
        <v>893</v>
      </c>
      <c r="B894" s="9" t="s">
        <v>9</v>
      </c>
      <c r="C894" s="9">
        <v>1928</v>
      </c>
      <c r="D894" s="10">
        <v>45736</v>
      </c>
      <c r="E894" s="11" t="str">
        <f>+HYPERLINK("http://trademark.i-assist.jp/data/china/image_1928th/82557034.pdf","82557034")</f>
        <v>82557034</v>
      </c>
      <c r="F894" s="9" t="s">
        <v>2546</v>
      </c>
      <c r="G894" s="9" t="s">
        <v>2547</v>
      </c>
      <c r="H894" s="9" t="s">
        <v>2548</v>
      </c>
      <c r="I894" s="10">
        <v>45642</v>
      </c>
    </row>
    <row r="895" spans="1:9" x14ac:dyDescent="0.15">
      <c r="A895" s="9">
        <v>894</v>
      </c>
      <c r="B895" s="9" t="s">
        <v>9</v>
      </c>
      <c r="C895" s="9">
        <v>1928</v>
      </c>
      <c r="D895" s="10">
        <v>45736</v>
      </c>
      <c r="E895" s="11" t="str">
        <f>+HYPERLINK("http://trademark.i-assist.jp/data/china/image_1928th/82557087.pdf","82557087")</f>
        <v>82557087</v>
      </c>
      <c r="F895" s="9" t="s">
        <v>2549</v>
      </c>
      <c r="G895" s="9" t="s">
        <v>2550</v>
      </c>
      <c r="H895" s="9" t="s">
        <v>2551</v>
      </c>
      <c r="I895" s="10">
        <v>45642</v>
      </c>
    </row>
    <row r="896" spans="1:9" x14ac:dyDescent="0.15">
      <c r="A896" s="9">
        <v>895</v>
      </c>
      <c r="B896" s="9" t="s">
        <v>9</v>
      </c>
      <c r="C896" s="9">
        <v>1928</v>
      </c>
      <c r="D896" s="10">
        <v>45736</v>
      </c>
      <c r="E896" s="11" t="str">
        <f>+HYPERLINK("http://trademark.i-assist.jp/data/china/image_1928th/82557197.pdf","82557197")</f>
        <v>82557197</v>
      </c>
      <c r="F896" s="9" t="s">
        <v>2552</v>
      </c>
      <c r="G896" s="9" t="s">
        <v>2553</v>
      </c>
      <c r="H896" s="9" t="s">
        <v>2554</v>
      </c>
      <c r="I896" s="10">
        <v>45642</v>
      </c>
    </row>
    <row r="897" spans="1:9" x14ac:dyDescent="0.15">
      <c r="A897" s="9">
        <v>896</v>
      </c>
      <c r="B897" s="9" t="s">
        <v>9</v>
      </c>
      <c r="C897" s="9">
        <v>1928</v>
      </c>
      <c r="D897" s="10">
        <v>45736</v>
      </c>
      <c r="E897" s="11" t="str">
        <f>+HYPERLINK("http://trademark.i-assist.jp/data/china/image_1928th/82557333.pdf","82557333")</f>
        <v>82557333</v>
      </c>
      <c r="F897" s="13" t="s">
        <v>2555</v>
      </c>
      <c r="G897" s="12" t="s">
        <v>2556</v>
      </c>
      <c r="H897" s="9" t="s">
        <v>2557</v>
      </c>
      <c r="I897" s="10">
        <v>45642</v>
      </c>
    </row>
    <row r="898" spans="1:9" x14ac:dyDescent="0.15">
      <c r="A898" s="9">
        <v>897</v>
      </c>
      <c r="B898" s="9" t="s">
        <v>9</v>
      </c>
      <c r="C898" s="9">
        <v>1928</v>
      </c>
      <c r="D898" s="10">
        <v>45736</v>
      </c>
      <c r="E898" s="11" t="str">
        <f>+HYPERLINK("http://trademark.i-assist.jp/data/china/image_1928th/82557554.pdf","82557554")</f>
        <v>82557554</v>
      </c>
      <c r="F898" s="12" t="s">
        <v>2558</v>
      </c>
      <c r="G898" s="9" t="s">
        <v>2559</v>
      </c>
      <c r="H898" s="12" t="s">
        <v>2560</v>
      </c>
      <c r="I898" s="10">
        <v>45642</v>
      </c>
    </row>
    <row r="899" spans="1:9" x14ac:dyDescent="0.15">
      <c r="A899" s="9">
        <v>898</v>
      </c>
      <c r="B899" s="9" t="s">
        <v>9</v>
      </c>
      <c r="C899" s="9">
        <v>1928</v>
      </c>
      <c r="D899" s="10">
        <v>45736</v>
      </c>
      <c r="E899" s="11" t="str">
        <f>+HYPERLINK("http://trademark.i-assist.jp/data/china/image_1928th/82558078.pdf","82558078")</f>
        <v>82558078</v>
      </c>
      <c r="F899" s="9" t="s">
        <v>2561</v>
      </c>
      <c r="G899" s="12" t="s">
        <v>2562</v>
      </c>
      <c r="H899" s="12" t="s">
        <v>2563</v>
      </c>
      <c r="I899" s="10">
        <v>45642</v>
      </c>
    </row>
    <row r="900" spans="1:9" x14ac:dyDescent="0.15">
      <c r="A900" s="9">
        <v>899</v>
      </c>
      <c r="B900" s="9" t="s">
        <v>9</v>
      </c>
      <c r="C900" s="9">
        <v>1928</v>
      </c>
      <c r="D900" s="10">
        <v>45736</v>
      </c>
      <c r="E900" s="11" t="str">
        <f>+HYPERLINK("http://trademark.i-assist.jp/data/china/image_1928th/82558156.pdf","82558156")</f>
        <v>82558156</v>
      </c>
      <c r="F900" s="9" t="s">
        <v>2564</v>
      </c>
      <c r="G900" s="9" t="s">
        <v>2565</v>
      </c>
      <c r="H900" s="9" t="s">
        <v>2566</v>
      </c>
      <c r="I900" s="10">
        <v>45642</v>
      </c>
    </row>
    <row r="901" spans="1:9" x14ac:dyDescent="0.15">
      <c r="A901" s="9">
        <v>900</v>
      </c>
      <c r="B901" s="9" t="s">
        <v>9</v>
      </c>
      <c r="C901" s="9">
        <v>1928</v>
      </c>
      <c r="D901" s="10">
        <v>45736</v>
      </c>
      <c r="E901" s="11" t="str">
        <f>+HYPERLINK("http://trademark.i-assist.jp/data/china/image_1928th/82558248.pdf","82558248")</f>
        <v>82558248</v>
      </c>
      <c r="F901" s="9" t="s">
        <v>2567</v>
      </c>
      <c r="G901" s="9" t="s">
        <v>2568</v>
      </c>
      <c r="H901" s="12" t="s">
        <v>2569</v>
      </c>
      <c r="I901" s="10">
        <v>45642</v>
      </c>
    </row>
    <row r="902" spans="1:9" x14ac:dyDescent="0.15">
      <c r="A902" s="9">
        <v>901</v>
      </c>
      <c r="B902" s="9" t="s">
        <v>9</v>
      </c>
      <c r="C902" s="9">
        <v>1928</v>
      </c>
      <c r="D902" s="10">
        <v>45736</v>
      </c>
      <c r="E902" s="11" t="str">
        <f>+HYPERLINK("http://trademark.i-assist.jp/data/china/image_1928th/82558345.pdf","82558345")</f>
        <v>82558345</v>
      </c>
      <c r="F902" s="9" t="s">
        <v>2570</v>
      </c>
      <c r="G902" s="9" t="s">
        <v>2571</v>
      </c>
      <c r="H902" s="9" t="s">
        <v>2572</v>
      </c>
      <c r="I902" s="10">
        <v>45642</v>
      </c>
    </row>
    <row r="903" spans="1:9" x14ac:dyDescent="0.15">
      <c r="A903" s="9">
        <v>902</v>
      </c>
      <c r="B903" s="9" t="s">
        <v>9</v>
      </c>
      <c r="C903" s="9">
        <v>1928</v>
      </c>
      <c r="D903" s="10">
        <v>45736</v>
      </c>
      <c r="E903" s="11" t="str">
        <f>+HYPERLINK("http://trademark.i-assist.jp/data/china/image_1928th/82558413.pdf","82558413")</f>
        <v>82558413</v>
      </c>
      <c r="F903" s="9" t="s">
        <v>2573</v>
      </c>
      <c r="G903" s="9" t="s">
        <v>2574</v>
      </c>
      <c r="H903" s="9" t="s">
        <v>2575</v>
      </c>
      <c r="I903" s="10">
        <v>45642</v>
      </c>
    </row>
    <row r="904" spans="1:9" x14ac:dyDescent="0.15">
      <c r="A904" s="9">
        <v>903</v>
      </c>
      <c r="B904" s="9" t="s">
        <v>9</v>
      </c>
      <c r="C904" s="9">
        <v>1928</v>
      </c>
      <c r="D904" s="10">
        <v>45736</v>
      </c>
      <c r="E904" s="11" t="str">
        <f>+HYPERLINK("http://trademark.i-assist.jp/data/china/image_1928th/82558441.pdf","82558441")</f>
        <v>82558441</v>
      </c>
      <c r="F904" s="9" t="s">
        <v>2576</v>
      </c>
      <c r="G904" s="9" t="s">
        <v>2577</v>
      </c>
      <c r="H904" s="9" t="s">
        <v>2578</v>
      </c>
      <c r="I904" s="10">
        <v>45642</v>
      </c>
    </row>
    <row r="905" spans="1:9" x14ac:dyDescent="0.15">
      <c r="A905" s="9">
        <v>904</v>
      </c>
      <c r="B905" s="9" t="s">
        <v>9</v>
      </c>
      <c r="C905" s="9">
        <v>1928</v>
      </c>
      <c r="D905" s="10">
        <v>45736</v>
      </c>
      <c r="E905" s="11" t="str">
        <f>+HYPERLINK("http://trademark.i-assist.jp/data/china/image_1928th/82558915.pdf","82558915")</f>
        <v>82558915</v>
      </c>
      <c r="F905" s="9" t="s">
        <v>2579</v>
      </c>
      <c r="G905" s="9" t="s">
        <v>2580</v>
      </c>
      <c r="H905" s="9" t="s">
        <v>2581</v>
      </c>
      <c r="I905" s="10">
        <v>45642</v>
      </c>
    </row>
    <row r="906" spans="1:9" x14ac:dyDescent="0.15">
      <c r="A906" s="9">
        <v>905</v>
      </c>
      <c r="B906" s="9" t="s">
        <v>9</v>
      </c>
      <c r="C906" s="9">
        <v>1928</v>
      </c>
      <c r="D906" s="10">
        <v>45736</v>
      </c>
      <c r="E906" s="11" t="str">
        <f>+HYPERLINK("http://trademark.i-assist.jp/data/china/image_1928th/82559121.pdf","82559121")</f>
        <v>82559121</v>
      </c>
      <c r="F906" s="9" t="s">
        <v>2582</v>
      </c>
      <c r="G906" s="12" t="s">
        <v>2583</v>
      </c>
      <c r="H906" s="9" t="s">
        <v>2584</v>
      </c>
      <c r="I906" s="10">
        <v>45642</v>
      </c>
    </row>
    <row r="907" spans="1:9" x14ac:dyDescent="0.15">
      <c r="A907" s="9">
        <v>906</v>
      </c>
      <c r="B907" s="9" t="s">
        <v>9</v>
      </c>
      <c r="C907" s="9">
        <v>1928</v>
      </c>
      <c r="D907" s="10">
        <v>45736</v>
      </c>
      <c r="E907" s="11" t="str">
        <f>+HYPERLINK("http://trademark.i-assist.jp/data/china/image_1928th/82559154.pdf","82559154")</f>
        <v>82559154</v>
      </c>
      <c r="F907" s="9" t="s">
        <v>2585</v>
      </c>
      <c r="G907" s="12" t="s">
        <v>85</v>
      </c>
      <c r="H907" s="9" t="s">
        <v>2586</v>
      </c>
      <c r="I907" s="10">
        <v>45642</v>
      </c>
    </row>
    <row r="908" spans="1:9" x14ac:dyDescent="0.15">
      <c r="A908" s="9">
        <v>907</v>
      </c>
      <c r="B908" s="9" t="s">
        <v>9</v>
      </c>
      <c r="C908" s="9">
        <v>1928</v>
      </c>
      <c r="D908" s="10">
        <v>45736</v>
      </c>
      <c r="E908" s="11" t="str">
        <f>+HYPERLINK("http://trademark.i-assist.jp/data/china/image_1928th/82559269.pdf","82559269")</f>
        <v>82559269</v>
      </c>
      <c r="F908" s="9" t="s">
        <v>2587</v>
      </c>
      <c r="G908" s="9" t="s">
        <v>2588</v>
      </c>
      <c r="H908" s="9" t="s">
        <v>2589</v>
      </c>
      <c r="I908" s="10">
        <v>45642</v>
      </c>
    </row>
    <row r="909" spans="1:9" x14ac:dyDescent="0.15">
      <c r="A909" s="9">
        <v>908</v>
      </c>
      <c r="B909" s="9" t="s">
        <v>9</v>
      </c>
      <c r="C909" s="9">
        <v>1928</v>
      </c>
      <c r="D909" s="10">
        <v>45736</v>
      </c>
      <c r="E909" s="11" t="str">
        <f>+HYPERLINK("http://trademark.i-assist.jp/data/china/image_1928th/82559541.pdf","82559541")</f>
        <v>82559541</v>
      </c>
      <c r="F909" s="12" t="s">
        <v>2590</v>
      </c>
      <c r="G909" s="9" t="s">
        <v>2591</v>
      </c>
      <c r="H909" s="9" t="s">
        <v>2592</v>
      </c>
      <c r="I909" s="10">
        <v>45642</v>
      </c>
    </row>
    <row r="910" spans="1:9" x14ac:dyDescent="0.15">
      <c r="A910" s="9">
        <v>909</v>
      </c>
      <c r="B910" s="9" t="s">
        <v>9</v>
      </c>
      <c r="C910" s="9">
        <v>1928</v>
      </c>
      <c r="D910" s="10">
        <v>45736</v>
      </c>
      <c r="E910" s="11" t="str">
        <f>+HYPERLINK("http://trademark.i-assist.jp/data/china/image_1928th/82559655.pdf","82559655")</f>
        <v>82559655</v>
      </c>
      <c r="F910" s="9" t="s">
        <v>2593</v>
      </c>
      <c r="G910" s="12" t="s">
        <v>2594</v>
      </c>
      <c r="H910" s="9" t="s">
        <v>2595</v>
      </c>
      <c r="I910" s="10">
        <v>45642</v>
      </c>
    </row>
    <row r="911" spans="1:9" x14ac:dyDescent="0.15">
      <c r="A911" s="9">
        <v>910</v>
      </c>
      <c r="B911" s="9" t="s">
        <v>9</v>
      </c>
      <c r="C911" s="9">
        <v>1928</v>
      </c>
      <c r="D911" s="10">
        <v>45736</v>
      </c>
      <c r="E911" s="11" t="str">
        <f>+HYPERLINK("http://trademark.i-assist.jp/data/china/image_1928th/82560019.pdf","82560019")</f>
        <v>82560019</v>
      </c>
      <c r="F911" s="9" t="s">
        <v>2596</v>
      </c>
      <c r="G911" s="12" t="s">
        <v>2597</v>
      </c>
      <c r="H911" s="9" t="s">
        <v>2598</v>
      </c>
      <c r="I911" s="10">
        <v>45642</v>
      </c>
    </row>
    <row r="912" spans="1:9" x14ac:dyDescent="0.15">
      <c r="A912" s="9">
        <v>911</v>
      </c>
      <c r="B912" s="9" t="s">
        <v>9</v>
      </c>
      <c r="C912" s="9">
        <v>1928</v>
      </c>
      <c r="D912" s="10">
        <v>45736</v>
      </c>
      <c r="E912" s="11" t="str">
        <f>+HYPERLINK("http://trademark.i-assist.jp/data/china/image_1928th/82560229.pdf","82560229")</f>
        <v>82560229</v>
      </c>
      <c r="F912" s="9" t="s">
        <v>2599</v>
      </c>
      <c r="G912" s="12" t="s">
        <v>2600</v>
      </c>
      <c r="H912" s="9" t="s">
        <v>2601</v>
      </c>
      <c r="I912" s="10">
        <v>45642</v>
      </c>
    </row>
    <row r="913" spans="1:9" x14ac:dyDescent="0.15">
      <c r="A913" s="9">
        <v>912</v>
      </c>
      <c r="B913" s="9" t="s">
        <v>9</v>
      </c>
      <c r="C913" s="9">
        <v>1928</v>
      </c>
      <c r="D913" s="10">
        <v>45736</v>
      </c>
      <c r="E913" s="11" t="str">
        <f>+HYPERLINK("http://trademark.i-assist.jp/data/china/image_1928th/82560587.pdf","82560587")</f>
        <v>82560587</v>
      </c>
      <c r="F913" s="12" t="s">
        <v>2602</v>
      </c>
      <c r="G913" s="9" t="s">
        <v>2603</v>
      </c>
      <c r="H913" s="9" t="s">
        <v>2604</v>
      </c>
      <c r="I913" s="10">
        <v>45642</v>
      </c>
    </row>
    <row r="914" spans="1:9" x14ac:dyDescent="0.15">
      <c r="A914" s="9">
        <v>913</v>
      </c>
      <c r="B914" s="9" t="s">
        <v>9</v>
      </c>
      <c r="C914" s="9">
        <v>1928</v>
      </c>
      <c r="D914" s="10">
        <v>45736</v>
      </c>
      <c r="E914" s="11" t="str">
        <f>+HYPERLINK("http://trademark.i-assist.jp/data/china/image_1928th/82560705.pdf","82560705")</f>
        <v>82560705</v>
      </c>
      <c r="F914" s="9" t="s">
        <v>2605</v>
      </c>
      <c r="G914" s="12" t="s">
        <v>78</v>
      </c>
      <c r="H914" s="9" t="s">
        <v>2606</v>
      </c>
      <c r="I914" s="10">
        <v>45642</v>
      </c>
    </row>
    <row r="915" spans="1:9" x14ac:dyDescent="0.15">
      <c r="A915" s="9">
        <v>914</v>
      </c>
      <c r="B915" s="9" t="s">
        <v>9</v>
      </c>
      <c r="C915" s="9">
        <v>1928</v>
      </c>
      <c r="D915" s="10">
        <v>45736</v>
      </c>
      <c r="E915" s="11" t="str">
        <f>+HYPERLINK("http://trademark.i-assist.jp/data/china/image_1928th/82561002.pdf","82561002")</f>
        <v>82561002</v>
      </c>
      <c r="F915" s="9" t="s">
        <v>2607</v>
      </c>
      <c r="G915" s="12" t="s">
        <v>25</v>
      </c>
      <c r="H915" s="9" t="s">
        <v>2608</v>
      </c>
      <c r="I915" s="10">
        <v>45642</v>
      </c>
    </row>
    <row r="916" spans="1:9" x14ac:dyDescent="0.15">
      <c r="A916" s="9">
        <v>915</v>
      </c>
      <c r="B916" s="9" t="s">
        <v>9</v>
      </c>
      <c r="C916" s="9">
        <v>1928</v>
      </c>
      <c r="D916" s="10">
        <v>45736</v>
      </c>
      <c r="E916" s="11" t="str">
        <f>+HYPERLINK("http://trademark.i-assist.jp/data/china/image_1928th/82561025.pdf","82561025")</f>
        <v>82561025</v>
      </c>
      <c r="F916" s="12" t="s">
        <v>2609</v>
      </c>
      <c r="G916" s="9" t="s">
        <v>2610</v>
      </c>
      <c r="H916" s="9" t="s">
        <v>2611</v>
      </c>
      <c r="I916" s="10">
        <v>45642</v>
      </c>
    </row>
    <row r="917" spans="1:9" x14ac:dyDescent="0.15">
      <c r="A917" s="9">
        <v>916</v>
      </c>
      <c r="B917" s="9" t="s">
        <v>9</v>
      </c>
      <c r="C917" s="9">
        <v>1928</v>
      </c>
      <c r="D917" s="10">
        <v>45736</v>
      </c>
      <c r="E917" s="11" t="str">
        <f>+HYPERLINK("http://trademark.i-assist.jp/data/china/image_1928th/82561029.pdf","82561029")</f>
        <v>82561029</v>
      </c>
      <c r="F917" s="9" t="s">
        <v>2612</v>
      </c>
      <c r="G917" s="9" t="s">
        <v>2613</v>
      </c>
      <c r="H917" s="9" t="s">
        <v>2614</v>
      </c>
      <c r="I917" s="10">
        <v>45642</v>
      </c>
    </row>
    <row r="918" spans="1:9" x14ac:dyDescent="0.15">
      <c r="A918" s="9">
        <v>917</v>
      </c>
      <c r="B918" s="9" t="s">
        <v>9</v>
      </c>
      <c r="C918" s="9">
        <v>1928</v>
      </c>
      <c r="D918" s="10">
        <v>45736</v>
      </c>
      <c r="E918" s="11" t="str">
        <f>+HYPERLINK("http://trademark.i-assist.jp/data/china/image_1928th/82561623.pdf","82561623")</f>
        <v>82561623</v>
      </c>
      <c r="F918" s="9" t="s">
        <v>2615</v>
      </c>
      <c r="G918" s="9" t="s">
        <v>2616</v>
      </c>
      <c r="H918" s="12" t="s">
        <v>2617</v>
      </c>
      <c r="I918" s="10">
        <v>45642</v>
      </c>
    </row>
    <row r="919" spans="1:9" x14ac:dyDescent="0.15">
      <c r="A919" s="9">
        <v>918</v>
      </c>
      <c r="B919" s="9" t="s">
        <v>9</v>
      </c>
      <c r="C919" s="9">
        <v>1928</v>
      </c>
      <c r="D919" s="10">
        <v>45736</v>
      </c>
      <c r="E919" s="11" t="str">
        <f>+HYPERLINK("http://trademark.i-assist.jp/data/china/image_1928th/82561729.pdf","82561729")</f>
        <v>82561729</v>
      </c>
      <c r="F919" s="9" t="s">
        <v>2618</v>
      </c>
      <c r="G919" s="9" t="s">
        <v>1504</v>
      </c>
      <c r="H919" s="9" t="s">
        <v>2619</v>
      </c>
      <c r="I919" s="10">
        <v>45642</v>
      </c>
    </row>
    <row r="920" spans="1:9" x14ac:dyDescent="0.15">
      <c r="A920" s="9">
        <v>919</v>
      </c>
      <c r="B920" s="9" t="s">
        <v>9</v>
      </c>
      <c r="C920" s="9">
        <v>1928</v>
      </c>
      <c r="D920" s="10">
        <v>45736</v>
      </c>
      <c r="E920" s="11" t="str">
        <f>+HYPERLINK("http://trademark.i-assist.jp/data/china/image_1928th/82561750.pdf","82561750")</f>
        <v>82561750</v>
      </c>
      <c r="F920" s="9" t="s">
        <v>2620</v>
      </c>
      <c r="G920" s="12" t="s">
        <v>85</v>
      </c>
      <c r="H920" s="9" t="s">
        <v>2621</v>
      </c>
      <c r="I920" s="10">
        <v>45642</v>
      </c>
    </row>
    <row r="921" spans="1:9" x14ac:dyDescent="0.15">
      <c r="A921" s="9">
        <v>920</v>
      </c>
      <c r="B921" s="9" t="s">
        <v>9</v>
      </c>
      <c r="C921" s="9">
        <v>1928</v>
      </c>
      <c r="D921" s="10">
        <v>45736</v>
      </c>
      <c r="E921" s="11" t="str">
        <f>+HYPERLINK("http://trademark.i-assist.jp/data/china/image_1928th/82562196.pdf","82562196")</f>
        <v>82562196</v>
      </c>
      <c r="F921" s="12" t="s">
        <v>2622</v>
      </c>
      <c r="G921" s="9" t="s">
        <v>1827</v>
      </c>
      <c r="H921" s="9" t="s">
        <v>2623</v>
      </c>
      <c r="I921" s="10">
        <v>45642</v>
      </c>
    </row>
    <row r="922" spans="1:9" x14ac:dyDescent="0.15">
      <c r="A922" s="9">
        <v>921</v>
      </c>
      <c r="B922" s="9" t="s">
        <v>9</v>
      </c>
      <c r="C922" s="9">
        <v>1928</v>
      </c>
      <c r="D922" s="10">
        <v>45736</v>
      </c>
      <c r="E922" s="11" t="str">
        <f>+HYPERLINK("http://trademark.i-assist.jp/data/china/image_1928th/82562237.pdf","82562237")</f>
        <v>82562237</v>
      </c>
      <c r="F922" s="9" t="s">
        <v>2624</v>
      </c>
      <c r="G922" s="12" t="s">
        <v>2625</v>
      </c>
      <c r="H922" s="9" t="s">
        <v>2626</v>
      </c>
      <c r="I922" s="10">
        <v>45642</v>
      </c>
    </row>
    <row r="923" spans="1:9" x14ac:dyDescent="0.15">
      <c r="A923" s="9">
        <v>922</v>
      </c>
      <c r="B923" s="9" t="s">
        <v>9</v>
      </c>
      <c r="C923" s="9">
        <v>1928</v>
      </c>
      <c r="D923" s="10">
        <v>45736</v>
      </c>
      <c r="E923" s="11" t="str">
        <f>+HYPERLINK("http://trademark.i-assist.jp/data/china/image_1928th/82562486.pdf","82562486")</f>
        <v>82562486</v>
      </c>
      <c r="F923" s="12" t="s">
        <v>18</v>
      </c>
      <c r="G923" s="9" t="s">
        <v>2627</v>
      </c>
      <c r="H923" s="9" t="s">
        <v>2628</v>
      </c>
      <c r="I923" s="10">
        <v>45642</v>
      </c>
    </row>
    <row r="924" spans="1:9" x14ac:dyDescent="0.15">
      <c r="A924" s="9">
        <v>923</v>
      </c>
      <c r="B924" s="9" t="s">
        <v>9</v>
      </c>
      <c r="C924" s="9">
        <v>1928</v>
      </c>
      <c r="D924" s="10">
        <v>45736</v>
      </c>
      <c r="E924" s="11" t="str">
        <f>+HYPERLINK("http://trademark.i-assist.jp/data/china/image_1928th/82562691.pdf","82562691")</f>
        <v>82562691</v>
      </c>
      <c r="F924" s="12" t="s">
        <v>2629</v>
      </c>
      <c r="G924" s="9" t="s">
        <v>2630</v>
      </c>
      <c r="H924" s="9" t="s">
        <v>2631</v>
      </c>
      <c r="I924" s="10">
        <v>45642</v>
      </c>
    </row>
    <row r="925" spans="1:9" x14ac:dyDescent="0.15">
      <c r="A925" s="9">
        <v>924</v>
      </c>
      <c r="B925" s="9" t="s">
        <v>9</v>
      </c>
      <c r="C925" s="9">
        <v>1928</v>
      </c>
      <c r="D925" s="10">
        <v>45736</v>
      </c>
      <c r="E925" s="11" t="str">
        <f>+HYPERLINK("http://trademark.i-assist.jp/data/china/image_1928th/82562697.pdf","82562697")</f>
        <v>82562697</v>
      </c>
      <c r="F925" s="9" t="s">
        <v>2632</v>
      </c>
      <c r="G925" s="9" t="s">
        <v>90</v>
      </c>
      <c r="H925" s="9" t="s">
        <v>2633</v>
      </c>
      <c r="I925" s="10">
        <v>45642</v>
      </c>
    </row>
    <row r="926" spans="1:9" x14ac:dyDescent="0.15">
      <c r="A926" s="9">
        <v>925</v>
      </c>
      <c r="B926" s="9" t="s">
        <v>9</v>
      </c>
      <c r="C926" s="9">
        <v>1928</v>
      </c>
      <c r="D926" s="10">
        <v>45736</v>
      </c>
      <c r="E926" s="11" t="str">
        <f>+HYPERLINK("http://trademark.i-assist.jp/data/china/image_1928th/82562706.pdf","82562706")</f>
        <v>82562706</v>
      </c>
      <c r="F926" s="13" t="s">
        <v>2634</v>
      </c>
      <c r="G926" s="12" t="s">
        <v>1734</v>
      </c>
      <c r="H926" s="9" t="s">
        <v>2635</v>
      </c>
      <c r="I926" s="10">
        <v>45642</v>
      </c>
    </row>
    <row r="927" spans="1:9" x14ac:dyDescent="0.15">
      <c r="A927" s="9">
        <v>926</v>
      </c>
      <c r="B927" s="9" t="s">
        <v>9</v>
      </c>
      <c r="C927" s="9">
        <v>1928</v>
      </c>
      <c r="D927" s="10">
        <v>45736</v>
      </c>
      <c r="E927" s="11" t="str">
        <f>+HYPERLINK("http://trademark.i-assist.jp/data/china/image_1928th/82563040.pdf","82563040")</f>
        <v>82563040</v>
      </c>
      <c r="F927" s="9" t="s">
        <v>2636</v>
      </c>
      <c r="G927" s="9" t="s">
        <v>2637</v>
      </c>
      <c r="H927" s="12" t="s">
        <v>2638</v>
      </c>
      <c r="I927" s="10">
        <v>45642</v>
      </c>
    </row>
    <row r="928" spans="1:9" x14ac:dyDescent="0.15">
      <c r="A928" s="9">
        <v>927</v>
      </c>
      <c r="B928" s="9" t="s">
        <v>9</v>
      </c>
      <c r="C928" s="9">
        <v>1928</v>
      </c>
      <c r="D928" s="10">
        <v>45736</v>
      </c>
      <c r="E928" s="11" t="str">
        <f>+HYPERLINK("http://trademark.i-assist.jp/data/china/image_1928th/82563126.pdf","82563126")</f>
        <v>82563126</v>
      </c>
      <c r="F928" s="9" t="s">
        <v>2639</v>
      </c>
      <c r="G928" s="9" t="s">
        <v>1504</v>
      </c>
      <c r="H928" s="9" t="s">
        <v>2640</v>
      </c>
      <c r="I928" s="10">
        <v>45642</v>
      </c>
    </row>
    <row r="929" spans="1:9" x14ac:dyDescent="0.15">
      <c r="A929" s="9">
        <v>928</v>
      </c>
      <c r="B929" s="9" t="s">
        <v>9</v>
      </c>
      <c r="C929" s="9">
        <v>1928</v>
      </c>
      <c r="D929" s="10">
        <v>45736</v>
      </c>
      <c r="E929" s="11" t="str">
        <f>+HYPERLINK("http://trademark.i-assist.jp/data/china/image_1928th/82563245.pdf","82563245")</f>
        <v>82563245</v>
      </c>
      <c r="F929" s="9" t="s">
        <v>2641</v>
      </c>
      <c r="G929" s="9" t="s">
        <v>1827</v>
      </c>
      <c r="H929" s="9" t="s">
        <v>2642</v>
      </c>
      <c r="I929" s="10">
        <v>45642</v>
      </c>
    </row>
    <row r="930" spans="1:9" x14ac:dyDescent="0.15">
      <c r="A930" s="9">
        <v>929</v>
      </c>
      <c r="B930" s="9" t="s">
        <v>9</v>
      </c>
      <c r="C930" s="9">
        <v>1928</v>
      </c>
      <c r="D930" s="10">
        <v>45736</v>
      </c>
      <c r="E930" s="11" t="str">
        <f>+HYPERLINK("http://trademark.i-assist.jp/data/china/image_1928th/82563863.pdf","82563863")</f>
        <v>82563863</v>
      </c>
      <c r="F930" s="12" t="s">
        <v>2643</v>
      </c>
      <c r="G930" s="9" t="s">
        <v>2644</v>
      </c>
      <c r="H930" s="9" t="s">
        <v>2645</v>
      </c>
      <c r="I930" s="10">
        <v>45642</v>
      </c>
    </row>
    <row r="931" spans="1:9" x14ac:dyDescent="0.15">
      <c r="A931" s="9">
        <v>930</v>
      </c>
      <c r="B931" s="9" t="s">
        <v>9</v>
      </c>
      <c r="C931" s="9">
        <v>1928</v>
      </c>
      <c r="D931" s="10">
        <v>45736</v>
      </c>
      <c r="E931" s="11" t="str">
        <f>+HYPERLINK("http://trademark.i-assist.jp/data/china/image_1928th/82563892.pdf","82563892")</f>
        <v>82563892</v>
      </c>
      <c r="F931" s="9" t="s">
        <v>2646</v>
      </c>
      <c r="G931" s="12" t="s">
        <v>2647</v>
      </c>
      <c r="H931" s="9" t="s">
        <v>2648</v>
      </c>
      <c r="I931" s="10">
        <v>45642</v>
      </c>
    </row>
    <row r="932" spans="1:9" x14ac:dyDescent="0.15">
      <c r="A932" s="9">
        <v>931</v>
      </c>
      <c r="B932" s="9" t="s">
        <v>9</v>
      </c>
      <c r="C932" s="9">
        <v>1928</v>
      </c>
      <c r="D932" s="10">
        <v>45736</v>
      </c>
      <c r="E932" s="11" t="str">
        <f>+HYPERLINK("http://trademark.i-assist.jp/data/china/image_1928th/82563929.pdf","82563929")</f>
        <v>82563929</v>
      </c>
      <c r="F932" s="9" t="s">
        <v>2649</v>
      </c>
      <c r="G932" s="9" t="s">
        <v>2650</v>
      </c>
      <c r="H932" s="9" t="s">
        <v>2651</v>
      </c>
      <c r="I932" s="10">
        <v>45642</v>
      </c>
    </row>
    <row r="933" spans="1:9" x14ac:dyDescent="0.15">
      <c r="A933" s="9">
        <v>932</v>
      </c>
      <c r="B933" s="9" t="s">
        <v>9</v>
      </c>
      <c r="C933" s="9">
        <v>1928</v>
      </c>
      <c r="D933" s="10">
        <v>45736</v>
      </c>
      <c r="E933" s="11" t="str">
        <f>+HYPERLINK("http://trademark.i-assist.jp/data/china/image_1928th/82564420.pdf","82564420")</f>
        <v>82564420</v>
      </c>
      <c r="F933" s="9" t="s">
        <v>2652</v>
      </c>
      <c r="G933" s="9" t="s">
        <v>2653</v>
      </c>
      <c r="H933" s="9" t="s">
        <v>2654</v>
      </c>
      <c r="I933" s="10">
        <v>45642</v>
      </c>
    </row>
    <row r="934" spans="1:9" x14ac:dyDescent="0.15">
      <c r="A934" s="9">
        <v>933</v>
      </c>
      <c r="B934" s="9" t="s">
        <v>9</v>
      </c>
      <c r="C934" s="9">
        <v>1928</v>
      </c>
      <c r="D934" s="10">
        <v>45736</v>
      </c>
      <c r="E934" s="11" t="str">
        <f>+HYPERLINK("http://trademark.i-assist.jp/data/china/image_1928th/82564744.pdf","82564744")</f>
        <v>82564744</v>
      </c>
      <c r="F934" s="9" t="s">
        <v>2655</v>
      </c>
      <c r="G934" s="9" t="s">
        <v>2656</v>
      </c>
      <c r="H934" s="9" t="s">
        <v>2657</v>
      </c>
      <c r="I934" s="10">
        <v>45642</v>
      </c>
    </row>
    <row r="935" spans="1:9" x14ac:dyDescent="0.15">
      <c r="A935" s="9">
        <v>934</v>
      </c>
      <c r="B935" s="9" t="s">
        <v>9</v>
      </c>
      <c r="C935" s="9">
        <v>1928</v>
      </c>
      <c r="D935" s="10">
        <v>45736</v>
      </c>
      <c r="E935" s="11" t="str">
        <f>+HYPERLINK("http://trademark.i-assist.jp/data/china/image_1928th/82565014.pdf","82565014")</f>
        <v>82565014</v>
      </c>
      <c r="F935" s="9" t="s">
        <v>2658</v>
      </c>
      <c r="G935" s="9" t="s">
        <v>2659</v>
      </c>
      <c r="H935" s="12" t="s">
        <v>2660</v>
      </c>
      <c r="I935" s="10">
        <v>45642</v>
      </c>
    </row>
    <row r="936" spans="1:9" x14ac:dyDescent="0.15">
      <c r="A936" s="9">
        <v>935</v>
      </c>
      <c r="B936" s="9" t="s">
        <v>9</v>
      </c>
      <c r="C936" s="9">
        <v>1928</v>
      </c>
      <c r="D936" s="10">
        <v>45736</v>
      </c>
      <c r="E936" s="11" t="str">
        <f>+HYPERLINK("http://trademark.i-assist.jp/data/china/image_1928th/82565036.pdf","82565036")</f>
        <v>82565036</v>
      </c>
      <c r="F936" s="9" t="s">
        <v>2661</v>
      </c>
      <c r="G936" s="9" t="s">
        <v>2659</v>
      </c>
      <c r="H936" s="9" t="s">
        <v>2662</v>
      </c>
      <c r="I936" s="10">
        <v>45642</v>
      </c>
    </row>
    <row r="937" spans="1:9" x14ac:dyDescent="0.15">
      <c r="A937" s="9">
        <v>936</v>
      </c>
      <c r="B937" s="9" t="s">
        <v>9</v>
      </c>
      <c r="C937" s="9">
        <v>1928</v>
      </c>
      <c r="D937" s="10">
        <v>45736</v>
      </c>
      <c r="E937" s="11" t="str">
        <f>+HYPERLINK("http://trademark.i-assist.jp/data/china/image_1928th/82565183.pdf","82565183")</f>
        <v>82565183</v>
      </c>
      <c r="F937" s="9" t="s">
        <v>2663</v>
      </c>
      <c r="G937" s="12" t="s">
        <v>2664</v>
      </c>
      <c r="H937" s="9" t="s">
        <v>2665</v>
      </c>
      <c r="I937" s="10">
        <v>45641</v>
      </c>
    </row>
    <row r="938" spans="1:9" x14ac:dyDescent="0.15">
      <c r="A938" s="9">
        <v>937</v>
      </c>
      <c r="B938" s="9" t="s">
        <v>9</v>
      </c>
      <c r="C938" s="9">
        <v>1928</v>
      </c>
      <c r="D938" s="10">
        <v>45736</v>
      </c>
      <c r="E938" s="11" t="str">
        <f>+HYPERLINK("http://trademark.i-assist.jp/data/china/image_1928th/82565184.pdf","82565184")</f>
        <v>82565184</v>
      </c>
      <c r="F938" s="9" t="s">
        <v>2666</v>
      </c>
      <c r="G938" s="12" t="s">
        <v>2664</v>
      </c>
      <c r="H938" s="9" t="s">
        <v>2667</v>
      </c>
      <c r="I938" s="10">
        <v>45641</v>
      </c>
    </row>
    <row r="939" spans="1:9" x14ac:dyDescent="0.15">
      <c r="A939" s="9">
        <v>938</v>
      </c>
      <c r="B939" s="9" t="s">
        <v>9</v>
      </c>
      <c r="C939" s="9">
        <v>1928</v>
      </c>
      <c r="D939" s="10">
        <v>45736</v>
      </c>
      <c r="E939" s="11" t="str">
        <f>+HYPERLINK("http://trademark.i-assist.jp/data/china/image_1928th/82565329.pdf","82565329")</f>
        <v>82565329</v>
      </c>
      <c r="F939" s="12" t="s">
        <v>2668</v>
      </c>
      <c r="G939" s="9" t="s">
        <v>2669</v>
      </c>
      <c r="H939" s="9" t="s">
        <v>2670</v>
      </c>
      <c r="I939" s="10">
        <v>45641</v>
      </c>
    </row>
    <row r="940" spans="1:9" x14ac:dyDescent="0.15">
      <c r="A940" s="9">
        <v>939</v>
      </c>
      <c r="B940" s="9" t="s">
        <v>9</v>
      </c>
      <c r="C940" s="9">
        <v>1928</v>
      </c>
      <c r="D940" s="10">
        <v>45736</v>
      </c>
      <c r="E940" s="11" t="str">
        <f>+HYPERLINK("http://trademark.i-assist.jp/data/china/image_1928th/82566189.pdf","82566189")</f>
        <v>82566189</v>
      </c>
      <c r="F940" s="12" t="s">
        <v>2671</v>
      </c>
      <c r="G940" s="9" t="s">
        <v>2672</v>
      </c>
      <c r="H940" s="9" t="s">
        <v>2673</v>
      </c>
      <c r="I940" s="10">
        <v>45642</v>
      </c>
    </row>
    <row r="941" spans="1:9" x14ac:dyDescent="0.15">
      <c r="A941" s="9">
        <v>940</v>
      </c>
      <c r="B941" s="9" t="s">
        <v>9</v>
      </c>
      <c r="C941" s="9">
        <v>1928</v>
      </c>
      <c r="D941" s="10">
        <v>45736</v>
      </c>
      <c r="E941" s="11" t="str">
        <f>+HYPERLINK("http://trademark.i-assist.jp/data/china/image_1928th/82566449.pdf","82566449")</f>
        <v>82566449</v>
      </c>
      <c r="F941" s="9" t="s">
        <v>2674</v>
      </c>
      <c r="G941" s="9" t="s">
        <v>1827</v>
      </c>
      <c r="H941" s="9" t="s">
        <v>2675</v>
      </c>
      <c r="I941" s="10">
        <v>45642</v>
      </c>
    </row>
    <row r="942" spans="1:9" x14ac:dyDescent="0.15">
      <c r="A942" s="9">
        <v>941</v>
      </c>
      <c r="B942" s="9" t="s">
        <v>9</v>
      </c>
      <c r="C942" s="9">
        <v>1928</v>
      </c>
      <c r="D942" s="10">
        <v>45736</v>
      </c>
      <c r="E942" s="11" t="str">
        <f>+HYPERLINK("http://trademark.i-assist.jp/data/china/image_1928th/82566491.pdf","82566491")</f>
        <v>82566491</v>
      </c>
      <c r="F942" s="9" t="s">
        <v>2676</v>
      </c>
      <c r="G942" s="9" t="s">
        <v>2677</v>
      </c>
      <c r="H942" s="9" t="s">
        <v>2678</v>
      </c>
      <c r="I942" s="10">
        <v>45642</v>
      </c>
    </row>
    <row r="943" spans="1:9" x14ac:dyDescent="0.15">
      <c r="A943" s="9">
        <v>942</v>
      </c>
      <c r="B943" s="9" t="s">
        <v>9</v>
      </c>
      <c r="C943" s="9">
        <v>1928</v>
      </c>
      <c r="D943" s="10">
        <v>45736</v>
      </c>
      <c r="E943" s="11" t="str">
        <f>+HYPERLINK("http://trademark.i-assist.jp/data/china/image_1928th/82566693.pdf","82566693")</f>
        <v>82566693</v>
      </c>
      <c r="F943" s="9" t="s">
        <v>2679</v>
      </c>
      <c r="G943" s="12" t="s">
        <v>2680</v>
      </c>
      <c r="H943" s="9" t="s">
        <v>2681</v>
      </c>
      <c r="I943" s="10">
        <v>45642</v>
      </c>
    </row>
    <row r="944" spans="1:9" x14ac:dyDescent="0.15">
      <c r="A944" s="9">
        <v>943</v>
      </c>
      <c r="B944" s="9" t="s">
        <v>9</v>
      </c>
      <c r="C944" s="9">
        <v>1928</v>
      </c>
      <c r="D944" s="10">
        <v>45736</v>
      </c>
      <c r="E944" s="11" t="str">
        <f>+HYPERLINK("http://trademark.i-assist.jp/data/china/image_1928th/82566862.pdf","82566862")</f>
        <v>82566862</v>
      </c>
      <c r="F944" s="9" t="s">
        <v>2682</v>
      </c>
      <c r="G944" s="9" t="s">
        <v>2683</v>
      </c>
      <c r="H944" s="9" t="s">
        <v>2684</v>
      </c>
      <c r="I944" s="10">
        <v>45642</v>
      </c>
    </row>
    <row r="945" spans="1:9" x14ac:dyDescent="0.15">
      <c r="A945" s="9">
        <v>944</v>
      </c>
      <c r="B945" s="9" t="s">
        <v>9</v>
      </c>
      <c r="C945" s="9">
        <v>1928</v>
      </c>
      <c r="D945" s="10">
        <v>45736</v>
      </c>
      <c r="E945" s="11" t="str">
        <f>+HYPERLINK("http://trademark.i-assist.jp/data/china/image_1928th/82566958.pdf","82566958")</f>
        <v>82566958</v>
      </c>
      <c r="F945" s="12" t="s">
        <v>2685</v>
      </c>
      <c r="G945" s="9" t="s">
        <v>2686</v>
      </c>
      <c r="H945" s="9" t="s">
        <v>2687</v>
      </c>
      <c r="I945" s="10">
        <v>45642</v>
      </c>
    </row>
    <row r="946" spans="1:9" x14ac:dyDescent="0.15">
      <c r="A946" s="9">
        <v>945</v>
      </c>
      <c r="B946" s="9" t="s">
        <v>9</v>
      </c>
      <c r="C946" s="9">
        <v>1928</v>
      </c>
      <c r="D946" s="10">
        <v>45736</v>
      </c>
      <c r="E946" s="11" t="str">
        <f>+HYPERLINK("http://trademark.i-assist.jp/data/china/image_1928th/82566966.pdf","82566966")</f>
        <v>82566966</v>
      </c>
      <c r="F946" s="9" t="s">
        <v>2688</v>
      </c>
      <c r="G946" s="12" t="s">
        <v>2689</v>
      </c>
      <c r="H946" s="9" t="s">
        <v>2690</v>
      </c>
      <c r="I946" s="10">
        <v>45642</v>
      </c>
    </row>
    <row r="947" spans="1:9" x14ac:dyDescent="0.15">
      <c r="A947" s="9">
        <v>946</v>
      </c>
      <c r="B947" s="9" t="s">
        <v>9</v>
      </c>
      <c r="C947" s="9">
        <v>1928</v>
      </c>
      <c r="D947" s="10">
        <v>45736</v>
      </c>
      <c r="E947" s="11" t="str">
        <f>+HYPERLINK("http://trademark.i-assist.jp/data/china/image_1928th/82566997.pdf","82566997")</f>
        <v>82566997</v>
      </c>
      <c r="F947" s="12" t="s">
        <v>2691</v>
      </c>
      <c r="G947" s="9" t="s">
        <v>2483</v>
      </c>
      <c r="H947" s="9" t="s">
        <v>2692</v>
      </c>
      <c r="I947" s="10">
        <v>45642</v>
      </c>
    </row>
    <row r="948" spans="1:9" x14ac:dyDescent="0.15">
      <c r="A948" s="9">
        <v>947</v>
      </c>
      <c r="B948" s="9" t="s">
        <v>9</v>
      </c>
      <c r="C948" s="9">
        <v>1928</v>
      </c>
      <c r="D948" s="10">
        <v>45736</v>
      </c>
      <c r="E948" s="11" t="str">
        <f>+HYPERLINK("http://trademark.i-assist.jp/data/china/image_1928th/82567119.pdf","82567119")</f>
        <v>82567119</v>
      </c>
      <c r="F948" s="9" t="s">
        <v>2693</v>
      </c>
      <c r="G948" s="9" t="s">
        <v>2694</v>
      </c>
      <c r="H948" s="9" t="s">
        <v>2695</v>
      </c>
      <c r="I948" s="10">
        <v>45642</v>
      </c>
    </row>
    <row r="949" spans="1:9" x14ac:dyDescent="0.15">
      <c r="A949" s="9">
        <v>948</v>
      </c>
      <c r="B949" s="9" t="s">
        <v>9</v>
      </c>
      <c r="C949" s="9">
        <v>1928</v>
      </c>
      <c r="D949" s="10">
        <v>45736</v>
      </c>
      <c r="E949" s="11" t="str">
        <f>+HYPERLINK("http://trademark.i-assist.jp/data/china/image_1928th/82567324.pdf","82567324")</f>
        <v>82567324</v>
      </c>
      <c r="F949" s="9" t="s">
        <v>2696</v>
      </c>
      <c r="G949" s="12" t="s">
        <v>78</v>
      </c>
      <c r="H949" s="9" t="s">
        <v>2697</v>
      </c>
      <c r="I949" s="10">
        <v>45642</v>
      </c>
    </row>
    <row r="950" spans="1:9" x14ac:dyDescent="0.15">
      <c r="A950" s="9">
        <v>949</v>
      </c>
      <c r="B950" s="9" t="s">
        <v>9</v>
      </c>
      <c r="C950" s="9">
        <v>1928</v>
      </c>
      <c r="D950" s="10">
        <v>45736</v>
      </c>
      <c r="E950" s="11" t="str">
        <f>+HYPERLINK("http://trademark.i-assist.jp/data/china/image_1928th/82568373.pdf","82568373")</f>
        <v>82568373</v>
      </c>
      <c r="F950" s="9" t="s">
        <v>2698</v>
      </c>
      <c r="G950" s="12" t="s">
        <v>2504</v>
      </c>
      <c r="H950" s="9" t="s">
        <v>2699</v>
      </c>
      <c r="I950" s="10">
        <v>45642</v>
      </c>
    </row>
    <row r="951" spans="1:9" x14ac:dyDescent="0.15">
      <c r="A951" s="9">
        <v>950</v>
      </c>
      <c r="B951" s="9" t="s">
        <v>9</v>
      </c>
      <c r="C951" s="9">
        <v>1928</v>
      </c>
      <c r="D951" s="10">
        <v>45736</v>
      </c>
      <c r="E951" s="11" t="str">
        <f>+HYPERLINK("http://trademark.i-assist.jp/data/china/image_1928th/82568432.pdf","82568432")</f>
        <v>82568432</v>
      </c>
      <c r="F951" s="9" t="s">
        <v>2700</v>
      </c>
      <c r="G951" s="12" t="s">
        <v>2701</v>
      </c>
      <c r="H951" s="9" t="s">
        <v>2702</v>
      </c>
      <c r="I951" s="10">
        <v>45642</v>
      </c>
    </row>
    <row r="952" spans="1:9" x14ac:dyDescent="0.15">
      <c r="A952" s="9">
        <v>951</v>
      </c>
      <c r="B952" s="9" t="s">
        <v>9</v>
      </c>
      <c r="C952" s="9">
        <v>1928</v>
      </c>
      <c r="D952" s="10">
        <v>45736</v>
      </c>
      <c r="E952" s="11" t="str">
        <f>+HYPERLINK("http://trademark.i-assist.jp/data/china/image_1928th/82568567.pdf","82568567")</f>
        <v>82568567</v>
      </c>
      <c r="F952" s="12" t="s">
        <v>18</v>
      </c>
      <c r="G952" s="9" t="s">
        <v>2703</v>
      </c>
      <c r="H952" s="9" t="s">
        <v>2704</v>
      </c>
      <c r="I952" s="10">
        <v>45642</v>
      </c>
    </row>
    <row r="953" spans="1:9" x14ac:dyDescent="0.15">
      <c r="A953" s="9">
        <v>952</v>
      </c>
      <c r="B953" s="9" t="s">
        <v>9</v>
      </c>
      <c r="C953" s="9">
        <v>1928</v>
      </c>
      <c r="D953" s="10">
        <v>45736</v>
      </c>
      <c r="E953" s="11" t="str">
        <f>+HYPERLINK("http://trademark.i-assist.jp/data/china/image_1928th/82568707.pdf","82568707")</f>
        <v>82568707</v>
      </c>
      <c r="F953" s="12" t="s">
        <v>18</v>
      </c>
      <c r="G953" s="9" t="s">
        <v>2705</v>
      </c>
      <c r="H953" s="9" t="s">
        <v>2706</v>
      </c>
      <c r="I953" s="10">
        <v>45642</v>
      </c>
    </row>
    <row r="954" spans="1:9" x14ac:dyDescent="0.15">
      <c r="A954" s="9">
        <v>953</v>
      </c>
      <c r="B954" s="9" t="s">
        <v>9</v>
      </c>
      <c r="C954" s="9">
        <v>1928</v>
      </c>
      <c r="D954" s="10">
        <v>45736</v>
      </c>
      <c r="E954" s="11" t="str">
        <f>+HYPERLINK("http://trademark.i-assist.jp/data/china/image_1928th/82568771.pdf","82568771")</f>
        <v>82568771</v>
      </c>
      <c r="F954" s="9" t="s">
        <v>2707</v>
      </c>
      <c r="G954" s="9" t="s">
        <v>2708</v>
      </c>
      <c r="H954" s="9" t="s">
        <v>2709</v>
      </c>
      <c r="I954" s="10">
        <v>45642</v>
      </c>
    </row>
    <row r="955" spans="1:9" x14ac:dyDescent="0.15">
      <c r="A955" s="9">
        <v>954</v>
      </c>
      <c r="B955" s="9" t="s">
        <v>9</v>
      </c>
      <c r="C955" s="9">
        <v>1928</v>
      </c>
      <c r="D955" s="10">
        <v>45736</v>
      </c>
      <c r="E955" s="11" t="str">
        <f>+HYPERLINK("http://trademark.i-assist.jp/data/china/image_1928th/82568858.pdf","82568858")</f>
        <v>82568858</v>
      </c>
      <c r="F955" s="9" t="s">
        <v>2710</v>
      </c>
      <c r="G955" s="12" t="s">
        <v>2711</v>
      </c>
      <c r="H955" s="9" t="s">
        <v>2712</v>
      </c>
      <c r="I955" s="10">
        <v>45642</v>
      </c>
    </row>
    <row r="956" spans="1:9" x14ac:dyDescent="0.15">
      <c r="A956" s="9">
        <v>955</v>
      </c>
      <c r="B956" s="9" t="s">
        <v>9</v>
      </c>
      <c r="C956" s="9">
        <v>1928</v>
      </c>
      <c r="D956" s="10">
        <v>45736</v>
      </c>
      <c r="E956" s="11" t="str">
        <f>+HYPERLINK("http://trademark.i-assist.jp/data/china/image_1928th/82568862.pdf","82568862")</f>
        <v>82568862</v>
      </c>
      <c r="F956" s="12" t="s">
        <v>2713</v>
      </c>
      <c r="G956" s="9" t="s">
        <v>2714</v>
      </c>
      <c r="H956" s="9" t="s">
        <v>2715</v>
      </c>
      <c r="I956" s="10">
        <v>45642</v>
      </c>
    </row>
    <row r="957" spans="1:9" x14ac:dyDescent="0.15">
      <c r="A957" s="9">
        <v>956</v>
      </c>
      <c r="B957" s="9" t="s">
        <v>9</v>
      </c>
      <c r="C957" s="9">
        <v>1928</v>
      </c>
      <c r="D957" s="10">
        <v>45736</v>
      </c>
      <c r="E957" s="11" t="str">
        <f>+HYPERLINK("http://trademark.i-assist.jp/data/china/image_1928th/82568884.pdf","82568884")</f>
        <v>82568884</v>
      </c>
      <c r="F957" s="9" t="s">
        <v>2716</v>
      </c>
      <c r="G957" s="9" t="s">
        <v>2717</v>
      </c>
      <c r="H957" s="12" t="s">
        <v>2718</v>
      </c>
      <c r="I957" s="10">
        <v>45642</v>
      </c>
    </row>
    <row r="958" spans="1:9" x14ac:dyDescent="0.15">
      <c r="A958" s="9">
        <v>957</v>
      </c>
      <c r="B958" s="9" t="s">
        <v>9</v>
      </c>
      <c r="C958" s="9">
        <v>1928</v>
      </c>
      <c r="D958" s="10">
        <v>45736</v>
      </c>
      <c r="E958" s="11" t="str">
        <f>+HYPERLINK("http://trademark.i-assist.jp/data/china/image_1928th/82568902.pdf","82568902")</f>
        <v>82568902</v>
      </c>
      <c r="F958" s="9" t="s">
        <v>2719</v>
      </c>
      <c r="G958" s="9" t="s">
        <v>2720</v>
      </c>
      <c r="H958" s="9" t="s">
        <v>2721</v>
      </c>
      <c r="I958" s="10">
        <v>45642</v>
      </c>
    </row>
    <row r="959" spans="1:9" x14ac:dyDescent="0.15">
      <c r="A959" s="9">
        <v>958</v>
      </c>
      <c r="B959" s="9" t="s">
        <v>9</v>
      </c>
      <c r="C959" s="9">
        <v>1928</v>
      </c>
      <c r="D959" s="10">
        <v>45736</v>
      </c>
      <c r="E959" s="11" t="str">
        <f>+HYPERLINK("http://trademark.i-assist.jp/data/china/image_1928th/82568910.pdf","82568910")</f>
        <v>82568910</v>
      </c>
      <c r="F959" s="9" t="s">
        <v>2722</v>
      </c>
      <c r="G959" s="9" t="s">
        <v>2717</v>
      </c>
      <c r="H959" s="9" t="s">
        <v>2723</v>
      </c>
      <c r="I959" s="10">
        <v>45642</v>
      </c>
    </row>
    <row r="960" spans="1:9" x14ac:dyDescent="0.15">
      <c r="A960" s="9">
        <v>959</v>
      </c>
      <c r="B960" s="9" t="s">
        <v>9</v>
      </c>
      <c r="C960" s="9">
        <v>1928</v>
      </c>
      <c r="D960" s="10">
        <v>45736</v>
      </c>
      <c r="E960" s="11" t="str">
        <f>+HYPERLINK("http://trademark.i-assist.jp/data/china/image_1928th/82568970.pdf","82568970")</f>
        <v>82568970</v>
      </c>
      <c r="F960" s="9" t="s">
        <v>2724</v>
      </c>
      <c r="G960" s="9" t="s">
        <v>40</v>
      </c>
      <c r="H960" s="9" t="s">
        <v>2725</v>
      </c>
      <c r="I960" s="10">
        <v>45642</v>
      </c>
    </row>
    <row r="961" spans="1:9" x14ac:dyDescent="0.15">
      <c r="A961" s="9">
        <v>960</v>
      </c>
      <c r="B961" s="9" t="s">
        <v>9</v>
      </c>
      <c r="C961" s="9">
        <v>1928</v>
      </c>
      <c r="D961" s="10">
        <v>45736</v>
      </c>
      <c r="E961" s="11" t="str">
        <f>+HYPERLINK("http://trademark.i-assist.jp/data/china/image_1928th/82569122.pdf","82569122")</f>
        <v>82569122</v>
      </c>
      <c r="F961" s="12" t="s">
        <v>2726</v>
      </c>
      <c r="G961" s="9" t="s">
        <v>2727</v>
      </c>
      <c r="H961" s="9" t="s">
        <v>2728</v>
      </c>
      <c r="I961" s="10">
        <v>45642</v>
      </c>
    </row>
    <row r="962" spans="1:9" x14ac:dyDescent="0.15">
      <c r="A962" s="9">
        <v>961</v>
      </c>
      <c r="B962" s="9" t="s">
        <v>9</v>
      </c>
      <c r="C962" s="9">
        <v>1928</v>
      </c>
      <c r="D962" s="10">
        <v>45736</v>
      </c>
      <c r="E962" s="11" t="str">
        <f>+HYPERLINK("http://trademark.i-assist.jp/data/china/image_1928th/82569584.pdf","82569584")</f>
        <v>82569584</v>
      </c>
      <c r="F962" s="12" t="s">
        <v>2729</v>
      </c>
      <c r="G962" s="12" t="s">
        <v>2730</v>
      </c>
      <c r="H962" s="12" t="s">
        <v>2731</v>
      </c>
      <c r="I962" s="10">
        <v>45642</v>
      </c>
    </row>
    <row r="963" spans="1:9" x14ac:dyDescent="0.15">
      <c r="A963" s="9">
        <v>962</v>
      </c>
      <c r="B963" s="9" t="s">
        <v>9</v>
      </c>
      <c r="C963" s="9">
        <v>1928</v>
      </c>
      <c r="D963" s="10">
        <v>45736</v>
      </c>
      <c r="E963" s="11" t="str">
        <f>+HYPERLINK("http://trademark.i-assist.jp/data/china/image_1928th/82569667.pdf","82569667")</f>
        <v>82569667</v>
      </c>
      <c r="F963" s="9" t="s">
        <v>2732</v>
      </c>
      <c r="G963" s="9" t="s">
        <v>2733</v>
      </c>
      <c r="H963" s="9" t="s">
        <v>2734</v>
      </c>
      <c r="I963" s="10">
        <v>45642</v>
      </c>
    </row>
    <row r="964" spans="1:9" x14ac:dyDescent="0.15">
      <c r="A964" s="9">
        <v>963</v>
      </c>
      <c r="B964" s="9" t="s">
        <v>9</v>
      </c>
      <c r="C964" s="9">
        <v>1928</v>
      </c>
      <c r="D964" s="10">
        <v>45736</v>
      </c>
      <c r="E964" s="11" t="str">
        <f>+HYPERLINK("http://trademark.i-assist.jp/data/china/image_1928th/82569685.pdf","82569685")</f>
        <v>82569685</v>
      </c>
      <c r="F964" s="12" t="s">
        <v>2735</v>
      </c>
      <c r="G964" s="9" t="s">
        <v>2736</v>
      </c>
      <c r="H964" s="12" t="s">
        <v>2737</v>
      </c>
      <c r="I964" s="10">
        <v>45642</v>
      </c>
    </row>
    <row r="965" spans="1:9" x14ac:dyDescent="0.15">
      <c r="A965" s="9">
        <v>964</v>
      </c>
      <c r="B965" s="9" t="s">
        <v>9</v>
      </c>
      <c r="C965" s="9">
        <v>1928</v>
      </c>
      <c r="D965" s="10">
        <v>45736</v>
      </c>
      <c r="E965" s="11" t="str">
        <f>+HYPERLINK("http://trademark.i-assist.jp/data/china/image_1928th/82569843.pdf","82569843")</f>
        <v>82569843</v>
      </c>
      <c r="F965" s="9" t="s">
        <v>2738</v>
      </c>
      <c r="G965" s="9" t="s">
        <v>2739</v>
      </c>
      <c r="H965" s="9" t="s">
        <v>2740</v>
      </c>
      <c r="I965" s="10">
        <v>45642</v>
      </c>
    </row>
    <row r="966" spans="1:9" x14ac:dyDescent="0.15">
      <c r="A966" s="9">
        <v>965</v>
      </c>
      <c r="B966" s="9" t="s">
        <v>9</v>
      </c>
      <c r="C966" s="9">
        <v>1928</v>
      </c>
      <c r="D966" s="10">
        <v>45736</v>
      </c>
      <c r="E966" s="11" t="str">
        <f>+HYPERLINK("http://trademark.i-assist.jp/data/china/image_1928th/82570644.pdf","82570644")</f>
        <v>82570644</v>
      </c>
      <c r="F966" s="12" t="s">
        <v>2741</v>
      </c>
      <c r="G966" s="9" t="s">
        <v>2742</v>
      </c>
      <c r="H966" s="9" t="s">
        <v>2743</v>
      </c>
      <c r="I966" s="10">
        <v>45641</v>
      </c>
    </row>
    <row r="967" spans="1:9" x14ac:dyDescent="0.15">
      <c r="A967" s="9">
        <v>966</v>
      </c>
      <c r="B967" s="9" t="s">
        <v>9</v>
      </c>
      <c r="C967" s="9">
        <v>1928</v>
      </c>
      <c r="D967" s="10">
        <v>45736</v>
      </c>
      <c r="E967" s="11" t="str">
        <f>+HYPERLINK("http://trademark.i-assist.jp/data/china/image_1928th/82571386.pdf","82571386")</f>
        <v>82571386</v>
      </c>
      <c r="F967" s="12" t="s">
        <v>2744</v>
      </c>
      <c r="G967" s="12" t="s">
        <v>2744</v>
      </c>
      <c r="H967" s="9" t="s">
        <v>2745</v>
      </c>
      <c r="I967" s="10">
        <v>45642</v>
      </c>
    </row>
    <row r="968" spans="1:9" x14ac:dyDescent="0.15">
      <c r="A968" s="9">
        <v>967</v>
      </c>
      <c r="B968" s="9" t="s">
        <v>9</v>
      </c>
      <c r="C968" s="9">
        <v>1928</v>
      </c>
      <c r="D968" s="10">
        <v>45736</v>
      </c>
      <c r="E968" s="11" t="str">
        <f>+HYPERLINK("http://trademark.i-assist.jp/data/china/image_1928th/82571530.pdf","82571530")</f>
        <v>82571530</v>
      </c>
      <c r="F968" s="9" t="s">
        <v>2746</v>
      </c>
      <c r="G968" s="9" t="s">
        <v>2717</v>
      </c>
      <c r="H968" s="9" t="s">
        <v>2747</v>
      </c>
      <c r="I968" s="10">
        <v>45642</v>
      </c>
    </row>
    <row r="969" spans="1:9" x14ac:dyDescent="0.15">
      <c r="A969" s="9">
        <v>968</v>
      </c>
      <c r="B969" s="9" t="s">
        <v>9</v>
      </c>
      <c r="C969" s="9">
        <v>1928</v>
      </c>
      <c r="D969" s="10">
        <v>45736</v>
      </c>
      <c r="E969" s="11" t="str">
        <f>+HYPERLINK("http://trademark.i-assist.jp/data/china/image_1928th/82571539.pdf","82571539")</f>
        <v>82571539</v>
      </c>
      <c r="F969" s="9" t="s">
        <v>2748</v>
      </c>
      <c r="G969" s="9" t="s">
        <v>2717</v>
      </c>
      <c r="H969" s="9" t="s">
        <v>2749</v>
      </c>
      <c r="I969" s="10">
        <v>45642</v>
      </c>
    </row>
    <row r="970" spans="1:9" x14ac:dyDescent="0.15">
      <c r="A970" s="9">
        <v>969</v>
      </c>
      <c r="B970" s="9" t="s">
        <v>9</v>
      </c>
      <c r="C970" s="9">
        <v>1928</v>
      </c>
      <c r="D970" s="10">
        <v>45736</v>
      </c>
      <c r="E970" s="11" t="str">
        <f>+HYPERLINK("http://trademark.i-assist.jp/data/china/image_1928th/82571982.pdf","82571982")</f>
        <v>82571982</v>
      </c>
      <c r="F970" s="9" t="s">
        <v>2750</v>
      </c>
      <c r="G970" s="9" t="s">
        <v>2751</v>
      </c>
      <c r="H970" s="9" t="s">
        <v>2752</v>
      </c>
      <c r="I970" s="10">
        <v>45642</v>
      </c>
    </row>
    <row r="971" spans="1:9" x14ac:dyDescent="0.15">
      <c r="A971" s="9">
        <v>970</v>
      </c>
      <c r="B971" s="9" t="s">
        <v>9</v>
      </c>
      <c r="C971" s="9">
        <v>1928</v>
      </c>
      <c r="D971" s="10">
        <v>45736</v>
      </c>
      <c r="E971" s="11" t="str">
        <f>+HYPERLINK("http://trademark.i-assist.jp/data/china/image_1928th/82572231.pdf","82572231")</f>
        <v>82572231</v>
      </c>
      <c r="F971" s="12" t="s">
        <v>2753</v>
      </c>
      <c r="G971" s="12" t="s">
        <v>25</v>
      </c>
      <c r="H971" s="9" t="s">
        <v>2754</v>
      </c>
      <c r="I971" s="10">
        <v>45642</v>
      </c>
    </row>
    <row r="972" spans="1:9" x14ac:dyDescent="0.15">
      <c r="A972" s="9">
        <v>971</v>
      </c>
      <c r="B972" s="9" t="s">
        <v>9</v>
      </c>
      <c r="C972" s="9">
        <v>1928</v>
      </c>
      <c r="D972" s="10">
        <v>45736</v>
      </c>
      <c r="E972" s="11" t="str">
        <f>+HYPERLINK("http://trademark.i-assist.jp/data/china/image_1928th/82572388.pdf","82572388")</f>
        <v>82572388</v>
      </c>
      <c r="F972" s="9" t="s">
        <v>2755</v>
      </c>
      <c r="G972" s="9" t="s">
        <v>2756</v>
      </c>
      <c r="H972" s="9" t="s">
        <v>2757</v>
      </c>
      <c r="I972" s="10">
        <v>45642</v>
      </c>
    </row>
    <row r="973" spans="1:9" x14ac:dyDescent="0.15">
      <c r="A973" s="9">
        <v>972</v>
      </c>
      <c r="B973" s="9" t="s">
        <v>9</v>
      </c>
      <c r="C973" s="9">
        <v>1928</v>
      </c>
      <c r="D973" s="10">
        <v>45736</v>
      </c>
      <c r="E973" s="11" t="str">
        <f>+HYPERLINK("http://trademark.i-assist.jp/data/china/image_1928th/82572687.pdf","82572687")</f>
        <v>82572687</v>
      </c>
      <c r="F973" s="9" t="s">
        <v>2758</v>
      </c>
      <c r="G973" s="9" t="s">
        <v>2759</v>
      </c>
      <c r="H973" s="9" t="s">
        <v>2760</v>
      </c>
      <c r="I973" s="10">
        <v>45642</v>
      </c>
    </row>
    <row r="974" spans="1:9" x14ac:dyDescent="0.15">
      <c r="A974" s="9">
        <v>973</v>
      </c>
      <c r="B974" s="9" t="s">
        <v>9</v>
      </c>
      <c r="C974" s="9">
        <v>1928</v>
      </c>
      <c r="D974" s="10">
        <v>45736</v>
      </c>
      <c r="E974" s="11" t="str">
        <f>+HYPERLINK("http://trademark.i-assist.jp/data/china/image_1928th/82572783.pdf","82572783")</f>
        <v>82572783</v>
      </c>
      <c r="F974" s="9" t="s">
        <v>2761</v>
      </c>
      <c r="G974" s="9" t="s">
        <v>2762</v>
      </c>
      <c r="H974" s="9" t="s">
        <v>2763</v>
      </c>
      <c r="I974" s="10">
        <v>45642</v>
      </c>
    </row>
    <row r="975" spans="1:9" x14ac:dyDescent="0.15">
      <c r="A975" s="9">
        <v>974</v>
      </c>
      <c r="B975" s="9" t="s">
        <v>9</v>
      </c>
      <c r="C975" s="9">
        <v>1928</v>
      </c>
      <c r="D975" s="10">
        <v>45736</v>
      </c>
      <c r="E975" s="11" t="str">
        <f>+HYPERLINK("http://trademark.i-assist.jp/data/china/image_1928th/82573061.pdf","82573061")</f>
        <v>82573061</v>
      </c>
      <c r="F975" s="12" t="s">
        <v>2764</v>
      </c>
      <c r="G975" s="9" t="s">
        <v>2765</v>
      </c>
      <c r="H975" s="9" t="s">
        <v>2766</v>
      </c>
      <c r="I975" s="10">
        <v>45641</v>
      </c>
    </row>
    <row r="976" spans="1:9" x14ac:dyDescent="0.15">
      <c r="A976" s="9">
        <v>975</v>
      </c>
      <c r="B976" s="9" t="s">
        <v>9</v>
      </c>
      <c r="C976" s="9">
        <v>1928</v>
      </c>
      <c r="D976" s="10">
        <v>45736</v>
      </c>
      <c r="E976" s="11" t="str">
        <f>+HYPERLINK("http://trademark.i-assist.jp/data/china/image_1928th/82573256.pdf","82573256")</f>
        <v>82573256</v>
      </c>
      <c r="F976" s="9" t="s">
        <v>2767</v>
      </c>
      <c r="G976" s="9" t="s">
        <v>2768</v>
      </c>
      <c r="H976" s="9" t="s">
        <v>2769</v>
      </c>
      <c r="I976" s="10">
        <v>45642</v>
      </c>
    </row>
    <row r="977" spans="1:9" x14ac:dyDescent="0.15">
      <c r="A977" s="9">
        <v>976</v>
      </c>
      <c r="B977" s="9" t="s">
        <v>9</v>
      </c>
      <c r="C977" s="9">
        <v>1928</v>
      </c>
      <c r="D977" s="10">
        <v>45736</v>
      </c>
      <c r="E977" s="11" t="str">
        <f>+HYPERLINK("http://trademark.i-assist.jp/data/china/image_1928th/82573275.pdf","82573275")</f>
        <v>82573275</v>
      </c>
      <c r="F977" s="9" t="s">
        <v>2770</v>
      </c>
      <c r="G977" s="9" t="s">
        <v>2771</v>
      </c>
      <c r="H977" s="9" t="s">
        <v>2772</v>
      </c>
      <c r="I977" s="10">
        <v>45642</v>
      </c>
    </row>
    <row r="978" spans="1:9" x14ac:dyDescent="0.15">
      <c r="A978" s="9">
        <v>977</v>
      </c>
      <c r="B978" s="9" t="s">
        <v>9</v>
      </c>
      <c r="C978" s="9">
        <v>1928</v>
      </c>
      <c r="D978" s="10">
        <v>45736</v>
      </c>
      <c r="E978" s="11" t="str">
        <f>+HYPERLINK("http://trademark.i-assist.jp/data/china/image_1928th/82573310.pdf","82573310")</f>
        <v>82573310</v>
      </c>
      <c r="F978" s="9" t="s">
        <v>2773</v>
      </c>
      <c r="G978" s="9" t="s">
        <v>2774</v>
      </c>
      <c r="H978" s="9" t="s">
        <v>2775</v>
      </c>
      <c r="I978" s="10">
        <v>45642</v>
      </c>
    </row>
    <row r="979" spans="1:9" x14ac:dyDescent="0.15">
      <c r="A979" s="9">
        <v>978</v>
      </c>
      <c r="B979" s="9" t="s">
        <v>9</v>
      </c>
      <c r="C979" s="9">
        <v>1928</v>
      </c>
      <c r="D979" s="10">
        <v>45736</v>
      </c>
      <c r="E979" s="11" t="str">
        <f>+HYPERLINK("http://trademark.i-assist.jp/data/china/image_1928th/82573324.pdf","82573324")</f>
        <v>82573324</v>
      </c>
      <c r="F979" s="12" t="s">
        <v>2776</v>
      </c>
      <c r="G979" s="9" t="s">
        <v>2777</v>
      </c>
      <c r="H979" s="9" t="s">
        <v>2778</v>
      </c>
      <c r="I979" s="10">
        <v>45642</v>
      </c>
    </row>
    <row r="980" spans="1:9" x14ac:dyDescent="0.15">
      <c r="A980" s="9">
        <v>979</v>
      </c>
      <c r="B980" s="9" t="s">
        <v>9</v>
      </c>
      <c r="C980" s="9">
        <v>1928</v>
      </c>
      <c r="D980" s="10">
        <v>45736</v>
      </c>
      <c r="E980" s="11" t="str">
        <f>+HYPERLINK("http://trademark.i-assist.jp/data/china/image_1928th/82573728.pdf","82573728")</f>
        <v>82573728</v>
      </c>
      <c r="F980" s="12" t="s">
        <v>18</v>
      </c>
      <c r="G980" s="12" t="s">
        <v>2779</v>
      </c>
      <c r="H980" s="9" t="s">
        <v>2780</v>
      </c>
      <c r="I980" s="10">
        <v>45642</v>
      </c>
    </row>
    <row r="981" spans="1:9" x14ac:dyDescent="0.15">
      <c r="A981" s="9">
        <v>980</v>
      </c>
      <c r="B981" s="9" t="s">
        <v>9</v>
      </c>
      <c r="C981" s="9">
        <v>1928</v>
      </c>
      <c r="D981" s="10">
        <v>45736</v>
      </c>
      <c r="E981" s="11" t="str">
        <f>+HYPERLINK("http://trademark.i-assist.jp/data/china/image_1928th/82574123.pdf","82574123")</f>
        <v>82574123</v>
      </c>
      <c r="F981" s="12" t="s">
        <v>2781</v>
      </c>
      <c r="G981" s="9" t="s">
        <v>2782</v>
      </c>
      <c r="H981" s="9" t="s">
        <v>2783</v>
      </c>
      <c r="I981" s="10">
        <v>45641</v>
      </c>
    </row>
    <row r="982" spans="1:9" x14ac:dyDescent="0.15">
      <c r="A982" s="9">
        <v>981</v>
      </c>
      <c r="B982" s="9" t="s">
        <v>9</v>
      </c>
      <c r="C982" s="9">
        <v>1928</v>
      </c>
      <c r="D982" s="10">
        <v>45736</v>
      </c>
      <c r="E982" s="11" t="str">
        <f>+HYPERLINK("http://trademark.i-assist.jp/data/china/image_1928th/82574289.pdf","82574289")</f>
        <v>82574289</v>
      </c>
      <c r="F982" s="9" t="s">
        <v>2784</v>
      </c>
      <c r="G982" s="12" t="s">
        <v>85</v>
      </c>
      <c r="H982" s="9" t="s">
        <v>2785</v>
      </c>
      <c r="I982" s="10">
        <v>45642</v>
      </c>
    </row>
    <row r="983" spans="1:9" x14ac:dyDescent="0.15">
      <c r="A983" s="9">
        <v>982</v>
      </c>
      <c r="B983" s="9" t="s">
        <v>9</v>
      </c>
      <c r="C983" s="9">
        <v>1928</v>
      </c>
      <c r="D983" s="10">
        <v>45736</v>
      </c>
      <c r="E983" s="11" t="str">
        <f>+HYPERLINK("http://trademark.i-assist.jp/data/china/image_1928th/82574687.pdf","82574687")</f>
        <v>82574687</v>
      </c>
      <c r="F983" s="9" t="s">
        <v>2786</v>
      </c>
      <c r="G983" s="12" t="s">
        <v>78</v>
      </c>
      <c r="H983" s="9" t="s">
        <v>2787</v>
      </c>
      <c r="I983" s="10">
        <v>45642</v>
      </c>
    </row>
    <row r="984" spans="1:9" x14ac:dyDescent="0.15">
      <c r="A984" s="9">
        <v>983</v>
      </c>
      <c r="B984" s="9" t="s">
        <v>9</v>
      </c>
      <c r="C984" s="9">
        <v>1928</v>
      </c>
      <c r="D984" s="10">
        <v>45736</v>
      </c>
      <c r="E984" s="11" t="str">
        <f>+HYPERLINK("http://trademark.i-assist.jp/data/china/image_1928th/82575015.pdf","82575015")</f>
        <v>82575015</v>
      </c>
      <c r="F984" s="12" t="s">
        <v>2788</v>
      </c>
      <c r="G984" s="9" t="s">
        <v>2472</v>
      </c>
      <c r="H984" s="12" t="s">
        <v>2789</v>
      </c>
      <c r="I984" s="10">
        <v>45641</v>
      </c>
    </row>
    <row r="985" spans="1:9" x14ac:dyDescent="0.15">
      <c r="A985" s="9">
        <v>984</v>
      </c>
      <c r="B985" s="9" t="s">
        <v>9</v>
      </c>
      <c r="C985" s="9">
        <v>1928</v>
      </c>
      <c r="D985" s="10">
        <v>45736</v>
      </c>
      <c r="E985" s="11" t="str">
        <f>+HYPERLINK("http://trademark.i-assist.jp/data/china/image_1928th/82575459.pdf","82575459")</f>
        <v>82575459</v>
      </c>
      <c r="F985" s="9" t="s">
        <v>2790</v>
      </c>
      <c r="G985" s="12" t="s">
        <v>2791</v>
      </c>
      <c r="H985" s="9" t="s">
        <v>2792</v>
      </c>
      <c r="I985" s="10">
        <v>45642</v>
      </c>
    </row>
    <row r="986" spans="1:9" x14ac:dyDescent="0.15">
      <c r="A986" s="9">
        <v>985</v>
      </c>
      <c r="B986" s="9" t="s">
        <v>9</v>
      </c>
      <c r="C986" s="9">
        <v>1928</v>
      </c>
      <c r="D986" s="10">
        <v>45736</v>
      </c>
      <c r="E986" s="11" t="str">
        <f>+HYPERLINK("http://trademark.i-assist.jp/data/china/image_1928th/82575849.pdf","82575849")</f>
        <v>82575849</v>
      </c>
      <c r="F986" s="12" t="s">
        <v>2793</v>
      </c>
      <c r="G986" s="9" t="s">
        <v>2794</v>
      </c>
      <c r="H986" s="9" t="s">
        <v>2795</v>
      </c>
      <c r="I986" s="10">
        <v>45643</v>
      </c>
    </row>
    <row r="987" spans="1:9" x14ac:dyDescent="0.15">
      <c r="A987" s="9">
        <v>986</v>
      </c>
      <c r="B987" s="9" t="s">
        <v>9</v>
      </c>
      <c r="C987" s="9">
        <v>1928</v>
      </c>
      <c r="D987" s="10">
        <v>45736</v>
      </c>
      <c r="E987" s="11" t="str">
        <f>+HYPERLINK("http://trademark.i-assist.jp/data/china/image_1928th/82576004.pdf","82576004")</f>
        <v>82576004</v>
      </c>
      <c r="F987" s="9" t="s">
        <v>2796</v>
      </c>
      <c r="G987" s="9" t="s">
        <v>2797</v>
      </c>
      <c r="H987" s="12" t="s">
        <v>2798</v>
      </c>
      <c r="I987" s="10">
        <v>45642</v>
      </c>
    </row>
    <row r="988" spans="1:9" x14ac:dyDescent="0.15">
      <c r="A988" s="9">
        <v>987</v>
      </c>
      <c r="B988" s="9" t="s">
        <v>9</v>
      </c>
      <c r="C988" s="9">
        <v>1928</v>
      </c>
      <c r="D988" s="10">
        <v>45736</v>
      </c>
      <c r="E988" s="11" t="str">
        <f>+HYPERLINK("http://trademark.i-assist.jp/data/china/image_1928th/82576006.pdf","82576006")</f>
        <v>82576006</v>
      </c>
      <c r="F988" s="9" t="s">
        <v>2799</v>
      </c>
      <c r="G988" s="12" t="s">
        <v>2800</v>
      </c>
      <c r="H988" s="9" t="s">
        <v>2801</v>
      </c>
      <c r="I988" s="10">
        <v>45642</v>
      </c>
    </row>
    <row r="989" spans="1:9" x14ac:dyDescent="0.15">
      <c r="A989" s="9">
        <v>988</v>
      </c>
      <c r="B989" s="9" t="s">
        <v>9</v>
      </c>
      <c r="C989" s="9">
        <v>1928</v>
      </c>
      <c r="D989" s="10">
        <v>45736</v>
      </c>
      <c r="E989" s="11" t="str">
        <f>+HYPERLINK("http://trademark.i-assist.jp/data/china/image_1928th/82577018.pdf","82577018")</f>
        <v>82577018</v>
      </c>
      <c r="F989" s="9" t="s">
        <v>2802</v>
      </c>
      <c r="G989" s="9" t="s">
        <v>2803</v>
      </c>
      <c r="H989" s="9" t="s">
        <v>2804</v>
      </c>
      <c r="I989" s="10">
        <v>45642</v>
      </c>
    </row>
    <row r="990" spans="1:9" x14ac:dyDescent="0.15">
      <c r="A990" s="9">
        <v>989</v>
      </c>
      <c r="B990" s="9" t="s">
        <v>9</v>
      </c>
      <c r="C990" s="9">
        <v>1928</v>
      </c>
      <c r="D990" s="10">
        <v>45736</v>
      </c>
      <c r="E990" s="11" t="str">
        <f>+HYPERLINK("http://trademark.i-assist.jp/data/china/image_1928th/82577054.pdf","82577054")</f>
        <v>82577054</v>
      </c>
      <c r="F990" s="9" t="s">
        <v>2805</v>
      </c>
      <c r="G990" s="9" t="s">
        <v>1504</v>
      </c>
      <c r="H990" s="9" t="s">
        <v>2806</v>
      </c>
      <c r="I990" s="10">
        <v>45642</v>
      </c>
    </row>
    <row r="991" spans="1:9" x14ac:dyDescent="0.15">
      <c r="A991" s="9">
        <v>990</v>
      </c>
      <c r="B991" s="9" t="s">
        <v>9</v>
      </c>
      <c r="C991" s="9">
        <v>1928</v>
      </c>
      <c r="D991" s="10">
        <v>45736</v>
      </c>
      <c r="E991" s="11" t="str">
        <f>+HYPERLINK("http://trademark.i-assist.jp/data/china/image_1928th/82577728.pdf","82577728")</f>
        <v>82577728</v>
      </c>
      <c r="F991" s="9" t="s">
        <v>2807</v>
      </c>
      <c r="G991" s="12" t="s">
        <v>46</v>
      </c>
      <c r="H991" s="9" t="s">
        <v>2808</v>
      </c>
      <c r="I991" s="10">
        <v>45642</v>
      </c>
    </row>
    <row r="992" spans="1:9" x14ac:dyDescent="0.15">
      <c r="A992" s="9">
        <v>991</v>
      </c>
      <c r="B992" s="9" t="s">
        <v>9</v>
      </c>
      <c r="C992" s="9">
        <v>1928</v>
      </c>
      <c r="D992" s="10">
        <v>45736</v>
      </c>
      <c r="E992" s="11" t="str">
        <f>+HYPERLINK("http://trademark.i-assist.jp/data/china/image_1928th/82577792.pdf","82577792")</f>
        <v>82577792</v>
      </c>
      <c r="F992" s="9" t="s">
        <v>2809</v>
      </c>
      <c r="G992" s="9" t="s">
        <v>2810</v>
      </c>
      <c r="H992" s="9" t="s">
        <v>2811</v>
      </c>
      <c r="I992" s="10">
        <v>45642</v>
      </c>
    </row>
    <row r="993" spans="1:9" x14ac:dyDescent="0.15">
      <c r="A993" s="9">
        <v>992</v>
      </c>
      <c r="B993" s="9" t="s">
        <v>9</v>
      </c>
      <c r="C993" s="9">
        <v>1928</v>
      </c>
      <c r="D993" s="10">
        <v>45736</v>
      </c>
      <c r="E993" s="11" t="str">
        <f>+HYPERLINK("http://trademark.i-assist.jp/data/china/image_1928th/82578069.pdf","82578069")</f>
        <v>82578069</v>
      </c>
      <c r="F993" s="9" t="s">
        <v>2812</v>
      </c>
      <c r="G993" s="9" t="s">
        <v>2580</v>
      </c>
      <c r="H993" s="9" t="s">
        <v>2813</v>
      </c>
      <c r="I993" s="10">
        <v>45642</v>
      </c>
    </row>
    <row r="994" spans="1:9" x14ac:dyDescent="0.15">
      <c r="A994" s="9">
        <v>993</v>
      </c>
      <c r="B994" s="9" t="s">
        <v>9</v>
      </c>
      <c r="C994" s="9">
        <v>1928</v>
      </c>
      <c r="D994" s="10">
        <v>45736</v>
      </c>
      <c r="E994" s="11" t="str">
        <f>+HYPERLINK("http://trademark.i-assist.jp/data/china/image_1928th/82578221.pdf","82578221")</f>
        <v>82578221</v>
      </c>
      <c r="F994" s="9" t="s">
        <v>2814</v>
      </c>
      <c r="G994" s="9" t="s">
        <v>2815</v>
      </c>
      <c r="H994" s="9" t="s">
        <v>2816</v>
      </c>
      <c r="I994" s="10">
        <v>45642</v>
      </c>
    </row>
    <row r="995" spans="1:9" x14ac:dyDescent="0.15">
      <c r="A995" s="9">
        <v>994</v>
      </c>
      <c r="B995" s="9" t="s">
        <v>9</v>
      </c>
      <c r="C995" s="9">
        <v>1928</v>
      </c>
      <c r="D995" s="10">
        <v>45736</v>
      </c>
      <c r="E995" s="11" t="str">
        <f>+HYPERLINK("http://trademark.i-assist.jp/data/china/image_1928th/82578316.pdf","82578316")</f>
        <v>82578316</v>
      </c>
      <c r="F995" s="9" t="s">
        <v>2817</v>
      </c>
      <c r="G995" s="9" t="s">
        <v>1504</v>
      </c>
      <c r="H995" s="9" t="s">
        <v>2818</v>
      </c>
      <c r="I995" s="10">
        <v>45642</v>
      </c>
    </row>
    <row r="996" spans="1:9" x14ac:dyDescent="0.15">
      <c r="A996" s="9">
        <v>995</v>
      </c>
      <c r="B996" s="9" t="s">
        <v>9</v>
      </c>
      <c r="C996" s="9">
        <v>1928</v>
      </c>
      <c r="D996" s="10">
        <v>45736</v>
      </c>
      <c r="E996" s="11" t="str">
        <f>+HYPERLINK("http://trademark.i-assist.jp/data/china/image_1928th/82578614.pdf","82578614")</f>
        <v>82578614</v>
      </c>
      <c r="F996" s="9" t="s">
        <v>2819</v>
      </c>
      <c r="G996" s="9" t="s">
        <v>57</v>
      </c>
      <c r="H996" s="9" t="s">
        <v>2820</v>
      </c>
      <c r="I996" s="10">
        <v>45642</v>
      </c>
    </row>
    <row r="997" spans="1:9" x14ac:dyDescent="0.15">
      <c r="A997" s="9">
        <v>996</v>
      </c>
      <c r="B997" s="9" t="s">
        <v>9</v>
      </c>
      <c r="C997" s="9">
        <v>1928</v>
      </c>
      <c r="D997" s="10">
        <v>45736</v>
      </c>
      <c r="E997" s="11" t="str">
        <f>+HYPERLINK("http://trademark.i-assist.jp/data/china/image_1928th/82578799.pdf","82578799")</f>
        <v>82578799</v>
      </c>
      <c r="F997" s="9" t="s">
        <v>2821</v>
      </c>
      <c r="G997" s="9" t="s">
        <v>2822</v>
      </c>
      <c r="H997" s="9" t="s">
        <v>2823</v>
      </c>
      <c r="I997" s="10">
        <v>45642</v>
      </c>
    </row>
    <row r="998" spans="1:9" x14ac:dyDescent="0.15">
      <c r="A998" s="9">
        <v>997</v>
      </c>
      <c r="B998" s="9" t="s">
        <v>9</v>
      </c>
      <c r="C998" s="9">
        <v>1928</v>
      </c>
      <c r="D998" s="10">
        <v>45736</v>
      </c>
      <c r="E998" s="11" t="str">
        <f>+HYPERLINK("http://trademark.i-assist.jp/data/china/image_1928th/82579001.pdf","82579001")</f>
        <v>82579001</v>
      </c>
      <c r="F998" s="9" t="s">
        <v>2824</v>
      </c>
      <c r="G998" s="9" t="s">
        <v>2656</v>
      </c>
      <c r="H998" s="9" t="s">
        <v>2825</v>
      </c>
      <c r="I998" s="10">
        <v>45641</v>
      </c>
    </row>
    <row r="999" spans="1:9" x14ac:dyDescent="0.15">
      <c r="A999" s="9">
        <v>998</v>
      </c>
      <c r="B999" s="9" t="s">
        <v>9</v>
      </c>
      <c r="C999" s="9">
        <v>1928</v>
      </c>
      <c r="D999" s="10">
        <v>45736</v>
      </c>
      <c r="E999" s="11" t="str">
        <f>+HYPERLINK("http://trademark.i-assist.jp/data/china/image_1928th/82579158.pdf","82579158")</f>
        <v>82579158</v>
      </c>
      <c r="F999" s="12" t="s">
        <v>2826</v>
      </c>
      <c r="G999" s="12" t="s">
        <v>2826</v>
      </c>
      <c r="H999" s="9" t="s">
        <v>2827</v>
      </c>
      <c r="I999" s="10">
        <v>45642</v>
      </c>
    </row>
    <row r="1000" spans="1:9" x14ac:dyDescent="0.15">
      <c r="A1000" s="9">
        <v>999</v>
      </c>
      <c r="B1000" s="9" t="s">
        <v>9</v>
      </c>
      <c r="C1000" s="9">
        <v>1928</v>
      </c>
      <c r="D1000" s="10">
        <v>45736</v>
      </c>
      <c r="E1000" s="11" t="str">
        <f>+HYPERLINK("http://trademark.i-assist.jp/data/china/image_1928th/82579203.pdf","82579203")</f>
        <v>82579203</v>
      </c>
      <c r="F1000" s="9" t="s">
        <v>2828</v>
      </c>
      <c r="G1000" s="9" t="s">
        <v>2829</v>
      </c>
      <c r="H1000" s="9" t="s">
        <v>2830</v>
      </c>
      <c r="I1000" s="10">
        <v>45642</v>
      </c>
    </row>
    <row r="1001" spans="1:9" x14ac:dyDescent="0.15">
      <c r="A1001" s="9">
        <v>1000</v>
      </c>
      <c r="B1001" s="9" t="s">
        <v>9</v>
      </c>
      <c r="C1001" s="9">
        <v>1928</v>
      </c>
      <c r="D1001" s="10">
        <v>45736</v>
      </c>
      <c r="E1001" s="11" t="str">
        <f>+HYPERLINK("http://trademark.i-assist.jp/data/china/image_1928th/82579317.pdf","82579317")</f>
        <v>82579317</v>
      </c>
      <c r="F1001" s="12" t="s">
        <v>2831</v>
      </c>
      <c r="G1001" s="12" t="s">
        <v>2832</v>
      </c>
      <c r="H1001" s="9" t="s">
        <v>2833</v>
      </c>
      <c r="I1001" s="10">
        <v>45642</v>
      </c>
    </row>
    <row r="1002" spans="1:9" x14ac:dyDescent="0.15">
      <c r="A1002" s="9">
        <v>1001</v>
      </c>
      <c r="B1002" s="9" t="s">
        <v>9</v>
      </c>
      <c r="C1002" s="9">
        <v>1928</v>
      </c>
      <c r="D1002" s="10">
        <v>45736</v>
      </c>
      <c r="E1002" s="11" t="str">
        <f>+HYPERLINK("http://trademark.i-assist.jp/data/china/image_1928th/82579455.pdf","82579455")</f>
        <v>82579455</v>
      </c>
      <c r="F1002" s="9" t="s">
        <v>2834</v>
      </c>
      <c r="G1002" s="9" t="s">
        <v>2659</v>
      </c>
      <c r="H1002" s="9" t="s">
        <v>2835</v>
      </c>
      <c r="I1002" s="10">
        <v>45642</v>
      </c>
    </row>
    <row r="1003" spans="1:9" x14ac:dyDescent="0.15">
      <c r="A1003" s="9">
        <v>1002</v>
      </c>
      <c r="B1003" s="9" t="s">
        <v>9</v>
      </c>
      <c r="C1003" s="9">
        <v>1928</v>
      </c>
      <c r="D1003" s="10">
        <v>45736</v>
      </c>
      <c r="E1003" s="11" t="str">
        <f>+HYPERLINK("http://trademark.i-assist.jp/data/china/image_1928th/82579560.pdf","82579560")</f>
        <v>82579560</v>
      </c>
      <c r="F1003" s="9" t="s">
        <v>2836</v>
      </c>
      <c r="G1003" s="9" t="s">
        <v>2837</v>
      </c>
      <c r="H1003" s="9" t="s">
        <v>2838</v>
      </c>
      <c r="I1003" s="10">
        <v>45642</v>
      </c>
    </row>
    <row r="1004" spans="1:9" x14ac:dyDescent="0.15">
      <c r="A1004" s="9">
        <v>1003</v>
      </c>
      <c r="B1004" s="9" t="s">
        <v>9</v>
      </c>
      <c r="C1004" s="9">
        <v>1928</v>
      </c>
      <c r="D1004" s="10">
        <v>45736</v>
      </c>
      <c r="E1004" s="11" t="str">
        <f>+HYPERLINK("http://trademark.i-assist.jp/data/china/image_1928th/82579884.pdf","82579884")</f>
        <v>82579884</v>
      </c>
      <c r="F1004" s="9" t="s">
        <v>2839</v>
      </c>
      <c r="G1004" s="9" t="s">
        <v>2840</v>
      </c>
      <c r="H1004" s="9" t="s">
        <v>2841</v>
      </c>
      <c r="I1004" s="10">
        <v>45642</v>
      </c>
    </row>
    <row r="1005" spans="1:9" x14ac:dyDescent="0.15">
      <c r="A1005" s="9">
        <v>1004</v>
      </c>
      <c r="B1005" s="9" t="s">
        <v>9</v>
      </c>
      <c r="C1005" s="9">
        <v>1928</v>
      </c>
      <c r="D1005" s="10">
        <v>45736</v>
      </c>
      <c r="E1005" s="11" t="str">
        <f>+HYPERLINK("http://trademark.i-assist.jp/data/china/image_1928th/82580484.pdf","82580484")</f>
        <v>82580484</v>
      </c>
      <c r="F1005" s="12" t="s">
        <v>2842</v>
      </c>
      <c r="G1005" s="9" t="s">
        <v>2742</v>
      </c>
      <c r="H1005" s="9" t="s">
        <v>2843</v>
      </c>
      <c r="I1005" s="10">
        <v>45641</v>
      </c>
    </row>
    <row r="1006" spans="1:9" x14ac:dyDescent="0.15">
      <c r="A1006" s="9">
        <v>1005</v>
      </c>
      <c r="B1006" s="9" t="s">
        <v>9</v>
      </c>
      <c r="C1006" s="9">
        <v>1928</v>
      </c>
      <c r="D1006" s="10">
        <v>45736</v>
      </c>
      <c r="E1006" s="11" t="str">
        <f>+HYPERLINK("http://trademark.i-assist.jp/data/china/image_1928th/82580526.pdf","82580526")</f>
        <v>82580526</v>
      </c>
      <c r="F1006" s="9" t="s">
        <v>2844</v>
      </c>
      <c r="G1006" s="9" t="s">
        <v>2845</v>
      </c>
      <c r="H1006" s="9" t="s">
        <v>2846</v>
      </c>
      <c r="I1006" s="10">
        <v>45641</v>
      </c>
    </row>
    <row r="1007" spans="1:9" x14ac:dyDescent="0.15">
      <c r="A1007" s="9">
        <v>1006</v>
      </c>
      <c r="B1007" s="9" t="s">
        <v>9</v>
      </c>
      <c r="C1007" s="9">
        <v>1928</v>
      </c>
      <c r="D1007" s="10">
        <v>45736</v>
      </c>
      <c r="E1007" s="11" t="str">
        <f>+HYPERLINK("http://trademark.i-assist.jp/data/china/image_1928th/82580551.pdf","82580551")</f>
        <v>82580551</v>
      </c>
      <c r="F1007" s="9" t="s">
        <v>2847</v>
      </c>
      <c r="G1007" s="9" t="s">
        <v>2472</v>
      </c>
      <c r="H1007" s="12" t="s">
        <v>2848</v>
      </c>
      <c r="I1007" s="10">
        <v>45641</v>
      </c>
    </row>
    <row r="1008" spans="1:9" x14ac:dyDescent="0.15">
      <c r="A1008" s="9">
        <v>1007</v>
      </c>
      <c r="B1008" s="9" t="s">
        <v>9</v>
      </c>
      <c r="C1008" s="9">
        <v>1928</v>
      </c>
      <c r="D1008" s="10">
        <v>45736</v>
      </c>
      <c r="E1008" s="11" t="str">
        <f>+HYPERLINK("http://trademark.i-assist.jp/data/china/image_1928th/82580553.pdf","82580553")</f>
        <v>82580553</v>
      </c>
      <c r="F1008" s="9" t="s">
        <v>2849</v>
      </c>
      <c r="G1008" s="9" t="s">
        <v>2472</v>
      </c>
      <c r="H1008" s="9" t="s">
        <v>2850</v>
      </c>
      <c r="I1008" s="10">
        <v>45641</v>
      </c>
    </row>
    <row r="1009" spans="1:9" x14ac:dyDescent="0.15">
      <c r="A1009" s="9">
        <v>1008</v>
      </c>
      <c r="B1009" s="9" t="s">
        <v>9</v>
      </c>
      <c r="C1009" s="9">
        <v>1928</v>
      </c>
      <c r="D1009" s="10">
        <v>45736</v>
      </c>
      <c r="E1009" s="11" t="str">
        <f>+HYPERLINK("http://trademark.i-assist.jp/data/china/image_1928th/82580568.pdf","82580568")</f>
        <v>82580568</v>
      </c>
      <c r="F1009" s="9" t="s">
        <v>2851</v>
      </c>
      <c r="G1009" s="12" t="s">
        <v>2852</v>
      </c>
      <c r="H1009" s="9" t="s">
        <v>2853</v>
      </c>
      <c r="I1009" s="10">
        <v>45641</v>
      </c>
    </row>
    <row r="1010" spans="1:9" x14ac:dyDescent="0.15">
      <c r="A1010" s="9">
        <v>1009</v>
      </c>
      <c r="B1010" s="9" t="s">
        <v>9</v>
      </c>
      <c r="C1010" s="9">
        <v>1928</v>
      </c>
      <c r="D1010" s="10">
        <v>45736</v>
      </c>
      <c r="E1010" s="11" t="str">
        <f>+HYPERLINK("http://trademark.i-assist.jp/data/china/image_1928th/82581563.pdf","82581563")</f>
        <v>82581563</v>
      </c>
      <c r="F1010" s="9" t="s">
        <v>2854</v>
      </c>
      <c r="G1010" s="9" t="s">
        <v>2855</v>
      </c>
      <c r="H1010" s="9" t="s">
        <v>2856</v>
      </c>
      <c r="I1010" s="10">
        <v>45642</v>
      </c>
    </row>
    <row r="1011" spans="1:9" x14ac:dyDescent="0.15">
      <c r="A1011" s="9">
        <v>1010</v>
      </c>
      <c r="B1011" s="9" t="s">
        <v>9</v>
      </c>
      <c r="C1011" s="9">
        <v>1928</v>
      </c>
      <c r="D1011" s="10">
        <v>45736</v>
      </c>
      <c r="E1011" s="11" t="str">
        <f>+HYPERLINK("http://trademark.i-assist.jp/data/china/image_1928th/82581844.pdf","82581844")</f>
        <v>82581844</v>
      </c>
      <c r="F1011" s="12" t="s">
        <v>2857</v>
      </c>
      <c r="G1011" s="9" t="s">
        <v>63</v>
      </c>
      <c r="H1011" s="12" t="s">
        <v>2858</v>
      </c>
      <c r="I1011" s="10">
        <v>45642</v>
      </c>
    </row>
    <row r="1012" spans="1:9" x14ac:dyDescent="0.15">
      <c r="A1012" s="9">
        <v>1011</v>
      </c>
      <c r="B1012" s="9" t="s">
        <v>9</v>
      </c>
      <c r="C1012" s="9">
        <v>1928</v>
      </c>
      <c r="D1012" s="10">
        <v>45736</v>
      </c>
      <c r="E1012" s="11" t="str">
        <f>+HYPERLINK("http://trademark.i-assist.jp/data/china/image_1928th/82581862.pdf","82581862")</f>
        <v>82581862</v>
      </c>
      <c r="F1012" s="9" t="s">
        <v>2859</v>
      </c>
      <c r="G1012" s="9" t="s">
        <v>2860</v>
      </c>
      <c r="H1012" s="9" t="s">
        <v>2861</v>
      </c>
      <c r="I1012" s="10">
        <v>45642</v>
      </c>
    </row>
    <row r="1013" spans="1:9" x14ac:dyDescent="0.15">
      <c r="A1013" s="9">
        <v>1012</v>
      </c>
      <c r="B1013" s="9" t="s">
        <v>9</v>
      </c>
      <c r="C1013" s="9">
        <v>1928</v>
      </c>
      <c r="D1013" s="10">
        <v>45736</v>
      </c>
      <c r="E1013" s="11" t="str">
        <f>+HYPERLINK("http://trademark.i-assist.jp/data/china/image_1928th/82581910.pdf","82581910")</f>
        <v>82581910</v>
      </c>
      <c r="F1013" s="9" t="s">
        <v>2862</v>
      </c>
      <c r="G1013" s="12" t="s">
        <v>2689</v>
      </c>
      <c r="H1013" s="9" t="s">
        <v>2863</v>
      </c>
      <c r="I1013" s="10">
        <v>45642</v>
      </c>
    </row>
    <row r="1014" spans="1:9" x14ac:dyDescent="0.15">
      <c r="A1014" s="9">
        <v>1013</v>
      </c>
      <c r="B1014" s="9" t="s">
        <v>9</v>
      </c>
      <c r="C1014" s="9">
        <v>1928</v>
      </c>
      <c r="D1014" s="10">
        <v>45736</v>
      </c>
      <c r="E1014" s="11" t="str">
        <f>+HYPERLINK("http://trademark.i-assist.jp/data/china/image_1928th/82582083.pdf","82582083")</f>
        <v>82582083</v>
      </c>
      <c r="F1014" s="9" t="s">
        <v>2864</v>
      </c>
      <c r="G1014" s="9" t="s">
        <v>2865</v>
      </c>
      <c r="H1014" s="9" t="s">
        <v>2866</v>
      </c>
      <c r="I1014" s="10">
        <v>45642</v>
      </c>
    </row>
    <row r="1015" spans="1:9" x14ac:dyDescent="0.15">
      <c r="A1015" s="9">
        <v>1014</v>
      </c>
      <c r="B1015" s="9" t="s">
        <v>9</v>
      </c>
      <c r="C1015" s="9">
        <v>1928</v>
      </c>
      <c r="D1015" s="10">
        <v>45736</v>
      </c>
      <c r="E1015" s="11" t="str">
        <f>+HYPERLINK("http://trademark.i-assist.jp/data/china/image_1928th/82582543.pdf","82582543")</f>
        <v>82582543</v>
      </c>
      <c r="F1015" s="9" t="s">
        <v>2867</v>
      </c>
      <c r="G1015" s="9" t="s">
        <v>2822</v>
      </c>
      <c r="H1015" s="9" t="s">
        <v>2868</v>
      </c>
      <c r="I1015" s="10">
        <v>45642</v>
      </c>
    </row>
    <row r="1016" spans="1:9" x14ac:dyDescent="0.15">
      <c r="A1016" s="9">
        <v>1015</v>
      </c>
      <c r="B1016" s="9" t="s">
        <v>9</v>
      </c>
      <c r="C1016" s="9">
        <v>1928</v>
      </c>
      <c r="D1016" s="10">
        <v>45736</v>
      </c>
      <c r="E1016" s="11" t="str">
        <f>+HYPERLINK("http://trademark.i-assist.jp/data/china/image_1928th/82582559.pdf","82582559")</f>
        <v>82582559</v>
      </c>
      <c r="F1016" s="9" t="s">
        <v>2869</v>
      </c>
      <c r="G1016" s="9" t="s">
        <v>1827</v>
      </c>
      <c r="H1016" s="9" t="s">
        <v>2870</v>
      </c>
      <c r="I1016" s="10">
        <v>45642</v>
      </c>
    </row>
    <row r="1017" spans="1:9" x14ac:dyDescent="0.15">
      <c r="A1017" s="9">
        <v>1016</v>
      </c>
      <c r="B1017" s="9" t="s">
        <v>9</v>
      </c>
      <c r="C1017" s="9">
        <v>1928</v>
      </c>
      <c r="D1017" s="10">
        <v>45736</v>
      </c>
      <c r="E1017" s="11" t="str">
        <f>+HYPERLINK("http://trademark.i-assist.jp/data/china/image_1928th/82582917.pdf","82582917")</f>
        <v>82582917</v>
      </c>
      <c r="F1017" s="12" t="s">
        <v>2871</v>
      </c>
      <c r="G1017" s="12" t="s">
        <v>2832</v>
      </c>
      <c r="H1017" s="9" t="s">
        <v>2872</v>
      </c>
      <c r="I1017" s="10">
        <v>45642</v>
      </c>
    </row>
    <row r="1018" spans="1:9" x14ac:dyDescent="0.15">
      <c r="A1018" s="9">
        <v>1017</v>
      </c>
      <c r="B1018" s="9" t="s">
        <v>9</v>
      </c>
      <c r="C1018" s="9">
        <v>1928</v>
      </c>
      <c r="D1018" s="10">
        <v>45736</v>
      </c>
      <c r="E1018" s="11" t="str">
        <f>+HYPERLINK("http://trademark.i-assist.jp/data/china/image_1928th/82582961.pdf","82582961")</f>
        <v>82582961</v>
      </c>
      <c r="F1018" s="9" t="s">
        <v>2873</v>
      </c>
      <c r="G1018" s="9" t="s">
        <v>2874</v>
      </c>
      <c r="H1018" s="9" t="s">
        <v>2875</v>
      </c>
      <c r="I1018" s="10">
        <v>45642</v>
      </c>
    </row>
    <row r="1019" spans="1:9" x14ac:dyDescent="0.15">
      <c r="A1019" s="9">
        <v>1018</v>
      </c>
      <c r="B1019" s="9" t="s">
        <v>9</v>
      </c>
      <c r="C1019" s="9">
        <v>1928</v>
      </c>
      <c r="D1019" s="10">
        <v>45736</v>
      </c>
      <c r="E1019" s="11" t="str">
        <f>+HYPERLINK("http://trademark.i-assist.jp/data/china/image_1928th/82583314.pdf","82583314")</f>
        <v>82583314</v>
      </c>
      <c r="F1019" s="9" t="s">
        <v>2876</v>
      </c>
      <c r="G1019" s="9" t="s">
        <v>2472</v>
      </c>
      <c r="H1019" s="9" t="s">
        <v>2877</v>
      </c>
      <c r="I1019" s="10">
        <v>45641</v>
      </c>
    </row>
    <row r="1020" spans="1:9" x14ac:dyDescent="0.15">
      <c r="A1020" s="9">
        <v>1019</v>
      </c>
      <c r="B1020" s="9" t="s">
        <v>9</v>
      </c>
      <c r="C1020" s="9">
        <v>1928</v>
      </c>
      <c r="D1020" s="10">
        <v>45736</v>
      </c>
      <c r="E1020" s="11" t="str">
        <f>+HYPERLINK("http://trademark.i-assist.jp/data/china/image_1928th/82583469.pdf","82583469")</f>
        <v>82583469</v>
      </c>
      <c r="F1020" s="12" t="s">
        <v>2878</v>
      </c>
      <c r="G1020" s="9" t="s">
        <v>2879</v>
      </c>
      <c r="H1020" s="9" t="s">
        <v>2880</v>
      </c>
      <c r="I1020" s="10">
        <v>45642</v>
      </c>
    </row>
    <row r="1021" spans="1:9" x14ac:dyDescent="0.15">
      <c r="A1021" s="9">
        <v>1020</v>
      </c>
      <c r="B1021" s="9" t="s">
        <v>9</v>
      </c>
      <c r="C1021" s="9">
        <v>1928</v>
      </c>
      <c r="D1021" s="10">
        <v>45736</v>
      </c>
      <c r="E1021" s="11" t="str">
        <f>+HYPERLINK("http://trademark.i-assist.jp/data/china/image_1928th/82583515.pdf","82583515")</f>
        <v>82583515</v>
      </c>
      <c r="F1021" s="9" t="s">
        <v>2881</v>
      </c>
      <c r="G1021" s="12" t="s">
        <v>78</v>
      </c>
      <c r="H1021" s="9" t="s">
        <v>2882</v>
      </c>
      <c r="I1021" s="10">
        <v>45642</v>
      </c>
    </row>
    <row r="1022" spans="1:9" x14ac:dyDescent="0.15">
      <c r="A1022" s="9">
        <v>1021</v>
      </c>
      <c r="B1022" s="9" t="s">
        <v>9</v>
      </c>
      <c r="C1022" s="9">
        <v>1928</v>
      </c>
      <c r="D1022" s="10">
        <v>45736</v>
      </c>
      <c r="E1022" s="11" t="str">
        <f>+HYPERLINK("http://trademark.i-assist.jp/data/china/image_1928th/82585172.pdf","82585172")</f>
        <v>82585172</v>
      </c>
      <c r="F1022" s="9" t="s">
        <v>2883</v>
      </c>
      <c r="G1022" s="9" t="s">
        <v>2884</v>
      </c>
      <c r="H1022" s="9" t="s">
        <v>2885</v>
      </c>
      <c r="I1022" s="10">
        <v>45643</v>
      </c>
    </row>
    <row r="1023" spans="1:9" x14ac:dyDescent="0.15">
      <c r="A1023" s="9">
        <v>1022</v>
      </c>
      <c r="B1023" s="9" t="s">
        <v>9</v>
      </c>
      <c r="C1023" s="9">
        <v>1928</v>
      </c>
      <c r="D1023" s="10">
        <v>45736</v>
      </c>
      <c r="E1023" s="11" t="str">
        <f>+HYPERLINK("http://trademark.i-assist.jp/data/china/image_1928th/82585670.pdf","82585670")</f>
        <v>82585670</v>
      </c>
      <c r="F1023" s="9" t="s">
        <v>2886</v>
      </c>
      <c r="G1023" s="9" t="s">
        <v>2887</v>
      </c>
      <c r="H1023" s="12" t="s">
        <v>2888</v>
      </c>
      <c r="I1023" s="10">
        <v>45643</v>
      </c>
    </row>
    <row r="1024" spans="1:9" x14ac:dyDescent="0.15">
      <c r="A1024" s="9">
        <v>1023</v>
      </c>
      <c r="B1024" s="9" t="s">
        <v>9</v>
      </c>
      <c r="C1024" s="9">
        <v>1928</v>
      </c>
      <c r="D1024" s="10">
        <v>45736</v>
      </c>
      <c r="E1024" s="11" t="str">
        <f>+HYPERLINK("http://trademark.i-assist.jp/data/china/image_1928th/82585837.pdf","82585837")</f>
        <v>82585837</v>
      </c>
      <c r="F1024" s="9" t="s">
        <v>2889</v>
      </c>
      <c r="G1024" s="9" t="s">
        <v>2890</v>
      </c>
      <c r="H1024" s="9" t="s">
        <v>2891</v>
      </c>
      <c r="I1024" s="10">
        <v>45643</v>
      </c>
    </row>
    <row r="1025" spans="1:9" x14ac:dyDescent="0.15">
      <c r="A1025" s="9">
        <v>1024</v>
      </c>
      <c r="B1025" s="9" t="s">
        <v>9</v>
      </c>
      <c r="C1025" s="9">
        <v>1928</v>
      </c>
      <c r="D1025" s="10">
        <v>45736</v>
      </c>
      <c r="E1025" s="11" t="str">
        <f>+HYPERLINK("http://trademark.i-assist.jp/data/china/image_1928th/82586185.pdf","82586185")</f>
        <v>82586185</v>
      </c>
      <c r="F1025" s="9" t="s">
        <v>2892</v>
      </c>
      <c r="G1025" s="9" t="s">
        <v>2893</v>
      </c>
      <c r="H1025" s="9" t="s">
        <v>2894</v>
      </c>
      <c r="I1025" s="10">
        <v>45643</v>
      </c>
    </row>
    <row r="1026" spans="1:9" x14ac:dyDescent="0.15">
      <c r="A1026" s="9">
        <v>1025</v>
      </c>
      <c r="B1026" s="9" t="s">
        <v>9</v>
      </c>
      <c r="C1026" s="9">
        <v>1928</v>
      </c>
      <c r="D1026" s="10">
        <v>45736</v>
      </c>
      <c r="E1026" s="11" t="str">
        <f>+HYPERLINK("http://trademark.i-assist.jp/data/china/image_1928th/82586235.pdf","82586235")</f>
        <v>82586235</v>
      </c>
      <c r="F1026" s="12" t="s">
        <v>2895</v>
      </c>
      <c r="G1026" s="9" t="s">
        <v>2896</v>
      </c>
      <c r="H1026" s="12" t="s">
        <v>2897</v>
      </c>
      <c r="I1026" s="10">
        <v>45643</v>
      </c>
    </row>
    <row r="1027" spans="1:9" x14ac:dyDescent="0.15">
      <c r="A1027" s="9">
        <v>1026</v>
      </c>
      <c r="B1027" s="9" t="s">
        <v>9</v>
      </c>
      <c r="C1027" s="9">
        <v>1928</v>
      </c>
      <c r="D1027" s="10">
        <v>45736</v>
      </c>
      <c r="E1027" s="11" t="str">
        <f>+HYPERLINK("http://trademark.i-assist.jp/data/china/image_1928th/82586244.pdf","82586244")</f>
        <v>82586244</v>
      </c>
      <c r="F1027" s="9" t="s">
        <v>2898</v>
      </c>
      <c r="G1027" s="9" t="s">
        <v>2899</v>
      </c>
      <c r="H1027" s="9" t="s">
        <v>2900</v>
      </c>
      <c r="I1027" s="10">
        <v>45643</v>
      </c>
    </row>
    <row r="1028" spans="1:9" x14ac:dyDescent="0.15">
      <c r="A1028" s="9">
        <v>1027</v>
      </c>
      <c r="B1028" s="9" t="s">
        <v>9</v>
      </c>
      <c r="C1028" s="9">
        <v>1928</v>
      </c>
      <c r="D1028" s="10">
        <v>45736</v>
      </c>
      <c r="E1028" s="11" t="str">
        <f>+HYPERLINK("http://trademark.i-assist.jp/data/china/image_1928th/82586276.pdf","82586276")</f>
        <v>82586276</v>
      </c>
      <c r="F1028" s="9" t="s">
        <v>2901</v>
      </c>
      <c r="G1028" s="12" t="s">
        <v>2902</v>
      </c>
      <c r="H1028" s="9" t="s">
        <v>2903</v>
      </c>
      <c r="I1028" s="10">
        <v>45643</v>
      </c>
    </row>
    <row r="1029" spans="1:9" x14ac:dyDescent="0.15">
      <c r="A1029" s="9">
        <v>1028</v>
      </c>
      <c r="B1029" s="9" t="s">
        <v>9</v>
      </c>
      <c r="C1029" s="9">
        <v>1928</v>
      </c>
      <c r="D1029" s="10">
        <v>45736</v>
      </c>
      <c r="E1029" s="11" t="str">
        <f>+HYPERLINK("http://trademark.i-assist.jp/data/china/image_1928th/82586530.pdf","82586530")</f>
        <v>82586530</v>
      </c>
      <c r="F1029" s="9" t="s">
        <v>2904</v>
      </c>
      <c r="G1029" s="12" t="s">
        <v>2905</v>
      </c>
      <c r="H1029" s="9" t="s">
        <v>2906</v>
      </c>
      <c r="I1029" s="10">
        <v>45643</v>
      </c>
    </row>
    <row r="1030" spans="1:9" x14ac:dyDescent="0.15">
      <c r="A1030" s="9">
        <v>1029</v>
      </c>
      <c r="B1030" s="9" t="s">
        <v>9</v>
      </c>
      <c r="C1030" s="9">
        <v>1928</v>
      </c>
      <c r="D1030" s="10">
        <v>45736</v>
      </c>
      <c r="E1030" s="11" t="str">
        <f>+HYPERLINK("http://trademark.i-assist.jp/data/china/image_1928th/82586613.pdf","82586613")</f>
        <v>82586613</v>
      </c>
      <c r="F1030" s="12" t="s">
        <v>18</v>
      </c>
      <c r="G1030" s="9" t="s">
        <v>2907</v>
      </c>
      <c r="H1030" s="9" t="s">
        <v>2908</v>
      </c>
      <c r="I1030" s="10">
        <v>45643</v>
      </c>
    </row>
    <row r="1031" spans="1:9" x14ac:dyDescent="0.15">
      <c r="A1031" s="9">
        <v>1030</v>
      </c>
      <c r="B1031" s="9" t="s">
        <v>9</v>
      </c>
      <c r="C1031" s="9">
        <v>1928</v>
      </c>
      <c r="D1031" s="10">
        <v>45736</v>
      </c>
      <c r="E1031" s="11" t="str">
        <f>+HYPERLINK("http://trademark.i-assist.jp/data/china/image_1928th/82586987.pdf","82586987")</f>
        <v>82586987</v>
      </c>
      <c r="F1031" s="9" t="s">
        <v>2909</v>
      </c>
      <c r="G1031" s="9" t="s">
        <v>2910</v>
      </c>
      <c r="H1031" s="9" t="s">
        <v>2911</v>
      </c>
      <c r="I1031" s="10">
        <v>45659</v>
      </c>
    </row>
    <row r="1032" spans="1:9" x14ac:dyDescent="0.15">
      <c r="A1032" s="9">
        <v>1031</v>
      </c>
      <c r="B1032" s="9" t="s">
        <v>9</v>
      </c>
      <c r="C1032" s="9">
        <v>1928</v>
      </c>
      <c r="D1032" s="10">
        <v>45736</v>
      </c>
      <c r="E1032" s="11" t="str">
        <f>+HYPERLINK("http://trademark.i-assist.jp/data/china/image_1928th/82587245.pdf","82587245")</f>
        <v>82587245</v>
      </c>
      <c r="F1032" s="9" t="s">
        <v>2912</v>
      </c>
      <c r="G1032" s="9" t="s">
        <v>2913</v>
      </c>
      <c r="H1032" s="9" t="s">
        <v>2914</v>
      </c>
      <c r="I1032" s="10">
        <v>45643</v>
      </c>
    </row>
    <row r="1033" spans="1:9" x14ac:dyDescent="0.15">
      <c r="A1033" s="9">
        <v>1032</v>
      </c>
      <c r="B1033" s="9" t="s">
        <v>9</v>
      </c>
      <c r="C1033" s="9">
        <v>1928</v>
      </c>
      <c r="D1033" s="10">
        <v>45736</v>
      </c>
      <c r="E1033" s="11" t="str">
        <f>+HYPERLINK("http://trademark.i-assist.jp/data/china/image_1928th/82587719.pdf","82587719")</f>
        <v>82587719</v>
      </c>
      <c r="F1033" s="9" t="s">
        <v>2915</v>
      </c>
      <c r="G1033" s="9" t="s">
        <v>2916</v>
      </c>
      <c r="H1033" s="9" t="s">
        <v>2917</v>
      </c>
      <c r="I1033" s="10">
        <v>45643</v>
      </c>
    </row>
    <row r="1034" spans="1:9" x14ac:dyDescent="0.15">
      <c r="A1034" s="9">
        <v>1033</v>
      </c>
      <c r="B1034" s="9" t="s">
        <v>9</v>
      </c>
      <c r="C1034" s="9">
        <v>1928</v>
      </c>
      <c r="D1034" s="10">
        <v>45736</v>
      </c>
      <c r="E1034" s="11" t="str">
        <f>+HYPERLINK("http://trademark.i-assist.jp/data/china/image_1928th/82587870.pdf","82587870")</f>
        <v>82587870</v>
      </c>
      <c r="F1034" s="12" t="s">
        <v>2918</v>
      </c>
      <c r="G1034" s="12" t="s">
        <v>2919</v>
      </c>
      <c r="H1034" s="9" t="s">
        <v>2920</v>
      </c>
      <c r="I1034" s="10">
        <v>45643</v>
      </c>
    </row>
    <row r="1035" spans="1:9" x14ac:dyDescent="0.15">
      <c r="A1035" s="9">
        <v>1034</v>
      </c>
      <c r="B1035" s="9" t="s">
        <v>9</v>
      </c>
      <c r="C1035" s="9">
        <v>1928</v>
      </c>
      <c r="D1035" s="10">
        <v>45736</v>
      </c>
      <c r="E1035" s="11" t="str">
        <f>+HYPERLINK("http://trademark.i-assist.jp/data/china/image_1928th/82588104.pdf","82588104")</f>
        <v>82588104</v>
      </c>
      <c r="F1035" s="12" t="s">
        <v>2921</v>
      </c>
      <c r="G1035" s="9" t="s">
        <v>2922</v>
      </c>
      <c r="H1035" s="9" t="s">
        <v>2923</v>
      </c>
      <c r="I1035" s="10">
        <v>45643</v>
      </c>
    </row>
    <row r="1036" spans="1:9" x14ac:dyDescent="0.15">
      <c r="A1036" s="9">
        <v>1035</v>
      </c>
      <c r="B1036" s="9" t="s">
        <v>9</v>
      </c>
      <c r="C1036" s="9">
        <v>1928</v>
      </c>
      <c r="D1036" s="10">
        <v>45736</v>
      </c>
      <c r="E1036" s="11" t="str">
        <f>+HYPERLINK("http://trademark.i-assist.jp/data/china/image_1928th/82588792.pdf","82588792")</f>
        <v>82588792</v>
      </c>
      <c r="F1036" s="9" t="s">
        <v>2924</v>
      </c>
      <c r="G1036" s="9" t="s">
        <v>2925</v>
      </c>
      <c r="H1036" s="9" t="s">
        <v>2926</v>
      </c>
      <c r="I1036" s="10">
        <v>45643</v>
      </c>
    </row>
    <row r="1037" spans="1:9" x14ac:dyDescent="0.15">
      <c r="A1037" s="9">
        <v>1036</v>
      </c>
      <c r="B1037" s="9" t="s">
        <v>9</v>
      </c>
      <c r="C1037" s="9">
        <v>1928</v>
      </c>
      <c r="D1037" s="10">
        <v>45736</v>
      </c>
      <c r="E1037" s="11" t="str">
        <f>+HYPERLINK("http://trademark.i-assist.jp/data/china/image_1928th/82588965.pdf","82588965")</f>
        <v>82588965</v>
      </c>
      <c r="F1037" s="9" t="s">
        <v>2927</v>
      </c>
      <c r="G1037" s="9" t="s">
        <v>2928</v>
      </c>
      <c r="H1037" s="9" t="s">
        <v>2929</v>
      </c>
      <c r="I1037" s="10">
        <v>45643</v>
      </c>
    </row>
    <row r="1038" spans="1:9" x14ac:dyDescent="0.15">
      <c r="A1038" s="9">
        <v>1037</v>
      </c>
      <c r="B1038" s="9" t="s">
        <v>9</v>
      </c>
      <c r="C1038" s="9">
        <v>1928</v>
      </c>
      <c r="D1038" s="10">
        <v>45736</v>
      </c>
      <c r="E1038" s="11" t="str">
        <f>+HYPERLINK("http://trademark.i-assist.jp/data/china/image_1928th/82589162.pdf","82589162")</f>
        <v>82589162</v>
      </c>
      <c r="F1038" s="12" t="s">
        <v>2930</v>
      </c>
      <c r="G1038" s="9" t="s">
        <v>2931</v>
      </c>
      <c r="H1038" s="12" t="s">
        <v>2932</v>
      </c>
      <c r="I1038" s="10">
        <v>45643</v>
      </c>
    </row>
    <row r="1039" spans="1:9" x14ac:dyDescent="0.15">
      <c r="A1039" s="9">
        <v>1038</v>
      </c>
      <c r="B1039" s="9" t="s">
        <v>9</v>
      </c>
      <c r="C1039" s="9">
        <v>1928</v>
      </c>
      <c r="D1039" s="10">
        <v>45736</v>
      </c>
      <c r="E1039" s="11" t="str">
        <f>+HYPERLINK("http://trademark.i-assist.jp/data/china/image_1928th/82589688.pdf","82589688")</f>
        <v>82589688</v>
      </c>
      <c r="F1039" s="13" t="s">
        <v>2933</v>
      </c>
      <c r="G1039" s="9" t="s">
        <v>2934</v>
      </c>
      <c r="H1039" s="9" t="s">
        <v>2935</v>
      </c>
      <c r="I1039" s="10">
        <v>45643</v>
      </c>
    </row>
    <row r="1040" spans="1:9" x14ac:dyDescent="0.15">
      <c r="A1040" s="9">
        <v>1039</v>
      </c>
      <c r="B1040" s="9" t="s">
        <v>9</v>
      </c>
      <c r="C1040" s="9">
        <v>1928</v>
      </c>
      <c r="D1040" s="10">
        <v>45736</v>
      </c>
      <c r="E1040" s="11" t="str">
        <f>+HYPERLINK("http://trademark.i-assist.jp/data/china/image_1928th/82590037.pdf","82590037")</f>
        <v>82590037</v>
      </c>
      <c r="F1040" s="9" t="s">
        <v>2936</v>
      </c>
      <c r="G1040" s="12" t="s">
        <v>2937</v>
      </c>
      <c r="H1040" s="9" t="s">
        <v>2938</v>
      </c>
      <c r="I1040" s="10">
        <v>45643</v>
      </c>
    </row>
    <row r="1041" spans="1:9" x14ac:dyDescent="0.15">
      <c r="A1041" s="9">
        <v>1040</v>
      </c>
      <c r="B1041" s="9" t="s">
        <v>9</v>
      </c>
      <c r="C1041" s="9">
        <v>1928</v>
      </c>
      <c r="D1041" s="10">
        <v>45736</v>
      </c>
      <c r="E1041" s="11" t="str">
        <f>+HYPERLINK("http://trademark.i-assist.jp/data/china/image_1928th/82590147.pdf","82590147")</f>
        <v>82590147</v>
      </c>
      <c r="F1041" s="9" t="s">
        <v>2939</v>
      </c>
      <c r="G1041" s="9" t="s">
        <v>2940</v>
      </c>
      <c r="H1041" s="9" t="s">
        <v>2941</v>
      </c>
      <c r="I1041" s="10">
        <v>45643</v>
      </c>
    </row>
    <row r="1042" spans="1:9" x14ac:dyDescent="0.15">
      <c r="A1042" s="9">
        <v>1041</v>
      </c>
      <c r="B1042" s="9" t="s">
        <v>9</v>
      </c>
      <c r="C1042" s="9">
        <v>1928</v>
      </c>
      <c r="D1042" s="10">
        <v>45736</v>
      </c>
      <c r="E1042" s="11" t="str">
        <f>+HYPERLINK("http://trademark.i-assist.jp/data/china/image_1928th/82590265.pdf","82590265")</f>
        <v>82590265</v>
      </c>
      <c r="F1042" s="9" t="s">
        <v>2942</v>
      </c>
      <c r="G1042" s="9" t="s">
        <v>2943</v>
      </c>
      <c r="H1042" s="9" t="s">
        <v>2944</v>
      </c>
      <c r="I1042" s="10">
        <v>45643</v>
      </c>
    </row>
    <row r="1043" spans="1:9" x14ac:dyDescent="0.15">
      <c r="A1043" s="9">
        <v>1042</v>
      </c>
      <c r="B1043" s="9" t="s">
        <v>9</v>
      </c>
      <c r="C1043" s="9">
        <v>1928</v>
      </c>
      <c r="D1043" s="10">
        <v>45736</v>
      </c>
      <c r="E1043" s="11" t="str">
        <f>+HYPERLINK("http://trademark.i-assist.jp/data/china/image_1928th/82590449.pdf","82590449")</f>
        <v>82590449</v>
      </c>
      <c r="F1043" s="9" t="s">
        <v>2945</v>
      </c>
      <c r="G1043" s="9" t="s">
        <v>2946</v>
      </c>
      <c r="H1043" s="9" t="s">
        <v>2947</v>
      </c>
      <c r="I1043" s="10">
        <v>45643</v>
      </c>
    </row>
    <row r="1044" spans="1:9" x14ac:dyDescent="0.15">
      <c r="A1044" s="9">
        <v>1043</v>
      </c>
      <c r="B1044" s="9" t="s">
        <v>9</v>
      </c>
      <c r="C1044" s="9">
        <v>1928</v>
      </c>
      <c r="D1044" s="10">
        <v>45736</v>
      </c>
      <c r="E1044" s="11" t="str">
        <f>+HYPERLINK("http://trademark.i-assist.jp/data/china/image_1928th/82590553.pdf","82590553")</f>
        <v>82590553</v>
      </c>
      <c r="F1044" s="9" t="s">
        <v>2948</v>
      </c>
      <c r="G1044" s="9" t="s">
        <v>2949</v>
      </c>
      <c r="H1044" s="9" t="s">
        <v>2950</v>
      </c>
      <c r="I1044" s="10">
        <v>45643</v>
      </c>
    </row>
    <row r="1045" spans="1:9" x14ac:dyDescent="0.15">
      <c r="A1045" s="9">
        <v>1044</v>
      </c>
      <c r="B1045" s="9" t="s">
        <v>9</v>
      </c>
      <c r="C1045" s="9">
        <v>1928</v>
      </c>
      <c r="D1045" s="10">
        <v>45736</v>
      </c>
      <c r="E1045" s="11" t="str">
        <f>+HYPERLINK("http://trademark.i-assist.jp/data/china/image_1928th/82590655.pdf","82590655")</f>
        <v>82590655</v>
      </c>
      <c r="F1045" s="9" t="s">
        <v>2951</v>
      </c>
      <c r="G1045" s="9" t="s">
        <v>2925</v>
      </c>
      <c r="H1045" s="9" t="s">
        <v>2952</v>
      </c>
      <c r="I1045" s="10">
        <v>45643</v>
      </c>
    </row>
    <row r="1046" spans="1:9" x14ac:dyDescent="0.15">
      <c r="A1046" s="9">
        <v>1045</v>
      </c>
      <c r="B1046" s="9" t="s">
        <v>9</v>
      </c>
      <c r="C1046" s="9">
        <v>1928</v>
      </c>
      <c r="D1046" s="10">
        <v>45736</v>
      </c>
      <c r="E1046" s="11" t="str">
        <f>+HYPERLINK("http://trademark.i-assist.jp/data/china/image_1928th/82591466.pdf","82591466")</f>
        <v>82591466</v>
      </c>
      <c r="F1046" s="9" t="s">
        <v>2953</v>
      </c>
      <c r="G1046" s="9" t="s">
        <v>2893</v>
      </c>
      <c r="H1046" s="9" t="s">
        <v>2954</v>
      </c>
      <c r="I1046" s="10">
        <v>45643</v>
      </c>
    </row>
    <row r="1047" spans="1:9" x14ac:dyDescent="0.15">
      <c r="A1047" s="9">
        <v>1046</v>
      </c>
      <c r="B1047" s="9" t="s">
        <v>9</v>
      </c>
      <c r="C1047" s="9">
        <v>1928</v>
      </c>
      <c r="D1047" s="10">
        <v>45736</v>
      </c>
      <c r="E1047" s="11" t="str">
        <f>+HYPERLINK("http://trademark.i-assist.jp/data/china/image_1928th/82591600.pdf","82591600")</f>
        <v>82591600</v>
      </c>
      <c r="F1047" s="9" t="s">
        <v>2955</v>
      </c>
      <c r="G1047" s="12" t="s">
        <v>2956</v>
      </c>
      <c r="H1047" s="9" t="s">
        <v>2957</v>
      </c>
      <c r="I1047" s="10">
        <v>45643</v>
      </c>
    </row>
    <row r="1048" spans="1:9" x14ac:dyDescent="0.15">
      <c r="A1048" s="9">
        <v>1047</v>
      </c>
      <c r="B1048" s="9" t="s">
        <v>9</v>
      </c>
      <c r="C1048" s="9">
        <v>1928</v>
      </c>
      <c r="D1048" s="10">
        <v>45736</v>
      </c>
      <c r="E1048" s="11" t="str">
        <f>+HYPERLINK("http://trademark.i-assist.jp/data/china/image_1928th/82592176.pdf","82592176")</f>
        <v>82592176</v>
      </c>
      <c r="F1048" s="9" t="s">
        <v>2958</v>
      </c>
      <c r="G1048" s="9" t="s">
        <v>2925</v>
      </c>
      <c r="H1048" s="9" t="s">
        <v>2959</v>
      </c>
      <c r="I1048" s="10">
        <v>45643</v>
      </c>
    </row>
    <row r="1049" spans="1:9" x14ac:dyDescent="0.15">
      <c r="A1049" s="9">
        <v>1048</v>
      </c>
      <c r="B1049" s="9" t="s">
        <v>9</v>
      </c>
      <c r="C1049" s="9">
        <v>1928</v>
      </c>
      <c r="D1049" s="10">
        <v>45736</v>
      </c>
      <c r="E1049" s="11" t="str">
        <f>+HYPERLINK("http://trademark.i-assist.jp/data/china/image_1928th/82592259.pdf","82592259")</f>
        <v>82592259</v>
      </c>
      <c r="F1049" s="12" t="s">
        <v>2960</v>
      </c>
      <c r="G1049" s="9" t="s">
        <v>2961</v>
      </c>
      <c r="H1049" s="9" t="s">
        <v>2962</v>
      </c>
      <c r="I1049" s="10">
        <v>45643</v>
      </c>
    </row>
    <row r="1050" spans="1:9" x14ac:dyDescent="0.15">
      <c r="A1050" s="9">
        <v>1049</v>
      </c>
      <c r="B1050" s="9" t="s">
        <v>9</v>
      </c>
      <c r="C1050" s="9">
        <v>1928</v>
      </c>
      <c r="D1050" s="10">
        <v>45736</v>
      </c>
      <c r="E1050" s="11" t="str">
        <f>+HYPERLINK("http://trademark.i-assist.jp/data/china/image_1928th/82592720.pdf","82592720")</f>
        <v>82592720</v>
      </c>
      <c r="F1050" s="9" t="s">
        <v>2963</v>
      </c>
      <c r="G1050" s="9" t="s">
        <v>2916</v>
      </c>
      <c r="H1050" s="9" t="s">
        <v>2964</v>
      </c>
      <c r="I1050" s="10">
        <v>45643</v>
      </c>
    </row>
    <row r="1051" spans="1:9" x14ac:dyDescent="0.15">
      <c r="A1051" s="9">
        <v>1050</v>
      </c>
      <c r="B1051" s="9" t="s">
        <v>9</v>
      </c>
      <c r="C1051" s="9">
        <v>1928</v>
      </c>
      <c r="D1051" s="10">
        <v>45736</v>
      </c>
      <c r="E1051" s="11" t="str">
        <f>+HYPERLINK("http://trademark.i-assist.jp/data/china/image_1928th/82593123.pdf","82593123")</f>
        <v>82593123</v>
      </c>
      <c r="F1051" s="9" t="s">
        <v>2965</v>
      </c>
      <c r="G1051" s="9" t="s">
        <v>1827</v>
      </c>
      <c r="H1051" s="9" t="s">
        <v>2966</v>
      </c>
      <c r="I1051" s="10">
        <v>45643</v>
      </c>
    </row>
    <row r="1052" spans="1:9" x14ac:dyDescent="0.15">
      <c r="A1052" s="9">
        <v>1051</v>
      </c>
      <c r="B1052" s="9" t="s">
        <v>9</v>
      </c>
      <c r="C1052" s="9">
        <v>1928</v>
      </c>
      <c r="D1052" s="10">
        <v>45736</v>
      </c>
      <c r="E1052" s="11" t="str">
        <f>+HYPERLINK("http://trademark.i-assist.jp/data/china/image_1928th/82593127.pdf","82593127")</f>
        <v>82593127</v>
      </c>
      <c r="F1052" s="9" t="s">
        <v>2967</v>
      </c>
      <c r="G1052" s="9" t="s">
        <v>2968</v>
      </c>
      <c r="H1052" s="12" t="s">
        <v>2969</v>
      </c>
      <c r="I1052" s="10">
        <v>45643</v>
      </c>
    </row>
    <row r="1053" spans="1:9" x14ac:dyDescent="0.15">
      <c r="A1053" s="9">
        <v>1052</v>
      </c>
      <c r="B1053" s="9" t="s">
        <v>9</v>
      </c>
      <c r="C1053" s="9">
        <v>1928</v>
      </c>
      <c r="D1053" s="10">
        <v>45736</v>
      </c>
      <c r="E1053" s="11" t="str">
        <f>+HYPERLINK("http://trademark.i-assist.jp/data/china/image_1928th/82593292.pdf","82593292")</f>
        <v>82593292</v>
      </c>
      <c r="F1053" s="12" t="s">
        <v>2970</v>
      </c>
      <c r="G1053" s="12" t="s">
        <v>96</v>
      </c>
      <c r="H1053" s="9" t="s">
        <v>2971</v>
      </c>
      <c r="I1053" s="10">
        <v>45643</v>
      </c>
    </row>
    <row r="1054" spans="1:9" x14ac:dyDescent="0.15">
      <c r="A1054" s="9">
        <v>1053</v>
      </c>
      <c r="B1054" s="9" t="s">
        <v>9</v>
      </c>
      <c r="C1054" s="9">
        <v>1928</v>
      </c>
      <c r="D1054" s="10">
        <v>45736</v>
      </c>
      <c r="E1054" s="11" t="str">
        <f>+HYPERLINK("http://trademark.i-assist.jp/data/china/image_1928th/82593357.pdf","82593357")</f>
        <v>82593357</v>
      </c>
      <c r="F1054" s="12" t="s">
        <v>2972</v>
      </c>
      <c r="G1054" s="9" t="s">
        <v>2973</v>
      </c>
      <c r="H1054" s="9" t="s">
        <v>2974</v>
      </c>
      <c r="I1054" s="10">
        <v>45643</v>
      </c>
    </row>
    <row r="1055" spans="1:9" x14ac:dyDescent="0.15">
      <c r="A1055" s="9">
        <v>1054</v>
      </c>
      <c r="B1055" s="9" t="s">
        <v>9</v>
      </c>
      <c r="C1055" s="9">
        <v>1928</v>
      </c>
      <c r="D1055" s="10">
        <v>45736</v>
      </c>
      <c r="E1055" s="11" t="str">
        <f>+HYPERLINK("http://trademark.i-assist.jp/data/china/image_1928th/82593445.pdf","82593445")</f>
        <v>82593445</v>
      </c>
      <c r="F1055" s="9" t="s">
        <v>2975</v>
      </c>
      <c r="G1055" s="9" t="s">
        <v>2976</v>
      </c>
      <c r="H1055" s="9" t="s">
        <v>2977</v>
      </c>
      <c r="I1055" s="10">
        <v>45643</v>
      </c>
    </row>
    <row r="1056" spans="1:9" x14ac:dyDescent="0.15">
      <c r="A1056" s="9">
        <v>1055</v>
      </c>
      <c r="B1056" s="9" t="s">
        <v>9</v>
      </c>
      <c r="C1056" s="9">
        <v>1928</v>
      </c>
      <c r="D1056" s="10">
        <v>45736</v>
      </c>
      <c r="E1056" s="11" t="str">
        <f>+HYPERLINK("http://trademark.i-assist.jp/data/china/image_1928th/82593617.pdf","82593617")</f>
        <v>82593617</v>
      </c>
      <c r="F1056" s="9" t="s">
        <v>2978</v>
      </c>
      <c r="G1056" s="9" t="s">
        <v>2979</v>
      </c>
      <c r="H1056" s="9" t="s">
        <v>2980</v>
      </c>
      <c r="I1056" s="10">
        <v>45643</v>
      </c>
    </row>
    <row r="1057" spans="1:9" x14ac:dyDescent="0.15">
      <c r="A1057" s="9">
        <v>1056</v>
      </c>
      <c r="B1057" s="9" t="s">
        <v>9</v>
      </c>
      <c r="C1057" s="9">
        <v>1928</v>
      </c>
      <c r="D1057" s="10">
        <v>45736</v>
      </c>
      <c r="E1057" s="11" t="str">
        <f>+HYPERLINK("http://trademark.i-assist.jp/data/china/image_1928th/82593864.pdf","82593864")</f>
        <v>82593864</v>
      </c>
      <c r="F1057" s="9" t="s">
        <v>2981</v>
      </c>
      <c r="G1057" s="12" t="s">
        <v>2982</v>
      </c>
      <c r="H1057" s="9" t="s">
        <v>2983</v>
      </c>
      <c r="I1057" s="10">
        <v>45643</v>
      </c>
    </row>
    <row r="1058" spans="1:9" x14ac:dyDescent="0.15">
      <c r="A1058" s="9">
        <v>1057</v>
      </c>
      <c r="B1058" s="9" t="s">
        <v>9</v>
      </c>
      <c r="C1058" s="9">
        <v>1928</v>
      </c>
      <c r="D1058" s="10">
        <v>45736</v>
      </c>
      <c r="E1058" s="11" t="str">
        <f>+HYPERLINK("http://trademark.i-assist.jp/data/china/image_1928th/82595146.pdf","82595146")</f>
        <v>82595146</v>
      </c>
      <c r="F1058" s="12" t="s">
        <v>2984</v>
      </c>
      <c r="G1058" s="12" t="s">
        <v>2985</v>
      </c>
      <c r="H1058" s="9" t="s">
        <v>2986</v>
      </c>
      <c r="I1058" s="10">
        <v>45643</v>
      </c>
    </row>
    <row r="1059" spans="1:9" x14ac:dyDescent="0.15">
      <c r="A1059" s="9">
        <v>1058</v>
      </c>
      <c r="B1059" s="9" t="s">
        <v>9</v>
      </c>
      <c r="C1059" s="9">
        <v>1928</v>
      </c>
      <c r="D1059" s="10">
        <v>45736</v>
      </c>
      <c r="E1059" s="11" t="str">
        <f>+HYPERLINK("http://trademark.i-assist.jp/data/china/image_1928th/82595191.pdf","82595191")</f>
        <v>82595191</v>
      </c>
      <c r="F1059" s="9" t="s">
        <v>2987</v>
      </c>
      <c r="G1059" s="12" t="s">
        <v>2988</v>
      </c>
      <c r="H1059" s="9" t="s">
        <v>2989</v>
      </c>
      <c r="I1059" s="10">
        <v>45643</v>
      </c>
    </row>
    <row r="1060" spans="1:9" x14ac:dyDescent="0.15">
      <c r="A1060" s="9">
        <v>1059</v>
      </c>
      <c r="B1060" s="9" t="s">
        <v>9</v>
      </c>
      <c r="C1060" s="9">
        <v>1928</v>
      </c>
      <c r="D1060" s="10">
        <v>45736</v>
      </c>
      <c r="E1060" s="11" t="str">
        <f>+HYPERLINK("http://trademark.i-assist.jp/data/china/image_1928th/82595459.pdf","82595459")</f>
        <v>82595459</v>
      </c>
      <c r="F1060" s="9" t="s">
        <v>2990</v>
      </c>
      <c r="G1060" s="9" t="s">
        <v>2991</v>
      </c>
      <c r="H1060" s="9" t="s">
        <v>2992</v>
      </c>
      <c r="I1060" s="10">
        <v>45643</v>
      </c>
    </row>
    <row r="1061" spans="1:9" x14ac:dyDescent="0.15">
      <c r="A1061" s="9">
        <v>1060</v>
      </c>
      <c r="B1061" s="9" t="s">
        <v>9</v>
      </c>
      <c r="C1061" s="9">
        <v>1928</v>
      </c>
      <c r="D1061" s="10">
        <v>45736</v>
      </c>
      <c r="E1061" s="11" t="str">
        <f>+HYPERLINK("http://trademark.i-assist.jp/data/china/image_1928th/82595753.pdf","82595753")</f>
        <v>82595753</v>
      </c>
      <c r="F1061" s="9" t="s">
        <v>2993</v>
      </c>
      <c r="G1061" s="12" t="s">
        <v>2994</v>
      </c>
      <c r="H1061" s="9" t="s">
        <v>2995</v>
      </c>
      <c r="I1061" s="10">
        <v>45643</v>
      </c>
    </row>
    <row r="1062" spans="1:9" x14ac:dyDescent="0.15">
      <c r="A1062" s="9">
        <v>1061</v>
      </c>
      <c r="B1062" s="9" t="s">
        <v>9</v>
      </c>
      <c r="C1062" s="9">
        <v>1928</v>
      </c>
      <c r="D1062" s="10">
        <v>45736</v>
      </c>
      <c r="E1062" s="11" t="str">
        <f>+HYPERLINK("http://trademark.i-assist.jp/data/china/image_1928th/82595888.pdf","82595888")</f>
        <v>82595888</v>
      </c>
      <c r="F1062" s="9" t="s">
        <v>2996</v>
      </c>
      <c r="G1062" s="12" t="s">
        <v>2997</v>
      </c>
      <c r="H1062" s="9" t="s">
        <v>2998</v>
      </c>
      <c r="I1062" s="10">
        <v>45643</v>
      </c>
    </row>
    <row r="1063" spans="1:9" x14ac:dyDescent="0.15">
      <c r="A1063" s="9">
        <v>1062</v>
      </c>
      <c r="B1063" s="9" t="s">
        <v>9</v>
      </c>
      <c r="C1063" s="9">
        <v>1928</v>
      </c>
      <c r="D1063" s="10">
        <v>45736</v>
      </c>
      <c r="E1063" s="11" t="str">
        <f>+HYPERLINK("http://trademark.i-assist.jp/data/china/image_1928th/82596236.pdf","82596236")</f>
        <v>82596236</v>
      </c>
      <c r="F1063" s="9" t="s">
        <v>2999</v>
      </c>
      <c r="G1063" s="9" t="s">
        <v>3000</v>
      </c>
      <c r="H1063" s="9" t="s">
        <v>3001</v>
      </c>
      <c r="I1063" s="10">
        <v>45643</v>
      </c>
    </row>
    <row r="1064" spans="1:9" x14ac:dyDescent="0.15">
      <c r="A1064" s="9">
        <v>1063</v>
      </c>
      <c r="B1064" s="9" t="s">
        <v>9</v>
      </c>
      <c r="C1064" s="9">
        <v>1928</v>
      </c>
      <c r="D1064" s="10">
        <v>45736</v>
      </c>
      <c r="E1064" s="11" t="str">
        <f>+HYPERLINK("http://trademark.i-assist.jp/data/china/image_1928th/82596244.pdf","82596244")</f>
        <v>82596244</v>
      </c>
      <c r="F1064" s="9" t="s">
        <v>3002</v>
      </c>
      <c r="G1064" s="9" t="s">
        <v>3003</v>
      </c>
      <c r="H1064" s="9" t="s">
        <v>3004</v>
      </c>
      <c r="I1064" s="10">
        <v>45643</v>
      </c>
    </row>
    <row r="1065" spans="1:9" x14ac:dyDescent="0.15">
      <c r="A1065" s="9">
        <v>1064</v>
      </c>
      <c r="B1065" s="9" t="s">
        <v>9</v>
      </c>
      <c r="C1065" s="9">
        <v>1928</v>
      </c>
      <c r="D1065" s="10">
        <v>45736</v>
      </c>
      <c r="E1065" s="11" t="str">
        <f>+HYPERLINK("http://trademark.i-assist.jp/data/china/image_1928th/82596284.pdf","82596284")</f>
        <v>82596284</v>
      </c>
      <c r="F1065" s="9" t="s">
        <v>3005</v>
      </c>
      <c r="G1065" s="9" t="s">
        <v>3006</v>
      </c>
      <c r="H1065" s="9" t="s">
        <v>3007</v>
      </c>
      <c r="I1065" s="10">
        <v>45643</v>
      </c>
    </row>
    <row r="1066" spans="1:9" x14ac:dyDescent="0.15">
      <c r="A1066" s="9">
        <v>1065</v>
      </c>
      <c r="B1066" s="9" t="s">
        <v>9</v>
      </c>
      <c r="C1066" s="9">
        <v>1928</v>
      </c>
      <c r="D1066" s="10">
        <v>45736</v>
      </c>
      <c r="E1066" s="11" t="str">
        <f>+HYPERLINK("http://trademark.i-assist.jp/data/china/image_1928th/82596652.pdf","82596652")</f>
        <v>82596652</v>
      </c>
      <c r="F1066" s="9" t="s">
        <v>3008</v>
      </c>
      <c r="G1066" s="9" t="s">
        <v>3009</v>
      </c>
      <c r="H1066" s="9" t="s">
        <v>3010</v>
      </c>
      <c r="I1066" s="10">
        <v>45643</v>
      </c>
    </row>
    <row r="1067" spans="1:9" x14ac:dyDescent="0.15">
      <c r="A1067" s="9">
        <v>1066</v>
      </c>
      <c r="B1067" s="9" t="s">
        <v>9</v>
      </c>
      <c r="C1067" s="9">
        <v>1928</v>
      </c>
      <c r="D1067" s="10">
        <v>45736</v>
      </c>
      <c r="E1067" s="11" t="str">
        <f>+HYPERLINK("http://trademark.i-assist.jp/data/china/image_1928th/82597055.pdf","82597055")</f>
        <v>82597055</v>
      </c>
      <c r="F1067" s="12" t="s">
        <v>3011</v>
      </c>
      <c r="G1067" s="9" t="s">
        <v>3012</v>
      </c>
      <c r="H1067" s="9" t="s">
        <v>3013</v>
      </c>
      <c r="I1067" s="10">
        <v>45643</v>
      </c>
    </row>
    <row r="1068" spans="1:9" x14ac:dyDescent="0.15">
      <c r="A1068" s="9">
        <v>1067</v>
      </c>
      <c r="B1068" s="9" t="s">
        <v>9</v>
      </c>
      <c r="C1068" s="9">
        <v>1928</v>
      </c>
      <c r="D1068" s="10">
        <v>45736</v>
      </c>
      <c r="E1068" s="11" t="str">
        <f>+HYPERLINK("http://trademark.i-assist.jp/data/china/image_1928th/82597056.pdf","82597056")</f>
        <v>82597056</v>
      </c>
      <c r="F1068" s="9" t="s">
        <v>3014</v>
      </c>
      <c r="G1068" s="12" t="s">
        <v>3015</v>
      </c>
      <c r="H1068" s="9" t="s">
        <v>3016</v>
      </c>
      <c r="I1068" s="10">
        <v>45643</v>
      </c>
    </row>
    <row r="1069" spans="1:9" x14ac:dyDescent="0.15">
      <c r="A1069" s="9">
        <v>1068</v>
      </c>
      <c r="B1069" s="9" t="s">
        <v>9</v>
      </c>
      <c r="C1069" s="9">
        <v>1928</v>
      </c>
      <c r="D1069" s="10">
        <v>45736</v>
      </c>
      <c r="E1069" s="11" t="str">
        <f>+HYPERLINK("http://trademark.i-assist.jp/data/china/image_1928th/82597338.pdf","82597338")</f>
        <v>82597338</v>
      </c>
      <c r="F1069" s="9" t="s">
        <v>3017</v>
      </c>
      <c r="G1069" s="12" t="s">
        <v>3018</v>
      </c>
      <c r="H1069" s="12" t="s">
        <v>3019</v>
      </c>
      <c r="I1069" s="10">
        <v>45643</v>
      </c>
    </row>
    <row r="1070" spans="1:9" x14ac:dyDescent="0.15">
      <c r="A1070" s="9">
        <v>1069</v>
      </c>
      <c r="B1070" s="9" t="s">
        <v>9</v>
      </c>
      <c r="C1070" s="9">
        <v>1928</v>
      </c>
      <c r="D1070" s="10">
        <v>45736</v>
      </c>
      <c r="E1070" s="11" t="str">
        <f>+HYPERLINK("http://trademark.i-assist.jp/data/china/image_1928th/82597535.pdf","82597535")</f>
        <v>82597535</v>
      </c>
      <c r="F1070" s="9" t="s">
        <v>3020</v>
      </c>
      <c r="G1070" s="12" t="s">
        <v>2902</v>
      </c>
      <c r="H1070" s="9" t="s">
        <v>3021</v>
      </c>
      <c r="I1070" s="10">
        <v>45643</v>
      </c>
    </row>
    <row r="1071" spans="1:9" x14ac:dyDescent="0.15">
      <c r="A1071" s="9">
        <v>1070</v>
      </c>
      <c r="B1071" s="9" t="s">
        <v>9</v>
      </c>
      <c r="C1071" s="9">
        <v>1928</v>
      </c>
      <c r="D1071" s="10">
        <v>45736</v>
      </c>
      <c r="E1071" s="11" t="str">
        <f>+HYPERLINK("http://trademark.i-assist.jp/data/china/image_1928th/82598031.pdf","82598031")</f>
        <v>82598031</v>
      </c>
      <c r="F1071" s="9" t="s">
        <v>3022</v>
      </c>
      <c r="G1071" s="9" t="s">
        <v>3023</v>
      </c>
      <c r="H1071" s="9" t="s">
        <v>3024</v>
      </c>
      <c r="I1071" s="10">
        <v>45643</v>
      </c>
    </row>
    <row r="1072" spans="1:9" x14ac:dyDescent="0.15">
      <c r="A1072" s="9">
        <v>1071</v>
      </c>
      <c r="B1072" s="9" t="s">
        <v>9</v>
      </c>
      <c r="C1072" s="9">
        <v>1928</v>
      </c>
      <c r="D1072" s="10">
        <v>45736</v>
      </c>
      <c r="E1072" s="11" t="str">
        <f>+HYPERLINK("http://trademark.i-assist.jp/data/china/image_1928th/82598216.pdf","82598216")</f>
        <v>82598216</v>
      </c>
      <c r="F1072" s="12" t="s">
        <v>3025</v>
      </c>
      <c r="G1072" s="9" t="s">
        <v>3026</v>
      </c>
      <c r="H1072" s="9" t="s">
        <v>3027</v>
      </c>
      <c r="I1072" s="10">
        <v>45643</v>
      </c>
    </row>
    <row r="1073" spans="1:9" x14ac:dyDescent="0.15">
      <c r="A1073" s="9">
        <v>1072</v>
      </c>
      <c r="B1073" s="9" t="s">
        <v>9</v>
      </c>
      <c r="C1073" s="9">
        <v>1928</v>
      </c>
      <c r="D1073" s="10">
        <v>45736</v>
      </c>
      <c r="E1073" s="11" t="str">
        <f>+HYPERLINK("http://trademark.i-assist.jp/data/china/image_1928th/82598271.pdf","82598271")</f>
        <v>82598271</v>
      </c>
      <c r="F1073" s="9" t="s">
        <v>3028</v>
      </c>
      <c r="G1073" s="9" t="s">
        <v>3029</v>
      </c>
      <c r="H1073" s="12" t="s">
        <v>3030</v>
      </c>
      <c r="I1073" s="10">
        <v>45643</v>
      </c>
    </row>
    <row r="1074" spans="1:9" x14ac:dyDescent="0.15">
      <c r="A1074" s="9">
        <v>1073</v>
      </c>
      <c r="B1074" s="9" t="s">
        <v>9</v>
      </c>
      <c r="C1074" s="9">
        <v>1928</v>
      </c>
      <c r="D1074" s="10">
        <v>45736</v>
      </c>
      <c r="E1074" s="11" t="str">
        <f>+HYPERLINK("http://trademark.i-assist.jp/data/china/image_1928th/82598341.pdf","82598341")</f>
        <v>82598341</v>
      </c>
      <c r="F1074" s="9" t="s">
        <v>3031</v>
      </c>
      <c r="G1074" s="9" t="s">
        <v>3032</v>
      </c>
      <c r="H1074" s="9" t="s">
        <v>3033</v>
      </c>
      <c r="I1074" s="10">
        <v>45643</v>
      </c>
    </row>
    <row r="1075" spans="1:9" x14ac:dyDescent="0.15">
      <c r="A1075" s="9">
        <v>1074</v>
      </c>
      <c r="B1075" s="9" t="s">
        <v>9</v>
      </c>
      <c r="C1075" s="9">
        <v>1928</v>
      </c>
      <c r="D1075" s="10">
        <v>45736</v>
      </c>
      <c r="E1075" s="11" t="str">
        <f>+HYPERLINK("http://trademark.i-assist.jp/data/china/image_1928th/82598517.pdf","82598517")</f>
        <v>82598517</v>
      </c>
      <c r="F1075" s="9" t="s">
        <v>3034</v>
      </c>
      <c r="G1075" s="12" t="s">
        <v>3035</v>
      </c>
      <c r="H1075" s="9" t="s">
        <v>3036</v>
      </c>
      <c r="I1075" s="10">
        <v>45643</v>
      </c>
    </row>
    <row r="1076" spans="1:9" x14ac:dyDescent="0.15">
      <c r="A1076" s="9">
        <v>1075</v>
      </c>
      <c r="B1076" s="9" t="s">
        <v>9</v>
      </c>
      <c r="C1076" s="9">
        <v>1928</v>
      </c>
      <c r="D1076" s="10">
        <v>45736</v>
      </c>
      <c r="E1076" s="11" t="str">
        <f>+HYPERLINK("http://trademark.i-assist.jp/data/china/image_1928th/82599104.pdf","82599104")</f>
        <v>82599104</v>
      </c>
      <c r="F1076" s="9" t="s">
        <v>3037</v>
      </c>
      <c r="G1076" s="9" t="s">
        <v>3038</v>
      </c>
      <c r="H1076" s="12" t="s">
        <v>3039</v>
      </c>
      <c r="I1076" s="10">
        <v>45643</v>
      </c>
    </row>
    <row r="1077" spans="1:9" x14ac:dyDescent="0.15">
      <c r="A1077" s="9">
        <v>1076</v>
      </c>
      <c r="B1077" s="9" t="s">
        <v>9</v>
      </c>
      <c r="C1077" s="9">
        <v>1928</v>
      </c>
      <c r="D1077" s="10">
        <v>45736</v>
      </c>
      <c r="E1077" s="11" t="str">
        <f>+HYPERLINK("http://trademark.i-assist.jp/data/china/image_1928th/82600066.pdf","82600066")</f>
        <v>82600066</v>
      </c>
      <c r="F1077" s="9" t="s">
        <v>3040</v>
      </c>
      <c r="G1077" s="12" t="s">
        <v>3041</v>
      </c>
      <c r="H1077" s="9" t="s">
        <v>3042</v>
      </c>
      <c r="I1077" s="10">
        <v>45643</v>
      </c>
    </row>
    <row r="1078" spans="1:9" x14ac:dyDescent="0.15">
      <c r="A1078" s="9">
        <v>1077</v>
      </c>
      <c r="B1078" s="9" t="s">
        <v>9</v>
      </c>
      <c r="C1078" s="9">
        <v>1928</v>
      </c>
      <c r="D1078" s="10">
        <v>45736</v>
      </c>
      <c r="E1078" s="11" t="str">
        <f>+HYPERLINK("http://trademark.i-assist.jp/data/china/image_1928th/82600413.pdf","82600413")</f>
        <v>82600413</v>
      </c>
      <c r="F1078" s="9" t="s">
        <v>3043</v>
      </c>
      <c r="G1078" s="12" t="s">
        <v>3044</v>
      </c>
      <c r="H1078" s="9" t="s">
        <v>3045</v>
      </c>
      <c r="I1078" s="10">
        <v>45643</v>
      </c>
    </row>
    <row r="1079" spans="1:9" x14ac:dyDescent="0.15">
      <c r="A1079" s="9">
        <v>1078</v>
      </c>
      <c r="B1079" s="9" t="s">
        <v>9</v>
      </c>
      <c r="C1079" s="9">
        <v>1928</v>
      </c>
      <c r="D1079" s="10">
        <v>45736</v>
      </c>
      <c r="E1079" s="11" t="str">
        <f>+HYPERLINK("http://trademark.i-assist.jp/data/china/image_1928th/82601212.pdf","82601212")</f>
        <v>82601212</v>
      </c>
      <c r="F1079" s="9" t="s">
        <v>3046</v>
      </c>
      <c r="G1079" s="9" t="s">
        <v>3047</v>
      </c>
      <c r="H1079" s="9" t="s">
        <v>3048</v>
      </c>
      <c r="I1079" s="10">
        <v>45643</v>
      </c>
    </row>
    <row r="1080" spans="1:9" x14ac:dyDescent="0.15">
      <c r="A1080" s="9">
        <v>1079</v>
      </c>
      <c r="B1080" s="9" t="s">
        <v>9</v>
      </c>
      <c r="C1080" s="9">
        <v>1928</v>
      </c>
      <c r="D1080" s="10">
        <v>45736</v>
      </c>
      <c r="E1080" s="11" t="str">
        <f>+HYPERLINK("http://trademark.i-assist.jp/data/china/image_1928th/82601331.pdf","82601331")</f>
        <v>82601331</v>
      </c>
      <c r="F1080" s="12" t="s">
        <v>3049</v>
      </c>
      <c r="G1080" s="12" t="s">
        <v>3050</v>
      </c>
      <c r="H1080" s="9" t="s">
        <v>3051</v>
      </c>
      <c r="I1080" s="10">
        <v>45643</v>
      </c>
    </row>
    <row r="1081" spans="1:9" x14ac:dyDescent="0.15">
      <c r="A1081" s="9">
        <v>1080</v>
      </c>
      <c r="B1081" s="9" t="s">
        <v>9</v>
      </c>
      <c r="C1081" s="9">
        <v>1928</v>
      </c>
      <c r="D1081" s="10">
        <v>45736</v>
      </c>
      <c r="E1081" s="11" t="str">
        <f>+HYPERLINK("http://trademark.i-assist.jp/data/china/image_1928th/82601524.pdf","82601524")</f>
        <v>82601524</v>
      </c>
      <c r="F1081" s="9" t="s">
        <v>3052</v>
      </c>
      <c r="G1081" s="9" t="s">
        <v>3053</v>
      </c>
      <c r="H1081" s="9" t="s">
        <v>3054</v>
      </c>
      <c r="I1081" s="10">
        <v>45643</v>
      </c>
    </row>
    <row r="1082" spans="1:9" x14ac:dyDescent="0.15">
      <c r="A1082" s="9">
        <v>1081</v>
      </c>
      <c r="B1082" s="9" t="s">
        <v>9</v>
      </c>
      <c r="C1082" s="9">
        <v>1928</v>
      </c>
      <c r="D1082" s="10">
        <v>45736</v>
      </c>
      <c r="E1082" s="11" t="str">
        <f>+HYPERLINK("http://trademark.i-assist.jp/data/china/image_1928th/82602020.pdf","82602020")</f>
        <v>82602020</v>
      </c>
      <c r="F1082" s="9" t="s">
        <v>3055</v>
      </c>
      <c r="G1082" s="12" t="s">
        <v>3056</v>
      </c>
      <c r="H1082" s="9" t="s">
        <v>3057</v>
      </c>
      <c r="I1082" s="10">
        <v>45643</v>
      </c>
    </row>
    <row r="1083" spans="1:9" x14ac:dyDescent="0.15">
      <c r="A1083" s="9">
        <v>1082</v>
      </c>
      <c r="B1083" s="9" t="s">
        <v>9</v>
      </c>
      <c r="C1083" s="9">
        <v>1928</v>
      </c>
      <c r="D1083" s="10">
        <v>45736</v>
      </c>
      <c r="E1083" s="11" t="str">
        <f>+HYPERLINK("http://trademark.i-assist.jp/data/china/image_1928th/82602106.pdf","82602106")</f>
        <v>82602106</v>
      </c>
      <c r="F1083" s="12" t="s">
        <v>3058</v>
      </c>
      <c r="G1083" s="12" t="s">
        <v>2994</v>
      </c>
      <c r="H1083" s="9" t="s">
        <v>3059</v>
      </c>
      <c r="I1083" s="10">
        <v>45643</v>
      </c>
    </row>
    <row r="1084" spans="1:9" x14ac:dyDescent="0.15">
      <c r="A1084" s="9">
        <v>1083</v>
      </c>
      <c r="B1084" s="9" t="s">
        <v>9</v>
      </c>
      <c r="C1084" s="9">
        <v>1928</v>
      </c>
      <c r="D1084" s="10">
        <v>45736</v>
      </c>
      <c r="E1084" s="11" t="str">
        <f>+HYPERLINK("http://trademark.i-assist.jp/data/china/image_1928th/82602175.pdf","82602175")</f>
        <v>82602175</v>
      </c>
      <c r="F1084" s="9" t="s">
        <v>3060</v>
      </c>
      <c r="G1084" s="9" t="s">
        <v>3061</v>
      </c>
      <c r="H1084" s="9" t="s">
        <v>3062</v>
      </c>
      <c r="I1084" s="10">
        <v>45643</v>
      </c>
    </row>
    <row r="1085" spans="1:9" x14ac:dyDescent="0.15">
      <c r="A1085" s="9">
        <v>1084</v>
      </c>
      <c r="B1085" s="9" t="s">
        <v>9</v>
      </c>
      <c r="C1085" s="9">
        <v>1928</v>
      </c>
      <c r="D1085" s="10">
        <v>45736</v>
      </c>
      <c r="E1085" s="11" t="str">
        <f>+HYPERLINK("http://trademark.i-assist.jp/data/china/image_1928th/82602532.pdf","82602532")</f>
        <v>82602532</v>
      </c>
      <c r="F1085" s="12" t="s">
        <v>3063</v>
      </c>
      <c r="G1085" s="9" t="s">
        <v>3064</v>
      </c>
      <c r="H1085" s="9" t="s">
        <v>3065</v>
      </c>
      <c r="I1085" s="10">
        <v>45643</v>
      </c>
    </row>
    <row r="1086" spans="1:9" x14ac:dyDescent="0.15">
      <c r="A1086" s="9">
        <v>1085</v>
      </c>
      <c r="B1086" s="9" t="s">
        <v>9</v>
      </c>
      <c r="C1086" s="9">
        <v>1928</v>
      </c>
      <c r="D1086" s="10">
        <v>45736</v>
      </c>
      <c r="E1086" s="11" t="str">
        <f>+HYPERLINK("http://trademark.i-assist.jp/data/china/image_1928th/82602538.pdf","82602538")</f>
        <v>82602538</v>
      </c>
      <c r="F1086" s="9" t="s">
        <v>3066</v>
      </c>
      <c r="G1086" s="12" t="s">
        <v>3067</v>
      </c>
      <c r="H1086" s="9" t="s">
        <v>3068</v>
      </c>
      <c r="I1086" s="10">
        <v>45643</v>
      </c>
    </row>
    <row r="1087" spans="1:9" x14ac:dyDescent="0.15">
      <c r="A1087" s="9">
        <v>1086</v>
      </c>
      <c r="B1087" s="9" t="s">
        <v>9</v>
      </c>
      <c r="C1087" s="9">
        <v>1928</v>
      </c>
      <c r="D1087" s="10">
        <v>45736</v>
      </c>
      <c r="E1087" s="11" t="str">
        <f>+HYPERLINK("http://trademark.i-assist.jp/data/china/image_1928th/82603070.pdf","82603070")</f>
        <v>82603070</v>
      </c>
      <c r="F1087" s="9" t="s">
        <v>3069</v>
      </c>
      <c r="G1087" s="9" t="s">
        <v>2979</v>
      </c>
      <c r="H1087" s="9" t="s">
        <v>3070</v>
      </c>
      <c r="I1087" s="10">
        <v>45643</v>
      </c>
    </row>
    <row r="1088" spans="1:9" x14ac:dyDescent="0.15">
      <c r="A1088" s="9">
        <v>1087</v>
      </c>
      <c r="B1088" s="9" t="s">
        <v>9</v>
      </c>
      <c r="C1088" s="9">
        <v>1928</v>
      </c>
      <c r="D1088" s="10">
        <v>45736</v>
      </c>
      <c r="E1088" s="11" t="str">
        <f>+HYPERLINK("http://trademark.i-assist.jp/data/china/image_1928th/82604618.pdf","82604618")</f>
        <v>82604618</v>
      </c>
      <c r="F1088" s="12" t="s">
        <v>3071</v>
      </c>
      <c r="G1088" s="12" t="s">
        <v>3072</v>
      </c>
      <c r="H1088" s="9" t="s">
        <v>3073</v>
      </c>
      <c r="I1088" s="10">
        <v>45643</v>
      </c>
    </row>
    <row r="1089" spans="1:9" x14ac:dyDescent="0.15">
      <c r="A1089" s="9">
        <v>1088</v>
      </c>
      <c r="B1089" s="9" t="s">
        <v>9</v>
      </c>
      <c r="C1089" s="9">
        <v>1928</v>
      </c>
      <c r="D1089" s="10">
        <v>45736</v>
      </c>
      <c r="E1089" s="11" t="str">
        <f>+HYPERLINK("http://trademark.i-assist.jp/data/china/image_1928th/82605506.pdf","82605506")</f>
        <v>82605506</v>
      </c>
      <c r="F1089" s="12" t="s">
        <v>18</v>
      </c>
      <c r="G1089" s="9" t="s">
        <v>3074</v>
      </c>
      <c r="H1089" s="9" t="s">
        <v>3075</v>
      </c>
      <c r="I1089" s="10">
        <v>45643</v>
      </c>
    </row>
    <row r="1090" spans="1:9" x14ac:dyDescent="0.15">
      <c r="A1090" s="9">
        <v>1089</v>
      </c>
      <c r="B1090" s="9" t="s">
        <v>9</v>
      </c>
      <c r="C1090" s="9">
        <v>1928</v>
      </c>
      <c r="D1090" s="10">
        <v>45736</v>
      </c>
      <c r="E1090" s="11" t="str">
        <f>+HYPERLINK("http://trademark.i-assist.jp/data/china/image_1928th/82605627.pdf","82605627")</f>
        <v>82605627</v>
      </c>
      <c r="F1090" s="9" t="s">
        <v>3076</v>
      </c>
      <c r="G1090" s="9" t="s">
        <v>3077</v>
      </c>
      <c r="H1090" s="9" t="s">
        <v>3078</v>
      </c>
      <c r="I1090" s="10">
        <v>45643</v>
      </c>
    </row>
    <row r="1091" spans="1:9" x14ac:dyDescent="0.15">
      <c r="A1091" s="9">
        <v>1090</v>
      </c>
      <c r="B1091" s="9" t="s">
        <v>9</v>
      </c>
      <c r="C1091" s="9">
        <v>1928</v>
      </c>
      <c r="D1091" s="10">
        <v>45736</v>
      </c>
      <c r="E1091" s="11" t="str">
        <f>+HYPERLINK("http://trademark.i-assist.jp/data/china/image_1928th/82606107.pdf","82606107")</f>
        <v>82606107</v>
      </c>
      <c r="F1091" s="12" t="s">
        <v>3079</v>
      </c>
      <c r="G1091" s="12" t="s">
        <v>3080</v>
      </c>
      <c r="H1091" s="9" t="s">
        <v>3081</v>
      </c>
      <c r="I1091" s="10">
        <v>45643</v>
      </c>
    </row>
    <row r="1092" spans="1:9" x14ac:dyDescent="0.15">
      <c r="A1092" s="9">
        <v>1091</v>
      </c>
      <c r="B1092" s="9" t="s">
        <v>9</v>
      </c>
      <c r="C1092" s="9">
        <v>1928</v>
      </c>
      <c r="D1092" s="10">
        <v>45736</v>
      </c>
      <c r="E1092" s="11" t="str">
        <f>+HYPERLINK("http://trademark.i-assist.jp/data/china/image_1928th/82606945.pdf","82606945")</f>
        <v>82606945</v>
      </c>
      <c r="F1092" s="9" t="s">
        <v>3082</v>
      </c>
      <c r="G1092" s="12" t="s">
        <v>3083</v>
      </c>
      <c r="H1092" s="9" t="s">
        <v>3084</v>
      </c>
      <c r="I1092" s="10">
        <v>45643</v>
      </c>
    </row>
    <row r="1093" spans="1:9" x14ac:dyDescent="0.15">
      <c r="A1093" s="9">
        <v>1092</v>
      </c>
      <c r="B1093" s="9" t="s">
        <v>9</v>
      </c>
      <c r="C1093" s="9">
        <v>1928</v>
      </c>
      <c r="D1093" s="10">
        <v>45736</v>
      </c>
      <c r="E1093" s="11" t="str">
        <f>+HYPERLINK("http://trademark.i-assist.jp/data/china/image_1928th/82607438.pdf","82607438")</f>
        <v>82607438</v>
      </c>
      <c r="F1093" s="9" t="s">
        <v>3085</v>
      </c>
      <c r="G1093" s="12" t="s">
        <v>3086</v>
      </c>
      <c r="H1093" s="9" t="s">
        <v>3087</v>
      </c>
      <c r="I1093" s="10">
        <v>45643</v>
      </c>
    </row>
    <row r="1094" spans="1:9" x14ac:dyDescent="0.15">
      <c r="A1094" s="9">
        <v>1093</v>
      </c>
      <c r="B1094" s="9" t="s">
        <v>9</v>
      </c>
      <c r="C1094" s="9">
        <v>1928</v>
      </c>
      <c r="D1094" s="10">
        <v>45736</v>
      </c>
      <c r="E1094" s="11" t="str">
        <f>+HYPERLINK("http://trademark.i-assist.jp/data/china/image_1928th/82607554.pdf","82607554")</f>
        <v>82607554</v>
      </c>
      <c r="F1094" s="12" t="s">
        <v>3088</v>
      </c>
      <c r="G1094" s="9" t="s">
        <v>3089</v>
      </c>
      <c r="H1094" s="9" t="s">
        <v>3090</v>
      </c>
      <c r="I1094" s="10">
        <v>45643</v>
      </c>
    </row>
    <row r="1095" spans="1:9" x14ac:dyDescent="0.15">
      <c r="A1095" s="9">
        <v>1094</v>
      </c>
      <c r="B1095" s="9" t="s">
        <v>9</v>
      </c>
      <c r="C1095" s="9">
        <v>1928</v>
      </c>
      <c r="D1095" s="10">
        <v>45736</v>
      </c>
      <c r="E1095" s="11" t="str">
        <f>+HYPERLINK("http://trademark.i-assist.jp/data/china/image_1928th/82607801.pdf","82607801")</f>
        <v>82607801</v>
      </c>
      <c r="F1095" s="9" t="s">
        <v>3091</v>
      </c>
      <c r="G1095" s="12" t="s">
        <v>3092</v>
      </c>
      <c r="H1095" s="9" t="s">
        <v>3093</v>
      </c>
      <c r="I1095" s="10">
        <v>45643</v>
      </c>
    </row>
    <row r="1096" spans="1:9" x14ac:dyDescent="0.15">
      <c r="A1096" s="9">
        <v>1095</v>
      </c>
      <c r="B1096" s="9" t="s">
        <v>9</v>
      </c>
      <c r="C1096" s="9">
        <v>1928</v>
      </c>
      <c r="D1096" s="10">
        <v>45736</v>
      </c>
      <c r="E1096" s="11" t="str">
        <f>+HYPERLINK("http://trademark.i-assist.jp/data/china/image_1928th/82608151.pdf","82608151")</f>
        <v>82608151</v>
      </c>
      <c r="F1096" s="9" t="s">
        <v>3094</v>
      </c>
      <c r="G1096" s="9" t="s">
        <v>3095</v>
      </c>
      <c r="H1096" s="9" t="s">
        <v>3096</v>
      </c>
      <c r="I1096" s="10">
        <v>45643</v>
      </c>
    </row>
    <row r="1097" spans="1:9" x14ac:dyDescent="0.15">
      <c r="A1097" s="9">
        <v>1096</v>
      </c>
      <c r="B1097" s="9" t="s">
        <v>9</v>
      </c>
      <c r="C1097" s="9">
        <v>1928</v>
      </c>
      <c r="D1097" s="10">
        <v>45736</v>
      </c>
      <c r="E1097" s="11" t="str">
        <f>+HYPERLINK("http://trademark.i-assist.jp/data/china/image_1928th/82608584.pdf","82608584")</f>
        <v>82608584</v>
      </c>
      <c r="F1097" s="9" t="s">
        <v>3097</v>
      </c>
      <c r="G1097" s="9" t="s">
        <v>3098</v>
      </c>
      <c r="H1097" s="9" t="s">
        <v>3099</v>
      </c>
      <c r="I1097" s="10">
        <v>45643</v>
      </c>
    </row>
    <row r="1098" spans="1:9" x14ac:dyDescent="0.15">
      <c r="A1098" s="9">
        <v>1097</v>
      </c>
      <c r="B1098" s="9" t="s">
        <v>9</v>
      </c>
      <c r="C1098" s="9">
        <v>1928</v>
      </c>
      <c r="D1098" s="10">
        <v>45736</v>
      </c>
      <c r="E1098" s="11" t="str">
        <f>+HYPERLINK("http://trademark.i-assist.jp/data/china/image_1928th/82608837.pdf","82608837")</f>
        <v>82608837</v>
      </c>
      <c r="F1098" s="13" t="s">
        <v>3100</v>
      </c>
      <c r="G1098" s="12" t="s">
        <v>3101</v>
      </c>
      <c r="H1098" s="9" t="s">
        <v>3102</v>
      </c>
      <c r="I1098" s="10">
        <v>45643</v>
      </c>
    </row>
    <row r="1099" spans="1:9" x14ac:dyDescent="0.15">
      <c r="A1099" s="9">
        <v>1098</v>
      </c>
      <c r="B1099" s="9" t="s">
        <v>9</v>
      </c>
      <c r="C1099" s="9">
        <v>1928</v>
      </c>
      <c r="D1099" s="10">
        <v>45736</v>
      </c>
      <c r="E1099" s="11" t="str">
        <f>+HYPERLINK("http://trademark.i-assist.jp/data/china/image_1928th/82608944.pdf","82608944")</f>
        <v>82608944</v>
      </c>
      <c r="F1099" s="9" t="s">
        <v>3103</v>
      </c>
      <c r="G1099" s="12" t="s">
        <v>2982</v>
      </c>
      <c r="H1099" s="9" t="s">
        <v>3104</v>
      </c>
      <c r="I1099" s="10">
        <v>45643</v>
      </c>
    </row>
    <row r="1100" spans="1:9" x14ac:dyDescent="0.15">
      <c r="A1100" s="9">
        <v>1099</v>
      </c>
      <c r="B1100" s="9" t="s">
        <v>9</v>
      </c>
      <c r="C1100" s="9">
        <v>1928</v>
      </c>
      <c r="D1100" s="10">
        <v>45736</v>
      </c>
      <c r="E1100" s="11" t="str">
        <f>+HYPERLINK("http://trademark.i-assist.jp/data/china/image_1928th/82609468.pdf","82609468")</f>
        <v>82609468</v>
      </c>
      <c r="F1100" s="9" t="s">
        <v>3105</v>
      </c>
      <c r="G1100" s="9" t="s">
        <v>3106</v>
      </c>
      <c r="H1100" s="9" t="s">
        <v>3107</v>
      </c>
      <c r="I1100" s="10">
        <v>45643</v>
      </c>
    </row>
    <row r="1101" spans="1:9" x14ac:dyDescent="0.15">
      <c r="A1101" s="9">
        <v>1100</v>
      </c>
      <c r="B1101" s="9" t="s">
        <v>9</v>
      </c>
      <c r="C1101" s="9">
        <v>1928</v>
      </c>
      <c r="D1101" s="10">
        <v>45736</v>
      </c>
      <c r="E1101" s="11" t="str">
        <f>+HYPERLINK("http://trademark.i-assist.jp/data/china/image_1928th/82609580.pdf","82609580")</f>
        <v>82609580</v>
      </c>
      <c r="F1101" s="9" t="s">
        <v>3108</v>
      </c>
      <c r="G1101" s="9" t="s">
        <v>2907</v>
      </c>
      <c r="H1101" s="9" t="s">
        <v>3109</v>
      </c>
      <c r="I1101" s="10">
        <v>45643</v>
      </c>
    </row>
    <row r="1102" spans="1:9" x14ac:dyDescent="0.15">
      <c r="A1102" s="9">
        <v>1101</v>
      </c>
      <c r="B1102" s="9" t="s">
        <v>9</v>
      </c>
      <c r="C1102" s="9">
        <v>1928</v>
      </c>
      <c r="D1102" s="10">
        <v>45736</v>
      </c>
      <c r="E1102" s="11" t="str">
        <f>+HYPERLINK("http://trademark.i-assist.jp/data/china/image_1928th/82609897.pdf","82609897")</f>
        <v>82609897</v>
      </c>
      <c r="F1102" s="9" t="s">
        <v>3110</v>
      </c>
      <c r="G1102" s="9" t="s">
        <v>3111</v>
      </c>
      <c r="H1102" s="9" t="s">
        <v>3112</v>
      </c>
      <c r="I1102" s="10">
        <v>45643</v>
      </c>
    </row>
    <row r="1103" spans="1:9" x14ac:dyDescent="0.15">
      <c r="A1103" s="9">
        <v>1102</v>
      </c>
      <c r="B1103" s="9" t="s">
        <v>9</v>
      </c>
      <c r="C1103" s="9">
        <v>1928</v>
      </c>
      <c r="D1103" s="10">
        <v>45736</v>
      </c>
      <c r="E1103" s="11" t="str">
        <f>+HYPERLINK("http://trademark.i-assist.jp/data/china/image_1928th/82610723.pdf","82610723")</f>
        <v>82610723</v>
      </c>
      <c r="F1103" s="9">
        <v>11</v>
      </c>
      <c r="G1103" s="9" t="s">
        <v>3113</v>
      </c>
      <c r="H1103" s="9" t="s">
        <v>3114</v>
      </c>
      <c r="I1103" s="10">
        <v>45643</v>
      </c>
    </row>
    <row r="1104" spans="1:9" x14ac:dyDescent="0.15">
      <c r="A1104" s="9">
        <v>1103</v>
      </c>
      <c r="B1104" s="9" t="s">
        <v>9</v>
      </c>
      <c r="C1104" s="9">
        <v>1928</v>
      </c>
      <c r="D1104" s="10">
        <v>45736</v>
      </c>
      <c r="E1104" s="11" t="str">
        <f>+HYPERLINK("http://trademark.i-assist.jp/data/china/image_1928th/82611458.pdf","82611458")</f>
        <v>82611458</v>
      </c>
      <c r="F1104" s="9" t="s">
        <v>3115</v>
      </c>
      <c r="G1104" s="9" t="s">
        <v>3116</v>
      </c>
      <c r="H1104" s="9" t="s">
        <v>3117</v>
      </c>
      <c r="I1104" s="10">
        <v>45644</v>
      </c>
    </row>
    <row r="1105" spans="1:9" x14ac:dyDescent="0.15">
      <c r="A1105" s="9">
        <v>1104</v>
      </c>
      <c r="B1105" s="9" t="s">
        <v>9</v>
      </c>
      <c r="C1105" s="9">
        <v>1928</v>
      </c>
      <c r="D1105" s="10">
        <v>45736</v>
      </c>
      <c r="E1105" s="11" t="str">
        <f>+HYPERLINK("http://trademark.i-assist.jp/data/china/image_1928th/82611786.pdf","82611786")</f>
        <v>82611786</v>
      </c>
      <c r="F1105" s="9" t="s">
        <v>3118</v>
      </c>
      <c r="G1105" s="9" t="s">
        <v>3119</v>
      </c>
      <c r="H1105" s="9" t="s">
        <v>3120</v>
      </c>
      <c r="I1105" s="10">
        <v>45644</v>
      </c>
    </row>
    <row r="1106" spans="1:9" x14ac:dyDescent="0.15">
      <c r="A1106" s="9">
        <v>1105</v>
      </c>
      <c r="B1106" s="9" t="s">
        <v>9</v>
      </c>
      <c r="C1106" s="9">
        <v>1928</v>
      </c>
      <c r="D1106" s="10">
        <v>45736</v>
      </c>
      <c r="E1106" s="11" t="str">
        <f>+HYPERLINK("http://trademark.i-assist.jp/data/china/image_1928th/82612075.pdf","82612075")</f>
        <v>82612075</v>
      </c>
      <c r="F1106" s="12" t="s">
        <v>3121</v>
      </c>
      <c r="G1106" s="12" t="s">
        <v>3122</v>
      </c>
      <c r="H1106" s="9" t="s">
        <v>3123</v>
      </c>
      <c r="I1106" s="10">
        <v>45644</v>
      </c>
    </row>
    <row r="1107" spans="1:9" x14ac:dyDescent="0.15">
      <c r="A1107" s="9">
        <v>1106</v>
      </c>
      <c r="B1107" s="9" t="s">
        <v>9</v>
      </c>
      <c r="C1107" s="9">
        <v>1928</v>
      </c>
      <c r="D1107" s="10">
        <v>45736</v>
      </c>
      <c r="E1107" s="11" t="str">
        <f>+HYPERLINK("http://trademark.i-assist.jp/data/china/image_1928th/82612566.pdf","82612566")</f>
        <v>82612566</v>
      </c>
      <c r="F1107" s="12" t="s">
        <v>18</v>
      </c>
      <c r="G1107" s="9" t="s">
        <v>3124</v>
      </c>
      <c r="H1107" s="12" t="s">
        <v>3125</v>
      </c>
      <c r="I1107" s="10">
        <v>45644</v>
      </c>
    </row>
    <row r="1108" spans="1:9" x14ac:dyDescent="0.15">
      <c r="A1108" s="9">
        <v>1107</v>
      </c>
      <c r="B1108" s="9" t="s">
        <v>9</v>
      </c>
      <c r="C1108" s="9">
        <v>1928</v>
      </c>
      <c r="D1108" s="10">
        <v>45736</v>
      </c>
      <c r="E1108" s="11" t="str">
        <f>+HYPERLINK("http://trademark.i-assist.jp/data/china/image_1928th/82612802.pdf","82612802")</f>
        <v>82612802</v>
      </c>
      <c r="F1108" s="12" t="s">
        <v>3126</v>
      </c>
      <c r="G1108" s="9" t="s">
        <v>3127</v>
      </c>
      <c r="H1108" s="9" t="s">
        <v>3128</v>
      </c>
      <c r="I1108" s="10">
        <v>45644</v>
      </c>
    </row>
    <row r="1109" spans="1:9" x14ac:dyDescent="0.15">
      <c r="A1109" s="9">
        <v>1108</v>
      </c>
      <c r="B1109" s="9" t="s">
        <v>9</v>
      </c>
      <c r="C1109" s="9">
        <v>1928</v>
      </c>
      <c r="D1109" s="10">
        <v>45736</v>
      </c>
      <c r="E1109" s="11" t="str">
        <f>+HYPERLINK("http://trademark.i-assist.jp/data/china/image_1928th/82612983.pdf","82612983")</f>
        <v>82612983</v>
      </c>
      <c r="F1109" s="9" t="s">
        <v>3129</v>
      </c>
      <c r="G1109" s="12" t="s">
        <v>3122</v>
      </c>
      <c r="H1109" s="9" t="s">
        <v>3130</v>
      </c>
      <c r="I1109" s="10">
        <v>45644</v>
      </c>
    </row>
    <row r="1110" spans="1:9" x14ac:dyDescent="0.15">
      <c r="A1110" s="9">
        <v>1109</v>
      </c>
      <c r="B1110" s="9" t="s">
        <v>9</v>
      </c>
      <c r="C1110" s="9">
        <v>1928</v>
      </c>
      <c r="D1110" s="10">
        <v>45736</v>
      </c>
      <c r="E1110" s="11" t="str">
        <f>+HYPERLINK("http://trademark.i-assist.jp/data/china/image_1928th/82613872.pdf","82613872")</f>
        <v>82613872</v>
      </c>
      <c r="F1110" s="9" t="s">
        <v>3131</v>
      </c>
      <c r="G1110" s="12" t="s">
        <v>3132</v>
      </c>
      <c r="H1110" s="9" t="s">
        <v>3133</v>
      </c>
      <c r="I1110" s="10">
        <v>45644</v>
      </c>
    </row>
    <row r="1111" spans="1:9" x14ac:dyDescent="0.15">
      <c r="A1111" s="9">
        <v>1110</v>
      </c>
      <c r="B1111" s="9" t="s">
        <v>9</v>
      </c>
      <c r="C1111" s="9">
        <v>1928</v>
      </c>
      <c r="D1111" s="10">
        <v>45736</v>
      </c>
      <c r="E1111" s="11" t="str">
        <f>+HYPERLINK("http://trademark.i-assist.jp/data/china/image_1928th/82614416.pdf","82614416")</f>
        <v>82614416</v>
      </c>
      <c r="F1111" s="9" t="s">
        <v>3134</v>
      </c>
      <c r="G1111" s="12" t="s">
        <v>3135</v>
      </c>
      <c r="H1111" s="9" t="s">
        <v>3136</v>
      </c>
      <c r="I1111" s="10">
        <v>45644</v>
      </c>
    </row>
    <row r="1112" spans="1:9" x14ac:dyDescent="0.15">
      <c r="A1112" s="9">
        <v>1111</v>
      </c>
      <c r="B1112" s="9" t="s">
        <v>9</v>
      </c>
      <c r="C1112" s="9">
        <v>1928</v>
      </c>
      <c r="D1112" s="10">
        <v>45736</v>
      </c>
      <c r="E1112" s="11" t="str">
        <f>+HYPERLINK("http://trademark.i-assist.jp/data/china/image_1928th/82614567.pdf","82614567")</f>
        <v>82614567</v>
      </c>
      <c r="F1112" s="12" t="s">
        <v>3137</v>
      </c>
      <c r="G1112" s="12" t="s">
        <v>3122</v>
      </c>
      <c r="H1112" s="12" t="s">
        <v>3138</v>
      </c>
      <c r="I1112" s="10">
        <v>45644</v>
      </c>
    </row>
    <row r="1113" spans="1:9" x14ac:dyDescent="0.15">
      <c r="A1113" s="9">
        <v>1112</v>
      </c>
      <c r="B1113" s="9" t="s">
        <v>9</v>
      </c>
      <c r="C1113" s="9">
        <v>1928</v>
      </c>
      <c r="D1113" s="10">
        <v>45736</v>
      </c>
      <c r="E1113" s="11" t="str">
        <f>+HYPERLINK("http://trademark.i-assist.jp/data/china/image_1928th/82614744.pdf","82614744")</f>
        <v>82614744</v>
      </c>
      <c r="F1113" s="9" t="s">
        <v>3139</v>
      </c>
      <c r="G1113" s="12" t="s">
        <v>3140</v>
      </c>
      <c r="H1113" s="9" t="s">
        <v>3141</v>
      </c>
      <c r="I1113" s="10">
        <v>45644</v>
      </c>
    </row>
    <row r="1114" spans="1:9" x14ac:dyDescent="0.15">
      <c r="A1114" s="9">
        <v>1113</v>
      </c>
      <c r="B1114" s="9" t="s">
        <v>9</v>
      </c>
      <c r="C1114" s="9">
        <v>1928</v>
      </c>
      <c r="D1114" s="10">
        <v>45736</v>
      </c>
      <c r="E1114" s="11" t="str">
        <f>+HYPERLINK("http://trademark.i-assist.jp/data/china/image_1928th/82615835.pdf","82615835")</f>
        <v>82615835</v>
      </c>
      <c r="F1114" s="12" t="s">
        <v>3142</v>
      </c>
      <c r="G1114" s="9" t="s">
        <v>3143</v>
      </c>
      <c r="H1114" s="9" t="s">
        <v>3144</v>
      </c>
      <c r="I1114" s="10">
        <v>45644</v>
      </c>
    </row>
    <row r="1115" spans="1:9" x14ac:dyDescent="0.15">
      <c r="A1115" s="9">
        <v>1114</v>
      </c>
      <c r="B1115" s="9" t="s">
        <v>9</v>
      </c>
      <c r="C1115" s="9">
        <v>1928</v>
      </c>
      <c r="D1115" s="10">
        <v>45736</v>
      </c>
      <c r="E1115" s="11" t="str">
        <f>+HYPERLINK("http://trademark.i-assist.jp/data/china/image_1928th/82615883.pdf","82615883")</f>
        <v>82615883</v>
      </c>
      <c r="F1115" s="9" t="s">
        <v>3145</v>
      </c>
      <c r="G1115" s="9" t="s">
        <v>3146</v>
      </c>
      <c r="H1115" s="9" t="s">
        <v>3147</v>
      </c>
      <c r="I1115" s="10">
        <v>45644</v>
      </c>
    </row>
    <row r="1116" spans="1:9" x14ac:dyDescent="0.15">
      <c r="A1116" s="9">
        <v>1115</v>
      </c>
      <c r="B1116" s="9" t="s">
        <v>9</v>
      </c>
      <c r="C1116" s="9">
        <v>1928</v>
      </c>
      <c r="D1116" s="10">
        <v>45736</v>
      </c>
      <c r="E1116" s="11" t="str">
        <f>+HYPERLINK("http://trademark.i-assist.jp/data/china/image_1928th/82616303.pdf","82616303")</f>
        <v>82616303</v>
      </c>
      <c r="F1116" s="12" t="s">
        <v>3148</v>
      </c>
      <c r="G1116" s="12" t="s">
        <v>3149</v>
      </c>
      <c r="H1116" s="9" t="s">
        <v>3150</v>
      </c>
      <c r="I1116" s="10">
        <v>45644</v>
      </c>
    </row>
    <row r="1117" spans="1:9" x14ac:dyDescent="0.15">
      <c r="A1117" s="9">
        <v>1116</v>
      </c>
      <c r="B1117" s="9" t="s">
        <v>9</v>
      </c>
      <c r="C1117" s="9">
        <v>1928</v>
      </c>
      <c r="D1117" s="10">
        <v>45736</v>
      </c>
      <c r="E1117" s="11" t="str">
        <f>+HYPERLINK("http://trademark.i-assist.jp/data/china/image_1928th/82616707.pdf","82616707")</f>
        <v>82616707</v>
      </c>
      <c r="F1117" s="9" t="s">
        <v>3151</v>
      </c>
      <c r="G1117" s="12" t="s">
        <v>3152</v>
      </c>
      <c r="H1117" s="9" t="s">
        <v>3153</v>
      </c>
      <c r="I1117" s="10">
        <v>45644</v>
      </c>
    </row>
    <row r="1118" spans="1:9" x14ac:dyDescent="0.15">
      <c r="A1118" s="9">
        <v>1117</v>
      </c>
      <c r="B1118" s="9" t="s">
        <v>9</v>
      </c>
      <c r="C1118" s="9">
        <v>1928</v>
      </c>
      <c r="D1118" s="10">
        <v>45736</v>
      </c>
      <c r="E1118" s="11" t="str">
        <f>+HYPERLINK("http://trademark.i-assist.jp/data/china/image_1928th/82616935.pdf","82616935")</f>
        <v>82616935</v>
      </c>
      <c r="F1118" s="9" t="s">
        <v>3154</v>
      </c>
      <c r="G1118" s="9" t="s">
        <v>3155</v>
      </c>
      <c r="H1118" s="9" t="s">
        <v>3156</v>
      </c>
      <c r="I1118" s="10">
        <v>45644</v>
      </c>
    </row>
    <row r="1119" spans="1:9" x14ac:dyDescent="0.15">
      <c r="A1119" s="9">
        <v>1118</v>
      </c>
      <c r="B1119" s="9" t="s">
        <v>9</v>
      </c>
      <c r="C1119" s="9">
        <v>1928</v>
      </c>
      <c r="D1119" s="10">
        <v>45736</v>
      </c>
      <c r="E1119" s="11" t="str">
        <f>+HYPERLINK("http://trademark.i-assist.jp/data/china/image_1928th/82617082.pdf","82617082")</f>
        <v>82617082</v>
      </c>
      <c r="F1119" s="9" t="s">
        <v>3157</v>
      </c>
      <c r="G1119" s="9" t="s">
        <v>1129</v>
      </c>
      <c r="H1119" s="9" t="s">
        <v>3158</v>
      </c>
      <c r="I1119" s="10">
        <v>45644</v>
      </c>
    </row>
    <row r="1120" spans="1:9" x14ac:dyDescent="0.15">
      <c r="A1120" s="9">
        <v>1119</v>
      </c>
      <c r="B1120" s="9" t="s">
        <v>9</v>
      </c>
      <c r="C1120" s="9">
        <v>1928</v>
      </c>
      <c r="D1120" s="10">
        <v>45736</v>
      </c>
      <c r="E1120" s="11" t="str">
        <f>+HYPERLINK("http://trademark.i-assist.jp/data/china/image_1928th/82617137.pdf","82617137")</f>
        <v>82617137</v>
      </c>
      <c r="F1120" s="9" t="s">
        <v>3159</v>
      </c>
      <c r="G1120" s="9" t="s">
        <v>3160</v>
      </c>
      <c r="H1120" s="9" t="s">
        <v>3161</v>
      </c>
      <c r="I1120" s="10">
        <v>45644</v>
      </c>
    </row>
    <row r="1121" spans="1:9" x14ac:dyDescent="0.15">
      <c r="A1121" s="9">
        <v>1120</v>
      </c>
      <c r="B1121" s="9" t="s">
        <v>9</v>
      </c>
      <c r="C1121" s="9">
        <v>1928</v>
      </c>
      <c r="D1121" s="10">
        <v>45736</v>
      </c>
      <c r="E1121" s="11" t="str">
        <f>+HYPERLINK("http://trademark.i-assist.jp/data/china/image_1928th/82617408.pdf","82617408")</f>
        <v>82617408</v>
      </c>
      <c r="F1121" s="9" t="s">
        <v>3162</v>
      </c>
      <c r="G1121" s="9" t="s">
        <v>3163</v>
      </c>
      <c r="H1121" s="9" t="s">
        <v>3164</v>
      </c>
      <c r="I1121" s="10">
        <v>45644</v>
      </c>
    </row>
    <row r="1122" spans="1:9" x14ac:dyDescent="0.15">
      <c r="A1122" s="9">
        <v>1121</v>
      </c>
      <c r="B1122" s="9" t="s">
        <v>9</v>
      </c>
      <c r="C1122" s="9">
        <v>1928</v>
      </c>
      <c r="D1122" s="10">
        <v>45736</v>
      </c>
      <c r="E1122" s="11" t="str">
        <f>+HYPERLINK("http://trademark.i-assist.jp/data/china/image_1928th/82617498.pdf","82617498")</f>
        <v>82617498</v>
      </c>
      <c r="F1122" s="9" t="s">
        <v>3165</v>
      </c>
      <c r="G1122" s="12" t="s">
        <v>3166</v>
      </c>
      <c r="H1122" s="12" t="s">
        <v>3167</v>
      </c>
      <c r="I1122" s="10">
        <v>45644</v>
      </c>
    </row>
    <row r="1123" spans="1:9" x14ac:dyDescent="0.15">
      <c r="A1123" s="9">
        <v>1122</v>
      </c>
      <c r="B1123" s="9" t="s">
        <v>9</v>
      </c>
      <c r="C1123" s="9">
        <v>1928</v>
      </c>
      <c r="D1123" s="10">
        <v>45736</v>
      </c>
      <c r="E1123" s="11" t="str">
        <f>+HYPERLINK("http://trademark.i-assist.jp/data/china/image_1928th/82617567.pdf","82617567")</f>
        <v>82617567</v>
      </c>
      <c r="F1123" s="9" t="s">
        <v>3168</v>
      </c>
      <c r="G1123" s="9" t="s">
        <v>3169</v>
      </c>
      <c r="H1123" s="9" t="s">
        <v>3170</v>
      </c>
      <c r="I1123" s="10">
        <v>45644</v>
      </c>
    </row>
    <row r="1124" spans="1:9" x14ac:dyDescent="0.15">
      <c r="A1124" s="9">
        <v>1123</v>
      </c>
      <c r="B1124" s="9" t="s">
        <v>9</v>
      </c>
      <c r="C1124" s="9">
        <v>1928</v>
      </c>
      <c r="D1124" s="10">
        <v>45736</v>
      </c>
      <c r="E1124" s="11" t="str">
        <f>+HYPERLINK("http://trademark.i-assist.jp/data/china/image_1928th/82617803.pdf","82617803")</f>
        <v>82617803</v>
      </c>
      <c r="F1124" s="12" t="s">
        <v>18</v>
      </c>
      <c r="G1124" s="12" t="s">
        <v>3171</v>
      </c>
      <c r="H1124" s="9" t="s">
        <v>3172</v>
      </c>
      <c r="I1124" s="10">
        <v>45644</v>
      </c>
    </row>
    <row r="1125" spans="1:9" x14ac:dyDescent="0.15">
      <c r="A1125" s="9">
        <v>1124</v>
      </c>
      <c r="B1125" s="9" t="s">
        <v>9</v>
      </c>
      <c r="C1125" s="9">
        <v>1928</v>
      </c>
      <c r="D1125" s="10">
        <v>45736</v>
      </c>
      <c r="E1125" s="11" t="str">
        <f>+HYPERLINK("http://trademark.i-assist.jp/data/china/image_1928th/82618000.pdf","82618000")</f>
        <v>82618000</v>
      </c>
      <c r="F1125" s="9" t="s">
        <v>3173</v>
      </c>
      <c r="G1125" s="9" t="s">
        <v>3174</v>
      </c>
      <c r="H1125" s="9" t="s">
        <v>3175</v>
      </c>
      <c r="I1125" s="10">
        <v>45644</v>
      </c>
    </row>
    <row r="1126" spans="1:9" x14ac:dyDescent="0.15">
      <c r="A1126" s="9">
        <v>1125</v>
      </c>
      <c r="B1126" s="9" t="s">
        <v>9</v>
      </c>
      <c r="C1126" s="9">
        <v>1928</v>
      </c>
      <c r="D1126" s="10">
        <v>45736</v>
      </c>
      <c r="E1126" s="11" t="str">
        <f>+HYPERLINK("http://trademark.i-assist.jp/data/china/image_1928th/82618017.pdf","82618017")</f>
        <v>82618017</v>
      </c>
      <c r="F1126" s="12" t="s">
        <v>3176</v>
      </c>
      <c r="G1126" s="12" t="s">
        <v>3177</v>
      </c>
      <c r="H1126" s="9" t="s">
        <v>3178</v>
      </c>
      <c r="I1126" s="10">
        <v>45644</v>
      </c>
    </row>
    <row r="1127" spans="1:9" x14ac:dyDescent="0.15">
      <c r="A1127" s="9">
        <v>1126</v>
      </c>
      <c r="B1127" s="9" t="s">
        <v>9</v>
      </c>
      <c r="C1127" s="9">
        <v>1928</v>
      </c>
      <c r="D1127" s="10">
        <v>45736</v>
      </c>
      <c r="E1127" s="11" t="str">
        <f>+HYPERLINK("http://trademark.i-assist.jp/data/china/image_1928th/82618023.pdf","82618023")</f>
        <v>82618023</v>
      </c>
      <c r="F1127" s="12" t="s">
        <v>3179</v>
      </c>
      <c r="G1127" s="12" t="s">
        <v>3122</v>
      </c>
      <c r="H1127" s="9" t="s">
        <v>3180</v>
      </c>
      <c r="I1127" s="10">
        <v>45644</v>
      </c>
    </row>
    <row r="1128" spans="1:9" x14ac:dyDescent="0.15">
      <c r="A1128" s="9">
        <v>1127</v>
      </c>
      <c r="B1128" s="9" t="s">
        <v>9</v>
      </c>
      <c r="C1128" s="9">
        <v>1928</v>
      </c>
      <c r="D1128" s="10">
        <v>45736</v>
      </c>
      <c r="E1128" s="11" t="str">
        <f>+HYPERLINK("http://trademark.i-assist.jp/data/china/image_1928th/82618032.pdf","82618032")</f>
        <v>82618032</v>
      </c>
      <c r="F1128" s="13" t="s">
        <v>3181</v>
      </c>
      <c r="G1128" s="12" t="s">
        <v>3122</v>
      </c>
      <c r="H1128" s="9" t="s">
        <v>3182</v>
      </c>
      <c r="I1128" s="10">
        <v>45644</v>
      </c>
    </row>
    <row r="1129" spans="1:9" x14ac:dyDescent="0.15">
      <c r="A1129" s="9">
        <v>1128</v>
      </c>
      <c r="B1129" s="9" t="s">
        <v>9</v>
      </c>
      <c r="C1129" s="9">
        <v>1928</v>
      </c>
      <c r="D1129" s="10">
        <v>45736</v>
      </c>
      <c r="E1129" s="11" t="str">
        <f>+HYPERLINK("http://trademark.i-assist.jp/data/china/image_1928th/82618249.pdf","82618249")</f>
        <v>82618249</v>
      </c>
      <c r="F1129" s="9" t="s">
        <v>3183</v>
      </c>
      <c r="G1129" s="9" t="s">
        <v>28</v>
      </c>
      <c r="H1129" s="9" t="s">
        <v>3184</v>
      </c>
      <c r="I1129" s="10">
        <v>45644</v>
      </c>
    </row>
    <row r="1130" spans="1:9" x14ac:dyDescent="0.15">
      <c r="A1130" s="9">
        <v>1129</v>
      </c>
      <c r="B1130" s="9" t="s">
        <v>9</v>
      </c>
      <c r="C1130" s="9">
        <v>1928</v>
      </c>
      <c r="D1130" s="10">
        <v>45736</v>
      </c>
      <c r="E1130" s="11" t="str">
        <f>+HYPERLINK("http://trademark.i-assist.jp/data/china/image_1928th/82618442.pdf","82618442")</f>
        <v>82618442</v>
      </c>
      <c r="F1130" s="9" t="s">
        <v>3185</v>
      </c>
      <c r="G1130" s="9" t="s">
        <v>3186</v>
      </c>
      <c r="H1130" s="9" t="s">
        <v>3187</v>
      </c>
      <c r="I1130" s="10">
        <v>45644</v>
      </c>
    </row>
    <row r="1131" spans="1:9" x14ac:dyDescent="0.15">
      <c r="A1131" s="9">
        <v>1130</v>
      </c>
      <c r="B1131" s="9" t="s">
        <v>9</v>
      </c>
      <c r="C1131" s="9">
        <v>1928</v>
      </c>
      <c r="D1131" s="10">
        <v>45736</v>
      </c>
      <c r="E1131" s="11" t="str">
        <f>+HYPERLINK("http://trademark.i-assist.jp/data/china/image_1928th/82618514.pdf","82618514")</f>
        <v>82618514</v>
      </c>
      <c r="F1131" s="12" t="s">
        <v>3188</v>
      </c>
      <c r="G1131" s="9" t="s">
        <v>3189</v>
      </c>
      <c r="H1131" s="12" t="s">
        <v>3190</v>
      </c>
      <c r="I1131" s="10">
        <v>45644</v>
      </c>
    </row>
    <row r="1132" spans="1:9" x14ac:dyDescent="0.15">
      <c r="A1132" s="9">
        <v>1131</v>
      </c>
      <c r="B1132" s="9" t="s">
        <v>9</v>
      </c>
      <c r="C1132" s="9">
        <v>1928</v>
      </c>
      <c r="D1132" s="10">
        <v>45736</v>
      </c>
      <c r="E1132" s="11" t="str">
        <f>+HYPERLINK("http://trademark.i-assist.jp/data/china/image_1928th/82618519.pdf","82618519")</f>
        <v>82618519</v>
      </c>
      <c r="F1132" s="9" t="s">
        <v>3191</v>
      </c>
      <c r="G1132" s="12" t="s">
        <v>3135</v>
      </c>
      <c r="H1132" s="9" t="s">
        <v>3192</v>
      </c>
      <c r="I1132" s="10">
        <v>45644</v>
      </c>
    </row>
    <row r="1133" spans="1:9" x14ac:dyDescent="0.15">
      <c r="A1133" s="9">
        <v>1132</v>
      </c>
      <c r="B1133" s="9" t="s">
        <v>9</v>
      </c>
      <c r="C1133" s="9">
        <v>1928</v>
      </c>
      <c r="D1133" s="10">
        <v>45736</v>
      </c>
      <c r="E1133" s="11" t="str">
        <f>+HYPERLINK("http://trademark.i-assist.jp/data/china/image_1928th/82618875.pdf","82618875")</f>
        <v>82618875</v>
      </c>
      <c r="F1133" s="9" t="s">
        <v>3193</v>
      </c>
      <c r="G1133" s="12" t="s">
        <v>3194</v>
      </c>
      <c r="H1133" s="9" t="s">
        <v>3195</v>
      </c>
      <c r="I1133" s="10">
        <v>45644</v>
      </c>
    </row>
    <row r="1134" spans="1:9" x14ac:dyDescent="0.15">
      <c r="A1134" s="9">
        <v>1133</v>
      </c>
      <c r="B1134" s="9" t="s">
        <v>9</v>
      </c>
      <c r="C1134" s="9">
        <v>1928</v>
      </c>
      <c r="D1134" s="10">
        <v>45736</v>
      </c>
      <c r="E1134" s="11" t="str">
        <f>+HYPERLINK("http://trademark.i-assist.jp/data/china/image_1928th/82619540.pdf","82619540")</f>
        <v>82619540</v>
      </c>
      <c r="F1134" s="9" t="s">
        <v>3196</v>
      </c>
      <c r="G1134" s="9" t="s">
        <v>3197</v>
      </c>
      <c r="H1134" s="9" t="s">
        <v>3198</v>
      </c>
      <c r="I1134" s="10">
        <v>45644</v>
      </c>
    </row>
    <row r="1135" spans="1:9" x14ac:dyDescent="0.15">
      <c r="A1135" s="9">
        <v>1134</v>
      </c>
      <c r="B1135" s="9" t="s">
        <v>9</v>
      </c>
      <c r="C1135" s="9">
        <v>1928</v>
      </c>
      <c r="D1135" s="10">
        <v>45736</v>
      </c>
      <c r="E1135" s="11" t="str">
        <f>+HYPERLINK("http://trademark.i-assist.jp/data/china/image_1928th/82619623.pdf","82619623")</f>
        <v>82619623</v>
      </c>
      <c r="F1135" s="9" t="s">
        <v>3199</v>
      </c>
      <c r="G1135" s="9" t="s">
        <v>3200</v>
      </c>
      <c r="H1135" s="12" t="s">
        <v>3201</v>
      </c>
      <c r="I1135" s="10">
        <v>45644</v>
      </c>
    </row>
    <row r="1136" spans="1:9" x14ac:dyDescent="0.15">
      <c r="A1136" s="9">
        <v>1135</v>
      </c>
      <c r="B1136" s="9" t="s">
        <v>9</v>
      </c>
      <c r="C1136" s="9">
        <v>1928</v>
      </c>
      <c r="D1136" s="10">
        <v>45736</v>
      </c>
      <c r="E1136" s="11" t="str">
        <f>+HYPERLINK("http://trademark.i-assist.jp/data/china/image_1928th/82619831.pdf","82619831")</f>
        <v>82619831</v>
      </c>
      <c r="F1136" s="12" t="s">
        <v>3202</v>
      </c>
      <c r="G1136" s="9" t="s">
        <v>3119</v>
      </c>
      <c r="H1136" s="9" t="s">
        <v>3203</v>
      </c>
      <c r="I1136" s="10">
        <v>45644</v>
      </c>
    </row>
    <row r="1137" spans="1:9" x14ac:dyDescent="0.15">
      <c r="A1137" s="9">
        <v>1136</v>
      </c>
      <c r="B1137" s="9" t="s">
        <v>9</v>
      </c>
      <c r="C1137" s="9">
        <v>1928</v>
      </c>
      <c r="D1137" s="10">
        <v>45736</v>
      </c>
      <c r="E1137" s="11" t="str">
        <f>+HYPERLINK("http://trademark.i-assist.jp/data/china/image_1928th/82619985.pdf","82619985")</f>
        <v>82619985</v>
      </c>
      <c r="F1137" s="9" t="s">
        <v>3204</v>
      </c>
      <c r="G1137" s="9" t="s">
        <v>3205</v>
      </c>
      <c r="H1137" s="9" t="s">
        <v>3206</v>
      </c>
      <c r="I1137" s="10">
        <v>45644</v>
      </c>
    </row>
    <row r="1138" spans="1:9" x14ac:dyDescent="0.15">
      <c r="A1138" s="9">
        <v>1137</v>
      </c>
      <c r="B1138" s="9" t="s">
        <v>9</v>
      </c>
      <c r="C1138" s="9">
        <v>1928</v>
      </c>
      <c r="D1138" s="10">
        <v>45736</v>
      </c>
      <c r="E1138" s="11" t="str">
        <f>+HYPERLINK("http://trademark.i-assist.jp/data/china/image_1928th/82620210.pdf","82620210")</f>
        <v>82620210</v>
      </c>
      <c r="F1138" s="9" t="s">
        <v>3207</v>
      </c>
      <c r="G1138" s="12" t="s">
        <v>3208</v>
      </c>
      <c r="H1138" s="9" t="s">
        <v>3209</v>
      </c>
      <c r="I1138" s="10">
        <v>45644</v>
      </c>
    </row>
    <row r="1139" spans="1:9" x14ac:dyDescent="0.15">
      <c r="A1139" s="9">
        <v>1138</v>
      </c>
      <c r="B1139" s="9" t="s">
        <v>9</v>
      </c>
      <c r="C1139" s="9">
        <v>1928</v>
      </c>
      <c r="D1139" s="10">
        <v>45736</v>
      </c>
      <c r="E1139" s="11" t="str">
        <f>+HYPERLINK("http://trademark.i-assist.jp/data/china/image_1928th/82620337.pdf","82620337")</f>
        <v>82620337</v>
      </c>
      <c r="F1139" s="9" t="s">
        <v>3210</v>
      </c>
      <c r="G1139" s="9" t="s">
        <v>3211</v>
      </c>
      <c r="H1139" s="9" t="s">
        <v>3212</v>
      </c>
      <c r="I1139" s="10">
        <v>45644</v>
      </c>
    </row>
    <row r="1140" spans="1:9" x14ac:dyDescent="0.15">
      <c r="A1140" s="9">
        <v>1139</v>
      </c>
      <c r="B1140" s="9" t="s">
        <v>9</v>
      </c>
      <c r="C1140" s="9">
        <v>1928</v>
      </c>
      <c r="D1140" s="10">
        <v>45736</v>
      </c>
      <c r="E1140" s="11" t="str">
        <f>+HYPERLINK("http://trademark.i-assist.jp/data/china/image_1928th/82620581.pdf","82620581")</f>
        <v>82620581</v>
      </c>
      <c r="F1140" s="12" t="s">
        <v>3213</v>
      </c>
      <c r="G1140" s="9" t="s">
        <v>3214</v>
      </c>
      <c r="H1140" s="9" t="s">
        <v>3215</v>
      </c>
      <c r="I1140" s="10">
        <v>45644</v>
      </c>
    </row>
    <row r="1141" spans="1:9" x14ac:dyDescent="0.15">
      <c r="A1141" s="9">
        <v>1140</v>
      </c>
      <c r="B1141" s="9" t="s">
        <v>9</v>
      </c>
      <c r="C1141" s="9">
        <v>1928</v>
      </c>
      <c r="D1141" s="10">
        <v>45736</v>
      </c>
      <c r="E1141" s="11" t="str">
        <f>+HYPERLINK("http://trademark.i-assist.jp/data/china/image_1928th/82621028.pdf","82621028")</f>
        <v>82621028</v>
      </c>
      <c r="F1141" s="9" t="s">
        <v>3216</v>
      </c>
      <c r="G1141" s="9" t="s">
        <v>3217</v>
      </c>
      <c r="H1141" s="9" t="s">
        <v>3218</v>
      </c>
      <c r="I1141" s="10">
        <v>45644</v>
      </c>
    </row>
    <row r="1142" spans="1:9" x14ac:dyDescent="0.15">
      <c r="A1142" s="9">
        <v>1141</v>
      </c>
      <c r="B1142" s="9" t="s">
        <v>9</v>
      </c>
      <c r="C1142" s="9">
        <v>1928</v>
      </c>
      <c r="D1142" s="10">
        <v>45736</v>
      </c>
      <c r="E1142" s="11" t="str">
        <f>+HYPERLINK("http://trademark.i-assist.jp/data/china/image_1928th/82621514.pdf","82621514")</f>
        <v>82621514</v>
      </c>
      <c r="F1142" s="9" t="s">
        <v>3219</v>
      </c>
      <c r="G1142" s="9" t="s">
        <v>3220</v>
      </c>
      <c r="H1142" s="9" t="s">
        <v>3221</v>
      </c>
      <c r="I1142" s="10">
        <v>45644</v>
      </c>
    </row>
    <row r="1143" spans="1:9" x14ac:dyDescent="0.15">
      <c r="A1143" s="9">
        <v>1142</v>
      </c>
      <c r="B1143" s="9" t="s">
        <v>9</v>
      </c>
      <c r="C1143" s="9">
        <v>1928</v>
      </c>
      <c r="D1143" s="10">
        <v>45736</v>
      </c>
      <c r="E1143" s="11" t="str">
        <f>+HYPERLINK("http://trademark.i-assist.jp/data/china/image_1928th/82621841.pdf","82621841")</f>
        <v>82621841</v>
      </c>
      <c r="F1143" s="12" t="s">
        <v>3222</v>
      </c>
      <c r="G1143" s="9" t="s">
        <v>55</v>
      </c>
      <c r="H1143" s="9" t="s">
        <v>3223</v>
      </c>
      <c r="I1143" s="10">
        <v>45644</v>
      </c>
    </row>
    <row r="1144" spans="1:9" x14ac:dyDescent="0.15">
      <c r="A1144" s="9">
        <v>1143</v>
      </c>
      <c r="B1144" s="9" t="s">
        <v>9</v>
      </c>
      <c r="C1144" s="9">
        <v>1928</v>
      </c>
      <c r="D1144" s="10">
        <v>45736</v>
      </c>
      <c r="E1144" s="11" t="str">
        <f>+HYPERLINK("http://trademark.i-assist.jp/data/china/image_1928th/82622443.pdf","82622443")</f>
        <v>82622443</v>
      </c>
      <c r="F1144" s="9" t="s">
        <v>3224</v>
      </c>
      <c r="G1144" s="12" t="s">
        <v>3225</v>
      </c>
      <c r="H1144" s="9" t="s">
        <v>3226</v>
      </c>
      <c r="I1144" s="10">
        <v>45644</v>
      </c>
    </row>
    <row r="1145" spans="1:9" x14ac:dyDescent="0.15">
      <c r="A1145" s="9">
        <v>1144</v>
      </c>
      <c r="B1145" s="9" t="s">
        <v>9</v>
      </c>
      <c r="C1145" s="9">
        <v>1928</v>
      </c>
      <c r="D1145" s="10">
        <v>45736</v>
      </c>
      <c r="E1145" s="11" t="str">
        <f>+HYPERLINK("http://trademark.i-assist.jp/data/china/image_1928th/82622520.pdf","82622520")</f>
        <v>82622520</v>
      </c>
      <c r="F1145" s="12" t="s">
        <v>3227</v>
      </c>
      <c r="G1145" s="12" t="s">
        <v>3228</v>
      </c>
      <c r="H1145" s="9" t="s">
        <v>3229</v>
      </c>
      <c r="I1145" s="10">
        <v>45644</v>
      </c>
    </row>
    <row r="1146" spans="1:9" x14ac:dyDescent="0.15">
      <c r="A1146" s="9">
        <v>1145</v>
      </c>
      <c r="B1146" s="9" t="s">
        <v>9</v>
      </c>
      <c r="C1146" s="9">
        <v>1928</v>
      </c>
      <c r="D1146" s="10">
        <v>45736</v>
      </c>
      <c r="E1146" s="11" t="str">
        <f>+HYPERLINK("http://trademark.i-assist.jp/data/china/image_1928th/82623137.pdf","82623137")</f>
        <v>82623137</v>
      </c>
      <c r="F1146" s="9" t="s">
        <v>3230</v>
      </c>
      <c r="G1146" s="9" t="s">
        <v>3231</v>
      </c>
      <c r="H1146" s="9" t="s">
        <v>3232</v>
      </c>
      <c r="I1146" s="10">
        <v>45644</v>
      </c>
    </row>
    <row r="1147" spans="1:9" x14ac:dyDescent="0.15">
      <c r="A1147" s="9">
        <v>1146</v>
      </c>
      <c r="B1147" s="9" t="s">
        <v>9</v>
      </c>
      <c r="C1147" s="9">
        <v>1928</v>
      </c>
      <c r="D1147" s="10">
        <v>45736</v>
      </c>
      <c r="E1147" s="11" t="str">
        <f>+HYPERLINK("http://trademark.i-assist.jp/data/china/image_1928th/82623502.pdf","82623502")</f>
        <v>82623502</v>
      </c>
      <c r="F1147" s="9" t="s">
        <v>3233</v>
      </c>
      <c r="G1147" s="9" t="s">
        <v>3234</v>
      </c>
      <c r="H1147" s="9" t="s">
        <v>3235</v>
      </c>
      <c r="I1147" s="10">
        <v>45644</v>
      </c>
    </row>
    <row r="1148" spans="1:9" x14ac:dyDescent="0.15">
      <c r="A1148" s="9">
        <v>1147</v>
      </c>
      <c r="B1148" s="9" t="s">
        <v>9</v>
      </c>
      <c r="C1148" s="9">
        <v>1928</v>
      </c>
      <c r="D1148" s="10">
        <v>45736</v>
      </c>
      <c r="E1148" s="11" t="str">
        <f>+HYPERLINK("http://trademark.i-assist.jp/data/china/image_1928th/82623817.pdf","82623817")</f>
        <v>82623817</v>
      </c>
      <c r="F1148" s="9" t="s">
        <v>3236</v>
      </c>
      <c r="G1148" s="12" t="s">
        <v>3135</v>
      </c>
      <c r="H1148" s="9" t="s">
        <v>3237</v>
      </c>
      <c r="I1148" s="10">
        <v>45644</v>
      </c>
    </row>
    <row r="1149" spans="1:9" x14ac:dyDescent="0.15">
      <c r="A1149" s="9">
        <v>1148</v>
      </c>
      <c r="B1149" s="9" t="s">
        <v>9</v>
      </c>
      <c r="C1149" s="9">
        <v>1928</v>
      </c>
      <c r="D1149" s="10">
        <v>45736</v>
      </c>
      <c r="E1149" s="11" t="str">
        <f>+HYPERLINK("http://trademark.i-assist.jp/data/china/image_1928th/82624099.pdf","82624099")</f>
        <v>82624099</v>
      </c>
      <c r="F1149" s="9" t="s">
        <v>3238</v>
      </c>
      <c r="G1149" s="9" t="s">
        <v>3239</v>
      </c>
      <c r="H1149" s="9" t="s">
        <v>3240</v>
      </c>
      <c r="I1149" s="10">
        <v>45644</v>
      </c>
    </row>
    <row r="1150" spans="1:9" x14ac:dyDescent="0.15">
      <c r="A1150" s="9">
        <v>1149</v>
      </c>
      <c r="B1150" s="9" t="s">
        <v>9</v>
      </c>
      <c r="C1150" s="9">
        <v>1928</v>
      </c>
      <c r="D1150" s="10">
        <v>45736</v>
      </c>
      <c r="E1150" s="11" t="str">
        <f>+HYPERLINK("http://trademark.i-assist.jp/data/china/image_1928th/82624607.pdf","82624607")</f>
        <v>82624607</v>
      </c>
      <c r="F1150" s="9" t="s">
        <v>3241</v>
      </c>
      <c r="G1150" s="12" t="s">
        <v>3242</v>
      </c>
      <c r="H1150" s="9" t="s">
        <v>3243</v>
      </c>
      <c r="I1150" s="10">
        <v>45644</v>
      </c>
    </row>
    <row r="1151" spans="1:9" x14ac:dyDescent="0.15">
      <c r="A1151" s="9">
        <v>1150</v>
      </c>
      <c r="B1151" s="9" t="s">
        <v>9</v>
      </c>
      <c r="C1151" s="9">
        <v>1928</v>
      </c>
      <c r="D1151" s="10">
        <v>45736</v>
      </c>
      <c r="E1151" s="11" t="str">
        <f>+HYPERLINK("http://trademark.i-assist.jp/data/china/image_1928th/82624923.pdf","82624923")</f>
        <v>82624923</v>
      </c>
      <c r="F1151" s="13" t="s">
        <v>3244</v>
      </c>
      <c r="G1151" s="9" t="s">
        <v>3245</v>
      </c>
      <c r="H1151" s="9" t="s">
        <v>3246</v>
      </c>
      <c r="I1151" s="10">
        <v>45644</v>
      </c>
    </row>
    <row r="1152" spans="1:9" x14ac:dyDescent="0.15">
      <c r="A1152" s="9">
        <v>1151</v>
      </c>
      <c r="B1152" s="9" t="s">
        <v>9</v>
      </c>
      <c r="C1152" s="9">
        <v>1928</v>
      </c>
      <c r="D1152" s="10">
        <v>45736</v>
      </c>
      <c r="E1152" s="11" t="str">
        <f>+HYPERLINK("http://trademark.i-assist.jp/data/china/image_1928th/82625076.pdf","82625076")</f>
        <v>82625076</v>
      </c>
      <c r="F1152" s="9" t="s">
        <v>3247</v>
      </c>
      <c r="G1152" s="9" t="s">
        <v>3248</v>
      </c>
      <c r="H1152" s="9" t="s">
        <v>3249</v>
      </c>
      <c r="I1152" s="10">
        <v>45644</v>
      </c>
    </row>
    <row r="1153" spans="1:9" x14ac:dyDescent="0.15">
      <c r="A1153" s="9">
        <v>1152</v>
      </c>
      <c r="B1153" s="9" t="s">
        <v>9</v>
      </c>
      <c r="C1153" s="9">
        <v>1928</v>
      </c>
      <c r="D1153" s="10">
        <v>45736</v>
      </c>
      <c r="E1153" s="11" t="str">
        <f>+HYPERLINK("http://trademark.i-assist.jp/data/china/image_1928th/82625993.pdf","82625993")</f>
        <v>82625993</v>
      </c>
      <c r="F1153" s="12" t="s">
        <v>3250</v>
      </c>
      <c r="G1153" s="9" t="s">
        <v>3251</v>
      </c>
      <c r="H1153" s="9" t="s">
        <v>3252</v>
      </c>
      <c r="I1153" s="10">
        <v>45644</v>
      </c>
    </row>
    <row r="1154" spans="1:9" x14ac:dyDescent="0.15">
      <c r="A1154" s="9">
        <v>1153</v>
      </c>
      <c r="B1154" s="9" t="s">
        <v>9</v>
      </c>
      <c r="C1154" s="9">
        <v>1928</v>
      </c>
      <c r="D1154" s="10">
        <v>45736</v>
      </c>
      <c r="E1154" s="11" t="str">
        <f>+HYPERLINK("http://trademark.i-assist.jp/data/china/image_1928th/82626478.pdf","82626478")</f>
        <v>82626478</v>
      </c>
      <c r="F1154" s="9" t="s">
        <v>3253</v>
      </c>
      <c r="G1154" s="9" t="s">
        <v>3254</v>
      </c>
      <c r="H1154" s="9" t="s">
        <v>3255</v>
      </c>
      <c r="I1154" s="10">
        <v>45644</v>
      </c>
    </row>
    <row r="1155" spans="1:9" x14ac:dyDescent="0.15">
      <c r="A1155" s="9">
        <v>1154</v>
      </c>
      <c r="B1155" s="9" t="s">
        <v>9</v>
      </c>
      <c r="C1155" s="9">
        <v>1928</v>
      </c>
      <c r="D1155" s="10">
        <v>45736</v>
      </c>
      <c r="E1155" s="11" t="str">
        <f>+HYPERLINK("http://trademark.i-assist.jp/data/china/image_1928th/82626548.pdf","82626548")</f>
        <v>82626548</v>
      </c>
      <c r="F1155" s="9" t="s">
        <v>3256</v>
      </c>
      <c r="G1155" s="9" t="s">
        <v>1129</v>
      </c>
      <c r="H1155" s="12" t="s">
        <v>3257</v>
      </c>
      <c r="I1155" s="10">
        <v>45644</v>
      </c>
    </row>
    <row r="1156" spans="1:9" x14ac:dyDescent="0.15">
      <c r="A1156" s="9">
        <v>1155</v>
      </c>
      <c r="B1156" s="9" t="s">
        <v>9</v>
      </c>
      <c r="C1156" s="9">
        <v>1928</v>
      </c>
      <c r="D1156" s="10">
        <v>45736</v>
      </c>
      <c r="E1156" s="11" t="str">
        <f>+HYPERLINK("http://trademark.i-assist.jp/data/china/image_1928th/82627039.pdf","82627039")</f>
        <v>82627039</v>
      </c>
      <c r="F1156" s="9" t="s">
        <v>3258</v>
      </c>
      <c r="G1156" s="12" t="s">
        <v>3259</v>
      </c>
      <c r="H1156" s="9" t="s">
        <v>3260</v>
      </c>
      <c r="I1156" s="10">
        <v>45644</v>
      </c>
    </row>
    <row r="1157" spans="1:9" x14ac:dyDescent="0.15">
      <c r="A1157" s="9">
        <v>1156</v>
      </c>
      <c r="B1157" s="9" t="s">
        <v>9</v>
      </c>
      <c r="C1157" s="9">
        <v>1928</v>
      </c>
      <c r="D1157" s="10">
        <v>45736</v>
      </c>
      <c r="E1157" s="11" t="str">
        <f>+HYPERLINK("http://trademark.i-assist.jp/data/china/image_1928th/82627881.pdf","82627881")</f>
        <v>82627881</v>
      </c>
      <c r="F1157" s="9" t="s">
        <v>3261</v>
      </c>
      <c r="G1157" s="12" t="s">
        <v>3262</v>
      </c>
      <c r="H1157" s="9" t="s">
        <v>3263</v>
      </c>
      <c r="I1157" s="10">
        <v>45644</v>
      </c>
    </row>
    <row r="1158" spans="1:9" x14ac:dyDescent="0.15">
      <c r="A1158" s="9">
        <v>1157</v>
      </c>
      <c r="B1158" s="9" t="s">
        <v>9</v>
      </c>
      <c r="C1158" s="9">
        <v>1928</v>
      </c>
      <c r="D1158" s="10">
        <v>45736</v>
      </c>
      <c r="E1158" s="11" t="str">
        <f>+HYPERLINK("http://trademark.i-assist.jp/data/china/image_1928th/82627895.pdf","82627895")</f>
        <v>82627895</v>
      </c>
      <c r="F1158" s="9" t="s">
        <v>3264</v>
      </c>
      <c r="G1158" s="12" t="s">
        <v>3177</v>
      </c>
      <c r="H1158" s="9" t="s">
        <v>3265</v>
      </c>
      <c r="I1158" s="10">
        <v>45644</v>
      </c>
    </row>
    <row r="1159" spans="1:9" x14ac:dyDescent="0.15">
      <c r="A1159" s="9">
        <v>1158</v>
      </c>
      <c r="B1159" s="9" t="s">
        <v>9</v>
      </c>
      <c r="C1159" s="9">
        <v>1928</v>
      </c>
      <c r="D1159" s="10">
        <v>45736</v>
      </c>
      <c r="E1159" s="11" t="str">
        <f>+HYPERLINK("http://trademark.i-assist.jp/data/china/image_1928th/82627937.pdf","82627937")</f>
        <v>82627937</v>
      </c>
      <c r="F1159" s="9" t="s">
        <v>3266</v>
      </c>
      <c r="G1159" s="9" t="s">
        <v>1129</v>
      </c>
      <c r="H1159" s="9" t="s">
        <v>3267</v>
      </c>
      <c r="I1159" s="10">
        <v>45644</v>
      </c>
    </row>
    <row r="1160" spans="1:9" x14ac:dyDescent="0.15">
      <c r="A1160" s="9">
        <v>1159</v>
      </c>
      <c r="B1160" s="9" t="s">
        <v>9</v>
      </c>
      <c r="C1160" s="9">
        <v>1928</v>
      </c>
      <c r="D1160" s="10">
        <v>45736</v>
      </c>
      <c r="E1160" s="11" t="str">
        <f>+HYPERLINK("http://trademark.i-assist.jp/data/china/image_1928th/82627987.pdf","82627987")</f>
        <v>82627987</v>
      </c>
      <c r="F1160" s="9" t="s">
        <v>3268</v>
      </c>
      <c r="G1160" s="9" t="s">
        <v>3269</v>
      </c>
      <c r="H1160" s="9" t="s">
        <v>3270</v>
      </c>
      <c r="I1160" s="10">
        <v>45644</v>
      </c>
    </row>
    <row r="1161" spans="1:9" x14ac:dyDescent="0.15">
      <c r="A1161" s="9">
        <v>1160</v>
      </c>
      <c r="B1161" s="9" t="s">
        <v>9</v>
      </c>
      <c r="C1161" s="9">
        <v>1928</v>
      </c>
      <c r="D1161" s="10">
        <v>45736</v>
      </c>
      <c r="E1161" s="11" t="str">
        <f>+HYPERLINK("http://trademark.i-assist.jp/data/china/image_1928th/82628548.pdf","82628548")</f>
        <v>82628548</v>
      </c>
      <c r="F1161" s="9" t="s">
        <v>3271</v>
      </c>
      <c r="G1161" s="9" t="s">
        <v>3272</v>
      </c>
      <c r="H1161" s="9" t="s">
        <v>3273</v>
      </c>
      <c r="I1161" s="10">
        <v>45644</v>
      </c>
    </row>
    <row r="1162" spans="1:9" x14ac:dyDescent="0.15">
      <c r="A1162" s="9">
        <v>1161</v>
      </c>
      <c r="B1162" s="9" t="s">
        <v>9</v>
      </c>
      <c r="C1162" s="9">
        <v>1928</v>
      </c>
      <c r="D1162" s="10">
        <v>45736</v>
      </c>
      <c r="E1162" s="11" t="str">
        <f>+HYPERLINK("http://trademark.i-assist.jp/data/china/image_1928th/82629133.pdf","82629133")</f>
        <v>82629133</v>
      </c>
      <c r="F1162" s="12" t="s">
        <v>3274</v>
      </c>
      <c r="G1162" s="9" t="s">
        <v>58</v>
      </c>
      <c r="H1162" s="9" t="s">
        <v>3275</v>
      </c>
      <c r="I1162" s="10">
        <v>45644</v>
      </c>
    </row>
    <row r="1163" spans="1:9" x14ac:dyDescent="0.15">
      <c r="A1163" s="9">
        <v>1162</v>
      </c>
      <c r="B1163" s="9" t="s">
        <v>9</v>
      </c>
      <c r="C1163" s="9">
        <v>1928</v>
      </c>
      <c r="D1163" s="10">
        <v>45736</v>
      </c>
      <c r="E1163" s="11" t="str">
        <f>+HYPERLINK("http://trademark.i-assist.jp/data/china/image_1928th/82629212.pdf","82629212")</f>
        <v>82629212</v>
      </c>
      <c r="F1163" s="9" t="s">
        <v>3276</v>
      </c>
      <c r="G1163" s="9" t="s">
        <v>3277</v>
      </c>
      <c r="H1163" s="9" t="s">
        <v>3278</v>
      </c>
      <c r="I1163" s="10">
        <v>45644</v>
      </c>
    </row>
    <row r="1164" spans="1:9" x14ac:dyDescent="0.15">
      <c r="A1164" s="9">
        <v>1163</v>
      </c>
      <c r="B1164" s="9" t="s">
        <v>9</v>
      </c>
      <c r="C1164" s="9">
        <v>1928</v>
      </c>
      <c r="D1164" s="10">
        <v>45736</v>
      </c>
      <c r="E1164" s="11" t="str">
        <f>+HYPERLINK("http://trademark.i-assist.jp/data/china/image_1928th/82629524.pdf","82629524")</f>
        <v>82629524</v>
      </c>
      <c r="F1164" s="9" t="s">
        <v>3279</v>
      </c>
      <c r="G1164" s="12" t="s">
        <v>3135</v>
      </c>
      <c r="H1164" s="9" t="s">
        <v>3280</v>
      </c>
      <c r="I1164" s="10">
        <v>45644</v>
      </c>
    </row>
    <row r="1165" spans="1:9" x14ac:dyDescent="0.15">
      <c r="A1165" s="9">
        <v>1164</v>
      </c>
      <c r="B1165" s="9" t="s">
        <v>9</v>
      </c>
      <c r="C1165" s="9">
        <v>1928</v>
      </c>
      <c r="D1165" s="10">
        <v>45736</v>
      </c>
      <c r="E1165" s="11" t="str">
        <f>+HYPERLINK("http://trademark.i-assist.jp/data/china/image_1928th/82630387.pdf","82630387")</f>
        <v>82630387</v>
      </c>
      <c r="F1165" s="9" t="s">
        <v>3281</v>
      </c>
      <c r="G1165" s="9" t="s">
        <v>3282</v>
      </c>
      <c r="H1165" s="12" t="s">
        <v>3283</v>
      </c>
      <c r="I1165" s="10">
        <v>45644</v>
      </c>
    </row>
    <row r="1166" spans="1:9" x14ac:dyDescent="0.15">
      <c r="A1166" s="9">
        <v>1165</v>
      </c>
      <c r="B1166" s="9" t="s">
        <v>9</v>
      </c>
      <c r="C1166" s="9">
        <v>1928</v>
      </c>
      <c r="D1166" s="10">
        <v>45736</v>
      </c>
      <c r="E1166" s="11" t="str">
        <f>+HYPERLINK("http://trademark.i-assist.jp/data/china/image_1928th/82630457.pdf","82630457")</f>
        <v>82630457</v>
      </c>
      <c r="F1166" s="9" t="s">
        <v>3284</v>
      </c>
      <c r="G1166" s="9" t="s">
        <v>3285</v>
      </c>
      <c r="H1166" s="9" t="s">
        <v>3286</v>
      </c>
      <c r="I1166" s="10">
        <v>45644</v>
      </c>
    </row>
    <row r="1167" spans="1:9" x14ac:dyDescent="0.15">
      <c r="A1167" s="9">
        <v>1166</v>
      </c>
      <c r="B1167" s="9" t="s">
        <v>9</v>
      </c>
      <c r="C1167" s="9">
        <v>1928</v>
      </c>
      <c r="D1167" s="10">
        <v>45736</v>
      </c>
      <c r="E1167" s="11" t="str">
        <f>+HYPERLINK("http://trademark.i-assist.jp/data/china/image_1928th/82630998.pdf","82630998")</f>
        <v>82630998</v>
      </c>
      <c r="F1167" s="9" t="s">
        <v>3287</v>
      </c>
      <c r="G1167" s="9" t="s">
        <v>1129</v>
      </c>
      <c r="H1167" s="9" t="s">
        <v>3288</v>
      </c>
      <c r="I1167" s="10">
        <v>45644</v>
      </c>
    </row>
    <row r="1168" spans="1:9" x14ac:dyDescent="0.15">
      <c r="A1168" s="9">
        <v>1167</v>
      </c>
      <c r="B1168" s="9" t="s">
        <v>9</v>
      </c>
      <c r="C1168" s="9">
        <v>1928</v>
      </c>
      <c r="D1168" s="10">
        <v>45736</v>
      </c>
      <c r="E1168" s="11" t="str">
        <f>+HYPERLINK("http://trademark.i-assist.jp/data/china/image_1928th/82632513.pdf","82632513")</f>
        <v>82632513</v>
      </c>
      <c r="F1168" s="12" t="s">
        <v>3289</v>
      </c>
      <c r="G1168" s="9" t="s">
        <v>75</v>
      </c>
      <c r="H1168" s="9" t="s">
        <v>3290</v>
      </c>
      <c r="I1168" s="10">
        <v>45644</v>
      </c>
    </row>
    <row r="1169" spans="1:9" x14ac:dyDescent="0.15">
      <c r="A1169" s="9">
        <v>1168</v>
      </c>
      <c r="B1169" s="9" t="s">
        <v>9</v>
      </c>
      <c r="C1169" s="9">
        <v>1928</v>
      </c>
      <c r="D1169" s="10">
        <v>45736</v>
      </c>
      <c r="E1169" s="11" t="str">
        <f>+HYPERLINK("http://trademark.i-assist.jp/data/china/image_1928th/82632549.pdf","82632549")</f>
        <v>82632549</v>
      </c>
      <c r="F1169" s="12" t="s">
        <v>18</v>
      </c>
      <c r="G1169" s="12" t="s">
        <v>3291</v>
      </c>
      <c r="H1169" s="9" t="s">
        <v>3292</v>
      </c>
      <c r="I1169" s="10">
        <v>45644</v>
      </c>
    </row>
    <row r="1170" spans="1:9" x14ac:dyDescent="0.15">
      <c r="A1170" s="9">
        <v>1169</v>
      </c>
      <c r="B1170" s="9" t="s">
        <v>9</v>
      </c>
      <c r="C1170" s="9">
        <v>1928</v>
      </c>
      <c r="D1170" s="10">
        <v>45736</v>
      </c>
      <c r="E1170" s="11" t="str">
        <f>+HYPERLINK("http://trademark.i-assist.jp/data/china/image_1928th/82632784.pdf","82632784")</f>
        <v>82632784</v>
      </c>
      <c r="F1170" s="9" t="s">
        <v>3293</v>
      </c>
      <c r="G1170" s="12" t="s">
        <v>3228</v>
      </c>
      <c r="H1170" s="9" t="s">
        <v>3294</v>
      </c>
      <c r="I1170" s="10">
        <v>45644</v>
      </c>
    </row>
    <row r="1171" spans="1:9" x14ac:dyDescent="0.15">
      <c r="A1171" s="9">
        <v>1170</v>
      </c>
      <c r="B1171" s="9" t="s">
        <v>9</v>
      </c>
      <c r="C1171" s="9">
        <v>1928</v>
      </c>
      <c r="D1171" s="10">
        <v>45736</v>
      </c>
      <c r="E1171" s="11" t="str">
        <f>+HYPERLINK("http://trademark.i-assist.jp/data/china/image_1928th/82633036.pdf","82633036")</f>
        <v>82633036</v>
      </c>
      <c r="F1171" s="9" t="s">
        <v>3295</v>
      </c>
      <c r="G1171" s="9" t="s">
        <v>3296</v>
      </c>
      <c r="H1171" s="9" t="s">
        <v>3297</v>
      </c>
      <c r="I1171" s="10">
        <v>45644</v>
      </c>
    </row>
    <row r="1172" spans="1:9" x14ac:dyDescent="0.15">
      <c r="A1172" s="9">
        <v>1171</v>
      </c>
      <c r="B1172" s="9" t="s">
        <v>9</v>
      </c>
      <c r="C1172" s="9">
        <v>1928</v>
      </c>
      <c r="D1172" s="10">
        <v>45736</v>
      </c>
      <c r="E1172" s="11" t="str">
        <f>+HYPERLINK("http://trademark.i-assist.jp/data/china/image_1928th/82633175.pdf","82633175")</f>
        <v>82633175</v>
      </c>
      <c r="F1172" s="9" t="s">
        <v>3298</v>
      </c>
      <c r="G1172" s="9" t="s">
        <v>3299</v>
      </c>
      <c r="H1172" s="9" t="s">
        <v>3300</v>
      </c>
      <c r="I1172" s="10">
        <v>45644</v>
      </c>
    </row>
    <row r="1173" spans="1:9" x14ac:dyDescent="0.15">
      <c r="A1173" s="9">
        <v>1172</v>
      </c>
      <c r="B1173" s="9" t="s">
        <v>9</v>
      </c>
      <c r="C1173" s="9">
        <v>1928</v>
      </c>
      <c r="D1173" s="10">
        <v>45736</v>
      </c>
      <c r="E1173" s="11" t="str">
        <f>+HYPERLINK("http://trademark.i-assist.jp/data/china/image_1928th/82633268.pdf","82633268")</f>
        <v>82633268</v>
      </c>
      <c r="F1173" s="9" t="s">
        <v>3301</v>
      </c>
      <c r="G1173" s="9" t="s">
        <v>3302</v>
      </c>
      <c r="H1173" s="9" t="s">
        <v>3303</v>
      </c>
      <c r="I1173" s="10">
        <v>45644</v>
      </c>
    </row>
    <row r="1174" spans="1:9" x14ac:dyDescent="0.15">
      <c r="A1174" s="9">
        <v>1173</v>
      </c>
      <c r="B1174" s="9" t="s">
        <v>9</v>
      </c>
      <c r="C1174" s="9">
        <v>1928</v>
      </c>
      <c r="D1174" s="10">
        <v>45736</v>
      </c>
      <c r="E1174" s="11" t="str">
        <f>+HYPERLINK("http://trademark.i-assist.jp/data/china/image_1928th/82633512.pdf","82633512")</f>
        <v>82633512</v>
      </c>
      <c r="F1174" s="9" t="s">
        <v>3304</v>
      </c>
      <c r="G1174" s="9" t="s">
        <v>3305</v>
      </c>
      <c r="H1174" s="9" t="s">
        <v>3306</v>
      </c>
      <c r="I1174" s="10">
        <v>45644</v>
      </c>
    </row>
    <row r="1175" spans="1:9" x14ac:dyDescent="0.15">
      <c r="A1175" s="9">
        <v>1174</v>
      </c>
      <c r="B1175" s="9" t="s">
        <v>9</v>
      </c>
      <c r="C1175" s="9">
        <v>1928</v>
      </c>
      <c r="D1175" s="10">
        <v>45736</v>
      </c>
      <c r="E1175" s="11" t="str">
        <f>+HYPERLINK("http://trademark.i-assist.jp/data/china/image_1928th/82634764.pdf","82634764")</f>
        <v>82634764</v>
      </c>
      <c r="F1175" s="9" t="s">
        <v>3307</v>
      </c>
      <c r="G1175" s="12" t="s">
        <v>3308</v>
      </c>
      <c r="H1175" s="9" t="s">
        <v>3309</v>
      </c>
      <c r="I1175" s="10">
        <v>45644</v>
      </c>
    </row>
    <row r="1176" spans="1:9" x14ac:dyDescent="0.15">
      <c r="A1176" s="9">
        <v>1175</v>
      </c>
      <c r="B1176" s="9" t="s">
        <v>9</v>
      </c>
      <c r="C1176" s="9">
        <v>1928</v>
      </c>
      <c r="D1176" s="10">
        <v>45736</v>
      </c>
      <c r="E1176" s="11" t="str">
        <f>+HYPERLINK("http://trademark.i-assist.jp/data/china/image_1928th/82634951.pdf","82634951")</f>
        <v>82634951</v>
      </c>
      <c r="F1176" s="12" t="s">
        <v>3310</v>
      </c>
      <c r="G1176" s="9" t="s">
        <v>3311</v>
      </c>
      <c r="H1176" s="9" t="s">
        <v>3312</v>
      </c>
      <c r="I1176" s="10">
        <v>45644</v>
      </c>
    </row>
    <row r="1177" spans="1:9" x14ac:dyDescent="0.15">
      <c r="A1177" s="9">
        <v>1176</v>
      </c>
      <c r="B1177" s="9" t="s">
        <v>9</v>
      </c>
      <c r="C1177" s="9">
        <v>1928</v>
      </c>
      <c r="D1177" s="10">
        <v>45736</v>
      </c>
      <c r="E1177" s="11" t="str">
        <f>+HYPERLINK("http://trademark.i-assist.jp/data/china/image_1928th/82635127.pdf","82635127")</f>
        <v>82635127</v>
      </c>
      <c r="F1177" s="9" t="s">
        <v>3313</v>
      </c>
      <c r="G1177" s="9" t="s">
        <v>3314</v>
      </c>
      <c r="H1177" s="12" t="s">
        <v>3315</v>
      </c>
      <c r="I1177" s="10">
        <v>45644</v>
      </c>
    </row>
    <row r="1178" spans="1:9" x14ac:dyDescent="0.15">
      <c r="A1178" s="9">
        <v>1177</v>
      </c>
      <c r="B1178" s="9" t="s">
        <v>9</v>
      </c>
      <c r="C1178" s="9">
        <v>1928</v>
      </c>
      <c r="D1178" s="10">
        <v>45736</v>
      </c>
      <c r="E1178" s="11" t="str">
        <f>+HYPERLINK("http://trademark.i-assist.jp/data/china/image_1928th/82635526.pdf","82635526")</f>
        <v>82635526</v>
      </c>
      <c r="F1178" s="9" t="s">
        <v>3316</v>
      </c>
      <c r="G1178" s="9" t="s">
        <v>3317</v>
      </c>
      <c r="H1178" s="12" t="s">
        <v>3318</v>
      </c>
      <c r="I1178" s="10">
        <v>45644</v>
      </c>
    </row>
    <row r="1179" spans="1:9" x14ac:dyDescent="0.15">
      <c r="A1179" s="9">
        <v>1178</v>
      </c>
      <c r="B1179" s="9" t="s">
        <v>9</v>
      </c>
      <c r="C1179" s="9">
        <v>1928</v>
      </c>
      <c r="D1179" s="10">
        <v>45736</v>
      </c>
      <c r="E1179" s="11" t="str">
        <f>+HYPERLINK("http://trademark.i-assist.jp/data/china/image_1928th/82635970.pdf","82635970")</f>
        <v>82635970</v>
      </c>
      <c r="F1179" s="9" t="s">
        <v>3319</v>
      </c>
      <c r="G1179" s="12" t="s">
        <v>3320</v>
      </c>
      <c r="H1179" s="9" t="s">
        <v>3321</v>
      </c>
      <c r="I1179" s="10">
        <v>45644</v>
      </c>
    </row>
    <row r="1180" spans="1:9" x14ac:dyDescent="0.15">
      <c r="A1180" s="9">
        <v>1179</v>
      </c>
      <c r="B1180" s="9" t="s">
        <v>9</v>
      </c>
      <c r="C1180" s="9">
        <v>1928</v>
      </c>
      <c r="D1180" s="10">
        <v>45736</v>
      </c>
      <c r="E1180" s="11" t="str">
        <f>+HYPERLINK("http://trademark.i-assist.jp/data/china/image_1928th/82636014.pdf","82636014")</f>
        <v>82636014</v>
      </c>
      <c r="F1180" s="9" t="s">
        <v>3322</v>
      </c>
      <c r="G1180" s="9" t="s">
        <v>3323</v>
      </c>
      <c r="H1180" s="9" t="s">
        <v>3324</v>
      </c>
      <c r="I1180" s="10">
        <v>45644</v>
      </c>
    </row>
    <row r="1181" spans="1:9" x14ac:dyDescent="0.15">
      <c r="A1181" s="9">
        <v>1180</v>
      </c>
      <c r="B1181" s="9" t="s">
        <v>9</v>
      </c>
      <c r="C1181" s="9">
        <v>1928</v>
      </c>
      <c r="D1181" s="10">
        <v>45736</v>
      </c>
      <c r="E1181" s="11" t="str">
        <f>+HYPERLINK("http://trademark.i-assist.jp/data/china/image_1928th/82636085.pdf","82636085")</f>
        <v>82636085</v>
      </c>
      <c r="F1181" s="9" t="s">
        <v>3325</v>
      </c>
      <c r="G1181" s="12" t="s">
        <v>3326</v>
      </c>
      <c r="H1181" s="9" t="s">
        <v>3327</v>
      </c>
      <c r="I1181" s="10">
        <v>45644</v>
      </c>
    </row>
    <row r="1182" spans="1:9" x14ac:dyDescent="0.15">
      <c r="A1182" s="9">
        <v>1181</v>
      </c>
      <c r="B1182" s="9" t="s">
        <v>9</v>
      </c>
      <c r="C1182" s="9">
        <v>1928</v>
      </c>
      <c r="D1182" s="10">
        <v>45736</v>
      </c>
      <c r="E1182" s="11" t="str">
        <f>+HYPERLINK("http://trademark.i-assist.jp/data/china/image_1928th/82636155.pdf","82636155")</f>
        <v>82636155</v>
      </c>
      <c r="F1182" s="12" t="s">
        <v>3328</v>
      </c>
      <c r="G1182" s="12" t="s">
        <v>3329</v>
      </c>
      <c r="H1182" s="9" t="s">
        <v>3330</v>
      </c>
      <c r="I1182" s="10">
        <v>45644</v>
      </c>
    </row>
    <row r="1183" spans="1:9" x14ac:dyDescent="0.15">
      <c r="A1183" s="9">
        <v>1182</v>
      </c>
      <c r="B1183" s="9" t="s">
        <v>9</v>
      </c>
      <c r="C1183" s="9">
        <v>1928</v>
      </c>
      <c r="D1183" s="10">
        <v>45736</v>
      </c>
      <c r="E1183" s="11" t="str">
        <f>+HYPERLINK("http://trademark.i-assist.jp/data/china/image_1928th/82636164.pdf","82636164")</f>
        <v>82636164</v>
      </c>
      <c r="F1183" s="9" t="s">
        <v>3331</v>
      </c>
      <c r="G1183" s="12" t="s">
        <v>3329</v>
      </c>
      <c r="H1183" s="9" t="s">
        <v>3332</v>
      </c>
      <c r="I1183" s="10">
        <v>45644</v>
      </c>
    </row>
    <row r="1184" spans="1:9" x14ac:dyDescent="0.15">
      <c r="A1184" s="9">
        <v>1183</v>
      </c>
      <c r="B1184" s="9" t="s">
        <v>9</v>
      </c>
      <c r="C1184" s="9">
        <v>1928</v>
      </c>
      <c r="D1184" s="10">
        <v>45736</v>
      </c>
      <c r="E1184" s="11" t="str">
        <f>+HYPERLINK("http://trademark.i-assist.jp/data/china/image_1928th/82636185.pdf","82636185")</f>
        <v>82636185</v>
      </c>
      <c r="F1184" s="9" t="s">
        <v>3333</v>
      </c>
      <c r="G1184" s="9" t="s">
        <v>75</v>
      </c>
      <c r="H1184" s="9" t="s">
        <v>3334</v>
      </c>
      <c r="I1184" s="10">
        <v>45644</v>
      </c>
    </row>
    <row r="1185" spans="1:9" x14ac:dyDescent="0.15">
      <c r="A1185" s="9">
        <v>1184</v>
      </c>
      <c r="B1185" s="9" t="s">
        <v>9</v>
      </c>
      <c r="C1185" s="9">
        <v>1928</v>
      </c>
      <c r="D1185" s="10">
        <v>45736</v>
      </c>
      <c r="E1185" s="11" t="str">
        <f>+HYPERLINK("http://trademark.i-assist.jp/data/china/image_1928th/82636834.pdf","82636834")</f>
        <v>82636834</v>
      </c>
      <c r="F1185" s="9" t="s">
        <v>3335</v>
      </c>
      <c r="G1185" s="9" t="s">
        <v>3336</v>
      </c>
      <c r="H1185" s="9" t="s">
        <v>3337</v>
      </c>
      <c r="I1185" s="10">
        <v>45645</v>
      </c>
    </row>
    <row r="1186" spans="1:9" x14ac:dyDescent="0.15">
      <c r="A1186" s="9">
        <v>1185</v>
      </c>
      <c r="B1186" s="9" t="s">
        <v>9</v>
      </c>
      <c r="C1186" s="9">
        <v>1928</v>
      </c>
      <c r="D1186" s="10">
        <v>45736</v>
      </c>
      <c r="E1186" s="11" t="str">
        <f>+HYPERLINK("http://trademark.i-assist.jp/data/china/image_1928th/82637596.pdf","82637596")</f>
        <v>82637596</v>
      </c>
      <c r="F1186" s="12" t="s">
        <v>3338</v>
      </c>
      <c r="G1186" s="9" t="s">
        <v>3339</v>
      </c>
      <c r="H1186" s="9" t="s">
        <v>3340</v>
      </c>
      <c r="I1186" s="10">
        <v>45645</v>
      </c>
    </row>
    <row r="1187" spans="1:9" x14ac:dyDescent="0.15">
      <c r="A1187" s="9">
        <v>1186</v>
      </c>
      <c r="B1187" s="9" t="s">
        <v>9</v>
      </c>
      <c r="C1187" s="9">
        <v>1928</v>
      </c>
      <c r="D1187" s="10">
        <v>45736</v>
      </c>
      <c r="E1187" s="11" t="str">
        <f>+HYPERLINK("http://trademark.i-assist.jp/data/china/image_1928th/82637629.pdf","82637629")</f>
        <v>82637629</v>
      </c>
      <c r="F1187" s="12" t="s">
        <v>3341</v>
      </c>
      <c r="G1187" s="9" t="s">
        <v>3317</v>
      </c>
      <c r="H1187" s="9" t="s">
        <v>3342</v>
      </c>
      <c r="I1187" s="10">
        <v>45645</v>
      </c>
    </row>
    <row r="1188" spans="1:9" x14ac:dyDescent="0.15">
      <c r="A1188" s="9">
        <v>1187</v>
      </c>
      <c r="B1188" s="9" t="s">
        <v>9</v>
      </c>
      <c r="C1188" s="9">
        <v>1928</v>
      </c>
      <c r="D1188" s="10">
        <v>45736</v>
      </c>
      <c r="E1188" s="11" t="str">
        <f>+HYPERLINK("http://trademark.i-assist.jp/data/china/image_1928th/82637788.pdf","82637788")</f>
        <v>82637788</v>
      </c>
      <c r="F1188" s="9" t="s">
        <v>3343</v>
      </c>
      <c r="G1188" s="9" t="s">
        <v>3344</v>
      </c>
      <c r="H1188" s="9" t="s">
        <v>3345</v>
      </c>
      <c r="I1188" s="10">
        <v>45645</v>
      </c>
    </row>
    <row r="1189" spans="1:9" x14ac:dyDescent="0.15">
      <c r="A1189" s="9">
        <v>1188</v>
      </c>
      <c r="B1189" s="9" t="s">
        <v>9</v>
      </c>
      <c r="C1189" s="9">
        <v>1928</v>
      </c>
      <c r="D1189" s="10">
        <v>45736</v>
      </c>
      <c r="E1189" s="11" t="str">
        <f>+HYPERLINK("http://trademark.i-assist.jp/data/china/image_1928th/82638012.pdf","82638012")</f>
        <v>82638012</v>
      </c>
      <c r="F1189" s="9" t="s">
        <v>3346</v>
      </c>
      <c r="G1189" s="12" t="s">
        <v>3347</v>
      </c>
      <c r="H1189" s="9" t="s">
        <v>3348</v>
      </c>
      <c r="I1189" s="10">
        <v>45645</v>
      </c>
    </row>
    <row r="1190" spans="1:9" x14ac:dyDescent="0.15">
      <c r="A1190" s="9">
        <v>1189</v>
      </c>
      <c r="B1190" s="9" t="s">
        <v>9</v>
      </c>
      <c r="C1190" s="9">
        <v>1928</v>
      </c>
      <c r="D1190" s="10">
        <v>45736</v>
      </c>
      <c r="E1190" s="11" t="str">
        <f>+HYPERLINK("http://trademark.i-assist.jp/data/china/image_1928th/82638159.pdf","82638159")</f>
        <v>82638159</v>
      </c>
      <c r="F1190" s="9" t="s">
        <v>3349</v>
      </c>
      <c r="G1190" s="9" t="s">
        <v>3350</v>
      </c>
      <c r="H1190" s="9" t="s">
        <v>3351</v>
      </c>
      <c r="I1190" s="10">
        <v>45645</v>
      </c>
    </row>
    <row r="1191" spans="1:9" x14ac:dyDescent="0.15">
      <c r="A1191" s="9">
        <v>1190</v>
      </c>
      <c r="B1191" s="9" t="s">
        <v>9</v>
      </c>
      <c r="C1191" s="9">
        <v>1928</v>
      </c>
      <c r="D1191" s="10">
        <v>45736</v>
      </c>
      <c r="E1191" s="11" t="str">
        <f>+HYPERLINK("http://trademark.i-assist.jp/data/china/image_1928th/82639303.pdf","82639303")</f>
        <v>82639303</v>
      </c>
      <c r="F1191" s="9" t="s">
        <v>3352</v>
      </c>
      <c r="G1191" s="9" t="s">
        <v>3353</v>
      </c>
      <c r="H1191" s="9" t="s">
        <v>3354</v>
      </c>
      <c r="I1191" s="10">
        <v>45645</v>
      </c>
    </row>
    <row r="1192" spans="1:9" x14ac:dyDescent="0.15">
      <c r="A1192" s="9">
        <v>1191</v>
      </c>
      <c r="B1192" s="9" t="s">
        <v>9</v>
      </c>
      <c r="C1192" s="9">
        <v>1928</v>
      </c>
      <c r="D1192" s="10">
        <v>45736</v>
      </c>
      <c r="E1192" s="11" t="str">
        <f>+HYPERLINK("http://trademark.i-assist.jp/data/china/image_1928th/82639432.pdf","82639432")</f>
        <v>82639432</v>
      </c>
      <c r="F1192" s="12" t="s">
        <v>3355</v>
      </c>
      <c r="G1192" s="9" t="s">
        <v>3356</v>
      </c>
      <c r="H1192" s="9" t="s">
        <v>3357</v>
      </c>
      <c r="I1192" s="10">
        <v>45645</v>
      </c>
    </row>
    <row r="1193" spans="1:9" x14ac:dyDescent="0.15">
      <c r="A1193" s="9">
        <v>1192</v>
      </c>
      <c r="B1193" s="9" t="s">
        <v>9</v>
      </c>
      <c r="C1193" s="9">
        <v>1928</v>
      </c>
      <c r="D1193" s="10">
        <v>45736</v>
      </c>
      <c r="E1193" s="11" t="str">
        <f>+HYPERLINK("http://trademark.i-assist.jp/data/china/image_1928th/82639545.pdf","82639545")</f>
        <v>82639545</v>
      </c>
      <c r="F1193" s="9" t="s">
        <v>3358</v>
      </c>
      <c r="G1193" s="9" t="s">
        <v>3359</v>
      </c>
      <c r="H1193" s="9" t="s">
        <v>3360</v>
      </c>
      <c r="I1193" s="10">
        <v>45645</v>
      </c>
    </row>
    <row r="1194" spans="1:9" x14ac:dyDescent="0.15">
      <c r="A1194" s="9">
        <v>1193</v>
      </c>
      <c r="B1194" s="9" t="s">
        <v>9</v>
      </c>
      <c r="C1194" s="9">
        <v>1928</v>
      </c>
      <c r="D1194" s="10">
        <v>45736</v>
      </c>
      <c r="E1194" s="11" t="str">
        <f>+HYPERLINK("http://trademark.i-assist.jp/data/china/image_1928th/82639635.pdf","82639635")</f>
        <v>82639635</v>
      </c>
      <c r="F1194" s="12" t="s">
        <v>3361</v>
      </c>
      <c r="G1194" s="12" t="s">
        <v>3362</v>
      </c>
      <c r="H1194" s="9" t="s">
        <v>3363</v>
      </c>
      <c r="I1194" s="10">
        <v>45645</v>
      </c>
    </row>
    <row r="1195" spans="1:9" x14ac:dyDescent="0.15">
      <c r="A1195" s="9">
        <v>1194</v>
      </c>
      <c r="B1195" s="9" t="s">
        <v>9</v>
      </c>
      <c r="C1195" s="9">
        <v>1928</v>
      </c>
      <c r="D1195" s="10">
        <v>45736</v>
      </c>
      <c r="E1195" s="11" t="str">
        <f>+HYPERLINK("http://trademark.i-assist.jp/data/china/image_1928th/82640163.pdf","82640163")</f>
        <v>82640163</v>
      </c>
      <c r="F1195" s="9" t="s">
        <v>3364</v>
      </c>
      <c r="G1195" s="12" t="s">
        <v>3365</v>
      </c>
      <c r="H1195" s="12" t="s">
        <v>3366</v>
      </c>
      <c r="I1195" s="10">
        <v>45645</v>
      </c>
    </row>
    <row r="1196" spans="1:9" x14ac:dyDescent="0.15">
      <c r="A1196" s="9">
        <v>1195</v>
      </c>
      <c r="B1196" s="9" t="s">
        <v>9</v>
      </c>
      <c r="C1196" s="9">
        <v>1928</v>
      </c>
      <c r="D1196" s="10">
        <v>45736</v>
      </c>
      <c r="E1196" s="11" t="str">
        <f>+HYPERLINK("http://trademark.i-assist.jp/data/china/image_1928th/82640651.pdf","82640651")</f>
        <v>82640651</v>
      </c>
      <c r="F1196" s="9" t="s">
        <v>3367</v>
      </c>
      <c r="G1196" s="12" t="s">
        <v>3368</v>
      </c>
      <c r="H1196" s="9" t="s">
        <v>3369</v>
      </c>
      <c r="I1196" s="10">
        <v>45645</v>
      </c>
    </row>
    <row r="1197" spans="1:9" x14ac:dyDescent="0.15">
      <c r="A1197" s="9">
        <v>1196</v>
      </c>
      <c r="B1197" s="9" t="s">
        <v>9</v>
      </c>
      <c r="C1197" s="9">
        <v>1928</v>
      </c>
      <c r="D1197" s="10">
        <v>45736</v>
      </c>
      <c r="E1197" s="11" t="str">
        <f>+HYPERLINK("http://trademark.i-assist.jp/data/china/image_1928th/82641011.pdf","82641011")</f>
        <v>82641011</v>
      </c>
      <c r="F1197" s="12" t="s">
        <v>3370</v>
      </c>
      <c r="G1197" s="9" t="s">
        <v>3371</v>
      </c>
      <c r="H1197" s="9" t="s">
        <v>3372</v>
      </c>
      <c r="I1197" s="10">
        <v>45645</v>
      </c>
    </row>
    <row r="1198" spans="1:9" x14ac:dyDescent="0.15">
      <c r="A1198" s="9">
        <v>1197</v>
      </c>
      <c r="B1198" s="9" t="s">
        <v>9</v>
      </c>
      <c r="C1198" s="9">
        <v>1928</v>
      </c>
      <c r="D1198" s="10">
        <v>45736</v>
      </c>
      <c r="E1198" s="11" t="str">
        <f>+HYPERLINK("http://trademark.i-assist.jp/data/china/image_1928th/82641179.pdf","82641179")</f>
        <v>82641179</v>
      </c>
      <c r="F1198" s="9" t="s">
        <v>3373</v>
      </c>
      <c r="G1198" s="12" t="s">
        <v>3374</v>
      </c>
      <c r="H1198" s="9" t="s">
        <v>3375</v>
      </c>
      <c r="I1198" s="10">
        <v>45645</v>
      </c>
    </row>
    <row r="1199" spans="1:9" x14ac:dyDescent="0.15">
      <c r="A1199" s="9">
        <v>1198</v>
      </c>
      <c r="B1199" s="9" t="s">
        <v>9</v>
      </c>
      <c r="C1199" s="9">
        <v>1928</v>
      </c>
      <c r="D1199" s="10">
        <v>45736</v>
      </c>
      <c r="E1199" s="11" t="str">
        <f>+HYPERLINK("http://trademark.i-assist.jp/data/china/image_1928th/82641617.pdf","82641617")</f>
        <v>82641617</v>
      </c>
      <c r="F1199" s="9" t="s">
        <v>3376</v>
      </c>
      <c r="G1199" s="9" t="s">
        <v>3377</v>
      </c>
      <c r="H1199" s="9" t="s">
        <v>3378</v>
      </c>
      <c r="I1199" s="10">
        <v>45645</v>
      </c>
    </row>
    <row r="1200" spans="1:9" x14ac:dyDescent="0.15">
      <c r="A1200" s="9">
        <v>1199</v>
      </c>
      <c r="B1200" s="9" t="s">
        <v>9</v>
      </c>
      <c r="C1200" s="9">
        <v>1928</v>
      </c>
      <c r="D1200" s="10">
        <v>45736</v>
      </c>
      <c r="E1200" s="11" t="str">
        <f>+HYPERLINK("http://trademark.i-assist.jp/data/china/image_1928th/82641720.pdf","82641720")</f>
        <v>82641720</v>
      </c>
      <c r="F1200" s="12" t="s">
        <v>3379</v>
      </c>
      <c r="G1200" s="9" t="s">
        <v>43</v>
      </c>
      <c r="H1200" s="12" t="s">
        <v>3380</v>
      </c>
      <c r="I1200" s="10">
        <v>45645</v>
      </c>
    </row>
    <row r="1201" spans="1:9" x14ac:dyDescent="0.15">
      <c r="A1201" s="9">
        <v>1200</v>
      </c>
      <c r="B1201" s="9" t="s">
        <v>9</v>
      </c>
      <c r="C1201" s="9">
        <v>1928</v>
      </c>
      <c r="D1201" s="10">
        <v>45736</v>
      </c>
      <c r="E1201" s="11" t="str">
        <f>+HYPERLINK("http://trademark.i-assist.jp/data/china/image_1928th/82641943.pdf","82641943")</f>
        <v>82641943</v>
      </c>
      <c r="F1201" s="9" t="s">
        <v>3381</v>
      </c>
      <c r="G1201" s="12" t="s">
        <v>103</v>
      </c>
      <c r="H1201" s="9" t="s">
        <v>3382</v>
      </c>
      <c r="I1201" s="10">
        <v>45645</v>
      </c>
    </row>
    <row r="1202" spans="1:9" x14ac:dyDescent="0.15">
      <c r="A1202" s="9">
        <v>1201</v>
      </c>
      <c r="B1202" s="9" t="s">
        <v>9</v>
      </c>
      <c r="C1202" s="9">
        <v>1928</v>
      </c>
      <c r="D1202" s="10">
        <v>45736</v>
      </c>
      <c r="E1202" s="11" t="str">
        <f>+HYPERLINK("http://trademark.i-assist.jp/data/china/image_1928th/82642373.pdf","82642373")</f>
        <v>82642373</v>
      </c>
      <c r="F1202" s="9" t="s">
        <v>3383</v>
      </c>
      <c r="G1202" s="12" t="s">
        <v>3384</v>
      </c>
      <c r="H1202" s="9" t="s">
        <v>3385</v>
      </c>
      <c r="I1202" s="10">
        <v>45645</v>
      </c>
    </row>
    <row r="1203" spans="1:9" x14ac:dyDescent="0.15">
      <c r="A1203" s="9">
        <v>1202</v>
      </c>
      <c r="B1203" s="9" t="s">
        <v>9</v>
      </c>
      <c r="C1203" s="9">
        <v>1928</v>
      </c>
      <c r="D1203" s="10">
        <v>45736</v>
      </c>
      <c r="E1203" s="11" t="str">
        <f>+HYPERLINK("http://trademark.i-assist.jp/data/china/image_1928th/82642898.pdf","82642898")</f>
        <v>82642898</v>
      </c>
      <c r="F1203" s="9" t="s">
        <v>3386</v>
      </c>
      <c r="G1203" s="12" t="s">
        <v>3387</v>
      </c>
      <c r="H1203" s="9" t="s">
        <v>3388</v>
      </c>
      <c r="I1203" s="10">
        <v>45645</v>
      </c>
    </row>
    <row r="1204" spans="1:9" x14ac:dyDescent="0.15">
      <c r="A1204" s="9">
        <v>1203</v>
      </c>
      <c r="B1204" s="9" t="s">
        <v>9</v>
      </c>
      <c r="C1204" s="9">
        <v>1928</v>
      </c>
      <c r="D1204" s="10">
        <v>45736</v>
      </c>
      <c r="E1204" s="11" t="str">
        <f>+HYPERLINK("http://trademark.i-assist.jp/data/china/image_1928th/82643239.pdf","82643239")</f>
        <v>82643239</v>
      </c>
      <c r="F1204" s="12" t="s">
        <v>3389</v>
      </c>
      <c r="G1204" s="12" t="s">
        <v>3390</v>
      </c>
      <c r="H1204" s="9" t="s">
        <v>3391</v>
      </c>
      <c r="I1204" s="10">
        <v>45645</v>
      </c>
    </row>
    <row r="1205" spans="1:9" x14ac:dyDescent="0.15">
      <c r="A1205" s="9">
        <v>1204</v>
      </c>
      <c r="B1205" s="9" t="s">
        <v>9</v>
      </c>
      <c r="C1205" s="9">
        <v>1928</v>
      </c>
      <c r="D1205" s="10">
        <v>45736</v>
      </c>
      <c r="E1205" s="11" t="str">
        <f>+HYPERLINK("http://trademark.i-assist.jp/data/china/image_1928th/82643450.pdf","82643450")</f>
        <v>82643450</v>
      </c>
      <c r="F1205" s="9" t="s">
        <v>3392</v>
      </c>
      <c r="G1205" s="12" t="s">
        <v>68</v>
      </c>
      <c r="H1205" s="9" t="s">
        <v>3393</v>
      </c>
      <c r="I1205" s="10">
        <v>45645</v>
      </c>
    </row>
    <row r="1206" spans="1:9" x14ac:dyDescent="0.15">
      <c r="A1206" s="9">
        <v>1205</v>
      </c>
      <c r="B1206" s="9" t="s">
        <v>9</v>
      </c>
      <c r="C1206" s="9">
        <v>1928</v>
      </c>
      <c r="D1206" s="10">
        <v>45736</v>
      </c>
      <c r="E1206" s="11" t="str">
        <f>+HYPERLINK("http://trademark.i-assist.jp/data/china/image_1928th/82643696.pdf","82643696")</f>
        <v>82643696</v>
      </c>
      <c r="F1206" s="9" t="s">
        <v>3394</v>
      </c>
      <c r="G1206" s="9" t="s">
        <v>3395</v>
      </c>
      <c r="H1206" s="9" t="s">
        <v>3396</v>
      </c>
      <c r="I1206" s="10">
        <v>45645</v>
      </c>
    </row>
    <row r="1207" spans="1:9" x14ac:dyDescent="0.15">
      <c r="A1207" s="9">
        <v>1206</v>
      </c>
      <c r="B1207" s="9" t="s">
        <v>9</v>
      </c>
      <c r="C1207" s="9">
        <v>1928</v>
      </c>
      <c r="D1207" s="10">
        <v>45736</v>
      </c>
      <c r="E1207" s="11" t="str">
        <f>+HYPERLINK("http://trademark.i-assist.jp/data/china/image_1928th/82643743.pdf","82643743")</f>
        <v>82643743</v>
      </c>
      <c r="F1207" s="9" t="s">
        <v>3397</v>
      </c>
      <c r="G1207" s="9" t="s">
        <v>3398</v>
      </c>
      <c r="H1207" s="9" t="s">
        <v>3399</v>
      </c>
      <c r="I1207" s="10">
        <v>45645</v>
      </c>
    </row>
    <row r="1208" spans="1:9" x14ac:dyDescent="0.15">
      <c r="A1208" s="9">
        <v>1207</v>
      </c>
      <c r="B1208" s="9" t="s">
        <v>9</v>
      </c>
      <c r="C1208" s="9">
        <v>1928</v>
      </c>
      <c r="D1208" s="10">
        <v>45736</v>
      </c>
      <c r="E1208" s="11" t="str">
        <f>+HYPERLINK("http://trademark.i-assist.jp/data/china/image_1928th/82644019.pdf","82644019")</f>
        <v>82644019</v>
      </c>
      <c r="F1208" s="9" t="s">
        <v>3400</v>
      </c>
      <c r="G1208" s="9" t="s">
        <v>608</v>
      </c>
      <c r="H1208" s="9" t="s">
        <v>3401</v>
      </c>
      <c r="I1208" s="10">
        <v>45645</v>
      </c>
    </row>
    <row r="1209" spans="1:9" x14ac:dyDescent="0.15">
      <c r="A1209" s="9">
        <v>1208</v>
      </c>
      <c r="B1209" s="9" t="s">
        <v>9</v>
      </c>
      <c r="C1209" s="9">
        <v>1928</v>
      </c>
      <c r="D1209" s="10">
        <v>45736</v>
      </c>
      <c r="E1209" s="11" t="str">
        <f>+HYPERLINK("http://trademark.i-assist.jp/data/china/image_1928th/82644340.pdf","82644340")</f>
        <v>82644340</v>
      </c>
      <c r="F1209" s="9" t="s">
        <v>3402</v>
      </c>
      <c r="G1209" s="9" t="s">
        <v>3403</v>
      </c>
      <c r="H1209" s="9" t="s">
        <v>3404</v>
      </c>
      <c r="I1209" s="10">
        <v>45645</v>
      </c>
    </row>
    <row r="1210" spans="1:9" x14ac:dyDescent="0.15">
      <c r="A1210" s="9">
        <v>1209</v>
      </c>
      <c r="B1210" s="9" t="s">
        <v>9</v>
      </c>
      <c r="C1210" s="9">
        <v>1928</v>
      </c>
      <c r="D1210" s="10">
        <v>45736</v>
      </c>
      <c r="E1210" s="11" t="str">
        <f>+HYPERLINK("http://trademark.i-assist.jp/data/china/image_1928th/82644997.pdf","82644997")</f>
        <v>82644997</v>
      </c>
      <c r="F1210" s="9" t="s">
        <v>3405</v>
      </c>
      <c r="G1210" s="9" t="s">
        <v>3406</v>
      </c>
      <c r="H1210" s="9" t="s">
        <v>3407</v>
      </c>
      <c r="I1210" s="10">
        <v>45645</v>
      </c>
    </row>
    <row r="1211" spans="1:9" x14ac:dyDescent="0.15">
      <c r="A1211" s="9">
        <v>1210</v>
      </c>
      <c r="B1211" s="9" t="s">
        <v>9</v>
      </c>
      <c r="C1211" s="9">
        <v>1928</v>
      </c>
      <c r="D1211" s="10">
        <v>45736</v>
      </c>
      <c r="E1211" s="11" t="str">
        <f>+HYPERLINK("http://trademark.i-assist.jp/data/china/image_1928th/82645081.pdf","82645081")</f>
        <v>82645081</v>
      </c>
      <c r="F1211" s="9" t="s">
        <v>3408</v>
      </c>
      <c r="G1211" s="9" t="s">
        <v>3409</v>
      </c>
      <c r="H1211" s="9" t="s">
        <v>3410</v>
      </c>
      <c r="I1211" s="10">
        <v>45645</v>
      </c>
    </row>
    <row r="1212" spans="1:9" x14ac:dyDescent="0.15">
      <c r="A1212" s="9">
        <v>1211</v>
      </c>
      <c r="B1212" s="9" t="s">
        <v>9</v>
      </c>
      <c r="C1212" s="9">
        <v>1928</v>
      </c>
      <c r="D1212" s="10">
        <v>45736</v>
      </c>
      <c r="E1212" s="11" t="str">
        <f>+HYPERLINK("http://trademark.i-assist.jp/data/china/image_1928th/82645094.pdf","82645094")</f>
        <v>82645094</v>
      </c>
      <c r="F1212" s="9" t="s">
        <v>3411</v>
      </c>
      <c r="G1212" s="9" t="s">
        <v>3409</v>
      </c>
      <c r="H1212" s="12" t="s">
        <v>3412</v>
      </c>
      <c r="I1212" s="10">
        <v>45645</v>
      </c>
    </row>
    <row r="1213" spans="1:9" x14ac:dyDescent="0.15">
      <c r="A1213" s="9">
        <v>1212</v>
      </c>
      <c r="B1213" s="9" t="s">
        <v>9</v>
      </c>
      <c r="C1213" s="9">
        <v>1928</v>
      </c>
      <c r="D1213" s="10">
        <v>45736</v>
      </c>
      <c r="E1213" s="11" t="str">
        <f>+HYPERLINK("http://trademark.i-assist.jp/data/china/image_1928th/82645127.pdf","82645127")</f>
        <v>82645127</v>
      </c>
      <c r="F1213" s="9" t="s">
        <v>3413</v>
      </c>
      <c r="G1213" s="9" t="s">
        <v>3414</v>
      </c>
      <c r="H1213" s="9" t="s">
        <v>3415</v>
      </c>
      <c r="I1213" s="10">
        <v>45645</v>
      </c>
    </row>
    <row r="1214" spans="1:9" x14ac:dyDescent="0.15">
      <c r="A1214" s="9">
        <v>1213</v>
      </c>
      <c r="B1214" s="9" t="s">
        <v>9</v>
      </c>
      <c r="C1214" s="9">
        <v>1928</v>
      </c>
      <c r="D1214" s="10">
        <v>45736</v>
      </c>
      <c r="E1214" s="11" t="str">
        <f>+HYPERLINK("http://trademark.i-assist.jp/data/china/image_1928th/82646120.pdf","82646120")</f>
        <v>82646120</v>
      </c>
      <c r="F1214" s="9" t="s">
        <v>3416</v>
      </c>
      <c r="G1214" s="12" t="s">
        <v>3417</v>
      </c>
      <c r="H1214" s="9" t="s">
        <v>3418</v>
      </c>
      <c r="I1214" s="10">
        <v>45645</v>
      </c>
    </row>
    <row r="1215" spans="1:9" x14ac:dyDescent="0.15">
      <c r="A1215" s="9">
        <v>1214</v>
      </c>
      <c r="B1215" s="9" t="s">
        <v>9</v>
      </c>
      <c r="C1215" s="9">
        <v>1928</v>
      </c>
      <c r="D1215" s="10">
        <v>45736</v>
      </c>
      <c r="E1215" s="11" t="str">
        <f>+HYPERLINK("http://trademark.i-assist.jp/data/china/image_1928th/82646410.pdf","82646410")</f>
        <v>82646410</v>
      </c>
      <c r="F1215" s="12" t="s">
        <v>3419</v>
      </c>
      <c r="G1215" s="9" t="s">
        <v>101</v>
      </c>
      <c r="H1215" s="9" t="s">
        <v>3420</v>
      </c>
      <c r="I1215" s="10">
        <v>45645</v>
      </c>
    </row>
    <row r="1216" spans="1:9" x14ac:dyDescent="0.15">
      <c r="A1216" s="9">
        <v>1215</v>
      </c>
      <c r="B1216" s="9" t="s">
        <v>9</v>
      </c>
      <c r="C1216" s="9">
        <v>1928</v>
      </c>
      <c r="D1216" s="10">
        <v>45736</v>
      </c>
      <c r="E1216" s="11" t="str">
        <f>+HYPERLINK("http://trademark.i-assist.jp/data/china/image_1928th/82646519.pdf","82646519")</f>
        <v>82646519</v>
      </c>
      <c r="F1216" s="12" t="s">
        <v>3421</v>
      </c>
      <c r="G1216" s="9" t="s">
        <v>3422</v>
      </c>
      <c r="H1216" s="9" t="s">
        <v>3423</v>
      </c>
      <c r="I1216" s="10">
        <v>45645</v>
      </c>
    </row>
    <row r="1217" spans="1:9" x14ac:dyDescent="0.15">
      <c r="A1217" s="9">
        <v>1216</v>
      </c>
      <c r="B1217" s="9" t="s">
        <v>9</v>
      </c>
      <c r="C1217" s="9">
        <v>1928</v>
      </c>
      <c r="D1217" s="10">
        <v>45736</v>
      </c>
      <c r="E1217" s="11" t="str">
        <f>+HYPERLINK("http://trademark.i-assist.jp/data/china/image_1928th/82646875.pdf","82646875")</f>
        <v>82646875</v>
      </c>
      <c r="F1217" s="9" t="s">
        <v>3424</v>
      </c>
      <c r="G1217" s="12" t="s">
        <v>3425</v>
      </c>
      <c r="H1217" s="9" t="s">
        <v>3426</v>
      </c>
      <c r="I1217" s="10">
        <v>45645</v>
      </c>
    </row>
    <row r="1218" spans="1:9" x14ac:dyDescent="0.15">
      <c r="A1218" s="9">
        <v>1217</v>
      </c>
      <c r="B1218" s="9" t="s">
        <v>9</v>
      </c>
      <c r="C1218" s="9">
        <v>1928</v>
      </c>
      <c r="D1218" s="10">
        <v>45736</v>
      </c>
      <c r="E1218" s="11" t="str">
        <f>+HYPERLINK("http://trademark.i-assist.jp/data/china/image_1928th/82646882.pdf","82646882")</f>
        <v>82646882</v>
      </c>
      <c r="F1218" s="9" t="s">
        <v>3427</v>
      </c>
      <c r="G1218" s="9" t="s">
        <v>3428</v>
      </c>
      <c r="H1218" s="9" t="s">
        <v>3429</v>
      </c>
      <c r="I1218" s="10">
        <v>45645</v>
      </c>
    </row>
    <row r="1219" spans="1:9" x14ac:dyDescent="0.15">
      <c r="A1219" s="9">
        <v>1218</v>
      </c>
      <c r="B1219" s="9" t="s">
        <v>9</v>
      </c>
      <c r="C1219" s="9">
        <v>1928</v>
      </c>
      <c r="D1219" s="10">
        <v>45736</v>
      </c>
      <c r="E1219" s="11" t="str">
        <f>+HYPERLINK("http://trademark.i-assist.jp/data/china/image_1928th/82647476.pdf","82647476")</f>
        <v>82647476</v>
      </c>
      <c r="F1219" s="9" t="s">
        <v>3430</v>
      </c>
      <c r="G1219" s="9" t="s">
        <v>3431</v>
      </c>
      <c r="H1219" s="9" t="s">
        <v>3432</v>
      </c>
      <c r="I1219" s="10">
        <v>45645</v>
      </c>
    </row>
    <row r="1220" spans="1:9" x14ac:dyDescent="0.15">
      <c r="A1220" s="9">
        <v>1219</v>
      </c>
      <c r="B1220" s="9" t="s">
        <v>9</v>
      </c>
      <c r="C1220" s="9">
        <v>1928</v>
      </c>
      <c r="D1220" s="10">
        <v>45736</v>
      </c>
      <c r="E1220" s="11" t="str">
        <f>+HYPERLINK("http://trademark.i-assist.jp/data/china/image_1928th/82647583.pdf","82647583")</f>
        <v>82647583</v>
      </c>
      <c r="F1220" s="9" t="s">
        <v>3433</v>
      </c>
      <c r="G1220" s="12" t="s">
        <v>3434</v>
      </c>
      <c r="H1220" s="9" t="s">
        <v>3435</v>
      </c>
      <c r="I1220" s="10">
        <v>45645</v>
      </c>
    </row>
    <row r="1221" spans="1:9" x14ac:dyDescent="0.15">
      <c r="A1221" s="9">
        <v>1220</v>
      </c>
      <c r="B1221" s="9" t="s">
        <v>9</v>
      </c>
      <c r="C1221" s="9">
        <v>1928</v>
      </c>
      <c r="D1221" s="10">
        <v>45736</v>
      </c>
      <c r="E1221" s="11" t="str">
        <f>+HYPERLINK("http://trademark.i-assist.jp/data/china/image_1928th/82648128.pdf","82648128")</f>
        <v>82648128</v>
      </c>
      <c r="F1221" s="9" t="s">
        <v>3436</v>
      </c>
      <c r="G1221" s="9" t="s">
        <v>3437</v>
      </c>
      <c r="H1221" s="12" t="s">
        <v>3438</v>
      </c>
      <c r="I1221" s="10">
        <v>45645</v>
      </c>
    </row>
    <row r="1222" spans="1:9" x14ac:dyDescent="0.15">
      <c r="A1222" s="9">
        <v>1221</v>
      </c>
      <c r="B1222" s="9" t="s">
        <v>9</v>
      </c>
      <c r="C1222" s="9">
        <v>1928</v>
      </c>
      <c r="D1222" s="10">
        <v>45736</v>
      </c>
      <c r="E1222" s="11" t="str">
        <f>+HYPERLINK("http://trademark.i-assist.jp/data/china/image_1928th/82648205.pdf","82648205")</f>
        <v>82648205</v>
      </c>
      <c r="F1222" s="9" t="s">
        <v>3439</v>
      </c>
      <c r="G1222" s="9" t="s">
        <v>3440</v>
      </c>
      <c r="H1222" s="9" t="s">
        <v>3441</v>
      </c>
      <c r="I1222" s="10">
        <v>45645</v>
      </c>
    </row>
    <row r="1223" spans="1:9" x14ac:dyDescent="0.15">
      <c r="A1223" s="9">
        <v>1222</v>
      </c>
      <c r="B1223" s="9" t="s">
        <v>9</v>
      </c>
      <c r="C1223" s="9">
        <v>1928</v>
      </c>
      <c r="D1223" s="10">
        <v>45736</v>
      </c>
      <c r="E1223" s="11" t="str">
        <f>+HYPERLINK("http://trademark.i-assist.jp/data/china/image_1928th/82649152.pdf","82649152")</f>
        <v>82649152</v>
      </c>
      <c r="F1223" s="9" t="s">
        <v>3442</v>
      </c>
      <c r="G1223" s="9" t="s">
        <v>3443</v>
      </c>
      <c r="H1223" s="9" t="s">
        <v>3444</v>
      </c>
      <c r="I1223" s="10">
        <v>45645</v>
      </c>
    </row>
    <row r="1224" spans="1:9" x14ac:dyDescent="0.15">
      <c r="A1224" s="9">
        <v>1223</v>
      </c>
      <c r="B1224" s="9" t="s">
        <v>9</v>
      </c>
      <c r="C1224" s="9">
        <v>1928</v>
      </c>
      <c r="D1224" s="10">
        <v>45736</v>
      </c>
      <c r="E1224" s="11" t="str">
        <f>+HYPERLINK("http://trademark.i-assist.jp/data/china/image_1928th/82649723.pdf","82649723")</f>
        <v>82649723</v>
      </c>
      <c r="F1224" s="9" t="s">
        <v>3445</v>
      </c>
      <c r="G1224" s="9" t="s">
        <v>3446</v>
      </c>
      <c r="H1224" s="9" t="s">
        <v>3447</v>
      </c>
      <c r="I1224" s="10">
        <v>45645</v>
      </c>
    </row>
    <row r="1225" spans="1:9" x14ac:dyDescent="0.15">
      <c r="A1225" s="9">
        <v>1224</v>
      </c>
      <c r="B1225" s="9" t="s">
        <v>9</v>
      </c>
      <c r="C1225" s="9">
        <v>1928</v>
      </c>
      <c r="D1225" s="10">
        <v>45736</v>
      </c>
      <c r="E1225" s="11" t="str">
        <f>+HYPERLINK("http://trademark.i-assist.jp/data/china/image_1928th/82649831.pdf","82649831")</f>
        <v>82649831</v>
      </c>
      <c r="F1225" s="9" t="s">
        <v>3448</v>
      </c>
      <c r="G1225" s="12" t="s">
        <v>3449</v>
      </c>
      <c r="H1225" s="12" t="s">
        <v>3450</v>
      </c>
      <c r="I1225" s="10">
        <v>45645</v>
      </c>
    </row>
    <row r="1226" spans="1:9" x14ac:dyDescent="0.15">
      <c r="A1226" s="9">
        <v>1225</v>
      </c>
      <c r="B1226" s="9" t="s">
        <v>9</v>
      </c>
      <c r="C1226" s="9">
        <v>1928</v>
      </c>
      <c r="D1226" s="10">
        <v>45736</v>
      </c>
      <c r="E1226" s="11" t="str">
        <f>+HYPERLINK("http://trademark.i-assist.jp/data/china/image_1928th/82649839.pdf","82649839")</f>
        <v>82649839</v>
      </c>
      <c r="F1226" s="9" t="s">
        <v>3451</v>
      </c>
      <c r="G1226" s="12" t="s">
        <v>3374</v>
      </c>
      <c r="H1226" s="9" t="s">
        <v>3452</v>
      </c>
      <c r="I1226" s="10">
        <v>45645</v>
      </c>
    </row>
    <row r="1227" spans="1:9" x14ac:dyDescent="0.15">
      <c r="A1227" s="9">
        <v>1226</v>
      </c>
      <c r="B1227" s="9" t="s">
        <v>9</v>
      </c>
      <c r="C1227" s="9">
        <v>1928</v>
      </c>
      <c r="D1227" s="10">
        <v>45736</v>
      </c>
      <c r="E1227" s="11" t="str">
        <f>+HYPERLINK("http://trademark.i-assist.jp/data/china/image_1928th/82649958.pdf","82649958")</f>
        <v>82649958</v>
      </c>
      <c r="F1227" s="9" t="s">
        <v>3453</v>
      </c>
      <c r="G1227" s="12" t="s">
        <v>3454</v>
      </c>
      <c r="H1227" s="9" t="s">
        <v>3455</v>
      </c>
      <c r="I1227" s="10">
        <v>45645</v>
      </c>
    </row>
    <row r="1228" spans="1:9" x14ac:dyDescent="0.15">
      <c r="A1228" s="9">
        <v>1227</v>
      </c>
      <c r="B1228" s="9" t="s">
        <v>9</v>
      </c>
      <c r="C1228" s="9">
        <v>1928</v>
      </c>
      <c r="D1228" s="10">
        <v>45736</v>
      </c>
      <c r="E1228" s="11" t="str">
        <f>+HYPERLINK("http://trademark.i-assist.jp/data/china/image_1928th/82650271.pdf","82650271")</f>
        <v>82650271</v>
      </c>
      <c r="F1228" s="12" t="s">
        <v>3456</v>
      </c>
      <c r="G1228" s="9" t="s">
        <v>3457</v>
      </c>
      <c r="H1228" s="9" t="s">
        <v>3458</v>
      </c>
      <c r="I1228" s="10">
        <v>45645</v>
      </c>
    </row>
    <row r="1229" spans="1:9" x14ac:dyDescent="0.15">
      <c r="A1229" s="9">
        <v>1228</v>
      </c>
      <c r="B1229" s="9" t="s">
        <v>9</v>
      </c>
      <c r="C1229" s="9">
        <v>1928</v>
      </c>
      <c r="D1229" s="10">
        <v>45736</v>
      </c>
      <c r="E1229" s="11" t="str">
        <f>+HYPERLINK("http://trademark.i-assist.jp/data/china/image_1928th/82650297.pdf","82650297")</f>
        <v>82650297</v>
      </c>
      <c r="F1229" s="9" t="s">
        <v>3459</v>
      </c>
      <c r="G1229" s="9" t="s">
        <v>3460</v>
      </c>
      <c r="H1229" s="9" t="s">
        <v>3461</v>
      </c>
      <c r="I1229" s="10">
        <v>45645</v>
      </c>
    </row>
    <row r="1230" spans="1:9" x14ac:dyDescent="0.15">
      <c r="A1230" s="9">
        <v>1229</v>
      </c>
      <c r="B1230" s="9" t="s">
        <v>9</v>
      </c>
      <c r="C1230" s="9">
        <v>1928</v>
      </c>
      <c r="D1230" s="10">
        <v>45736</v>
      </c>
      <c r="E1230" s="11" t="str">
        <f>+HYPERLINK("http://trademark.i-assist.jp/data/china/image_1928th/82650643.pdf","82650643")</f>
        <v>82650643</v>
      </c>
      <c r="F1230" s="9" t="s">
        <v>3462</v>
      </c>
      <c r="G1230" s="12" t="s">
        <v>68</v>
      </c>
      <c r="H1230" s="12" t="s">
        <v>3463</v>
      </c>
      <c r="I1230" s="10">
        <v>45645</v>
      </c>
    </row>
    <row r="1231" spans="1:9" x14ac:dyDescent="0.15">
      <c r="A1231" s="9">
        <v>1230</v>
      </c>
      <c r="B1231" s="9" t="s">
        <v>9</v>
      </c>
      <c r="C1231" s="9">
        <v>1928</v>
      </c>
      <c r="D1231" s="10">
        <v>45736</v>
      </c>
      <c r="E1231" s="11" t="str">
        <f>+HYPERLINK("http://trademark.i-assist.jp/data/china/image_1928th/82650722.pdf","82650722")</f>
        <v>82650722</v>
      </c>
      <c r="F1231" s="9" t="s">
        <v>3464</v>
      </c>
      <c r="G1231" s="12" t="s">
        <v>68</v>
      </c>
      <c r="H1231" s="12" t="s">
        <v>3465</v>
      </c>
      <c r="I1231" s="10">
        <v>45645</v>
      </c>
    </row>
    <row r="1232" spans="1:9" x14ac:dyDescent="0.15">
      <c r="A1232" s="9">
        <v>1231</v>
      </c>
      <c r="B1232" s="9" t="s">
        <v>9</v>
      </c>
      <c r="C1232" s="9">
        <v>1928</v>
      </c>
      <c r="D1232" s="10">
        <v>45736</v>
      </c>
      <c r="E1232" s="11" t="str">
        <f>+HYPERLINK("http://trademark.i-assist.jp/data/china/image_1928th/82650970.pdf","82650970")</f>
        <v>82650970</v>
      </c>
      <c r="F1232" s="9" t="s">
        <v>3466</v>
      </c>
      <c r="G1232" s="9" t="s">
        <v>3467</v>
      </c>
      <c r="H1232" s="9" t="s">
        <v>3468</v>
      </c>
      <c r="I1232" s="10">
        <v>45645</v>
      </c>
    </row>
    <row r="1233" spans="1:9" x14ac:dyDescent="0.15">
      <c r="A1233" s="9">
        <v>1232</v>
      </c>
      <c r="B1233" s="9" t="s">
        <v>9</v>
      </c>
      <c r="C1233" s="9">
        <v>1928</v>
      </c>
      <c r="D1233" s="10">
        <v>45736</v>
      </c>
      <c r="E1233" s="11" t="str">
        <f>+HYPERLINK("http://trademark.i-assist.jp/data/china/image_1928th/82651137.pdf","82651137")</f>
        <v>82651137</v>
      </c>
      <c r="F1233" s="9" t="s">
        <v>3469</v>
      </c>
      <c r="G1233" s="9" t="s">
        <v>3470</v>
      </c>
      <c r="H1233" s="9" t="s">
        <v>3471</v>
      </c>
      <c r="I1233" s="10">
        <v>45645</v>
      </c>
    </row>
    <row r="1234" spans="1:9" x14ac:dyDescent="0.15">
      <c r="A1234" s="9">
        <v>1233</v>
      </c>
      <c r="B1234" s="9" t="s">
        <v>9</v>
      </c>
      <c r="C1234" s="9">
        <v>1928</v>
      </c>
      <c r="D1234" s="10">
        <v>45736</v>
      </c>
      <c r="E1234" s="11" t="str">
        <f>+HYPERLINK("http://trademark.i-assist.jp/data/china/image_1928th/82651543.pdf","82651543")</f>
        <v>82651543</v>
      </c>
      <c r="F1234" s="12" t="s">
        <v>3472</v>
      </c>
      <c r="G1234" s="9" t="s">
        <v>3473</v>
      </c>
      <c r="H1234" s="9" t="s">
        <v>3474</v>
      </c>
      <c r="I1234" s="10">
        <v>45645</v>
      </c>
    </row>
    <row r="1235" spans="1:9" x14ac:dyDescent="0.15">
      <c r="A1235" s="9">
        <v>1234</v>
      </c>
      <c r="B1235" s="9" t="s">
        <v>9</v>
      </c>
      <c r="C1235" s="9">
        <v>1928</v>
      </c>
      <c r="D1235" s="10">
        <v>45736</v>
      </c>
      <c r="E1235" s="11" t="str">
        <f>+HYPERLINK("http://trademark.i-assist.jp/data/china/image_1928th/82652828.pdf","82652828")</f>
        <v>82652828</v>
      </c>
      <c r="F1235" s="9" t="s">
        <v>3475</v>
      </c>
      <c r="G1235" s="9" t="s">
        <v>3476</v>
      </c>
      <c r="H1235" s="9" t="s">
        <v>3477</v>
      </c>
      <c r="I1235" s="10">
        <v>45645</v>
      </c>
    </row>
    <row r="1236" spans="1:9" x14ac:dyDescent="0.15">
      <c r="A1236" s="9">
        <v>1235</v>
      </c>
      <c r="B1236" s="9" t="s">
        <v>9</v>
      </c>
      <c r="C1236" s="9">
        <v>1928</v>
      </c>
      <c r="D1236" s="10">
        <v>45736</v>
      </c>
      <c r="E1236" s="11" t="str">
        <f>+HYPERLINK("http://trademark.i-assist.jp/data/china/image_1928th/82652950.pdf","82652950")</f>
        <v>82652950</v>
      </c>
      <c r="F1236" s="9" t="s">
        <v>3478</v>
      </c>
      <c r="G1236" s="9" t="s">
        <v>3409</v>
      </c>
      <c r="H1236" s="9" t="s">
        <v>3479</v>
      </c>
      <c r="I1236" s="10">
        <v>45645</v>
      </c>
    </row>
    <row r="1237" spans="1:9" x14ac:dyDescent="0.15">
      <c r="A1237" s="9">
        <v>1236</v>
      </c>
      <c r="B1237" s="9" t="s">
        <v>9</v>
      </c>
      <c r="C1237" s="9">
        <v>1928</v>
      </c>
      <c r="D1237" s="10">
        <v>45736</v>
      </c>
      <c r="E1237" s="11" t="str">
        <f>+HYPERLINK("http://trademark.i-assist.jp/data/china/image_1928th/82653055.pdf","82653055")</f>
        <v>82653055</v>
      </c>
      <c r="F1237" s="9" t="s">
        <v>3480</v>
      </c>
      <c r="G1237" s="12" t="s">
        <v>2664</v>
      </c>
      <c r="H1237" s="9" t="s">
        <v>3481</v>
      </c>
      <c r="I1237" s="10">
        <v>45645</v>
      </c>
    </row>
    <row r="1238" spans="1:9" x14ac:dyDescent="0.15">
      <c r="A1238" s="9">
        <v>1237</v>
      </c>
      <c r="B1238" s="9" t="s">
        <v>9</v>
      </c>
      <c r="C1238" s="9">
        <v>1928</v>
      </c>
      <c r="D1238" s="10">
        <v>45736</v>
      </c>
      <c r="E1238" s="11" t="str">
        <f>+HYPERLINK("http://trademark.i-assist.jp/data/china/image_1928th/82653487.pdf","82653487")</f>
        <v>82653487</v>
      </c>
      <c r="F1238" s="9" t="s">
        <v>3482</v>
      </c>
      <c r="G1238" s="9" t="s">
        <v>3483</v>
      </c>
      <c r="H1238" s="9" t="s">
        <v>3484</v>
      </c>
      <c r="I1238" s="10">
        <v>45645</v>
      </c>
    </row>
    <row r="1239" spans="1:9" x14ac:dyDescent="0.15">
      <c r="A1239" s="9">
        <v>1238</v>
      </c>
      <c r="B1239" s="9" t="s">
        <v>9</v>
      </c>
      <c r="C1239" s="9">
        <v>1928</v>
      </c>
      <c r="D1239" s="10">
        <v>45736</v>
      </c>
      <c r="E1239" s="11" t="str">
        <f>+HYPERLINK("http://trademark.i-assist.jp/data/china/image_1928th/82653558.pdf","82653558")</f>
        <v>82653558</v>
      </c>
      <c r="F1239" s="9" t="s">
        <v>3485</v>
      </c>
      <c r="G1239" s="12" t="s">
        <v>3486</v>
      </c>
      <c r="H1239" s="9" t="s">
        <v>3487</v>
      </c>
      <c r="I1239" s="10">
        <v>45645</v>
      </c>
    </row>
    <row r="1240" spans="1:9" x14ac:dyDescent="0.15">
      <c r="A1240" s="9">
        <v>1239</v>
      </c>
      <c r="B1240" s="9" t="s">
        <v>9</v>
      </c>
      <c r="C1240" s="9">
        <v>1928</v>
      </c>
      <c r="D1240" s="10">
        <v>45736</v>
      </c>
      <c r="E1240" s="11" t="str">
        <f>+HYPERLINK("http://trademark.i-assist.jp/data/china/image_1928th/82653579.pdf","82653579")</f>
        <v>82653579</v>
      </c>
      <c r="F1240" s="9" t="s">
        <v>3488</v>
      </c>
      <c r="G1240" s="9" t="s">
        <v>3489</v>
      </c>
      <c r="H1240" s="9" t="s">
        <v>3490</v>
      </c>
      <c r="I1240" s="10">
        <v>45645</v>
      </c>
    </row>
    <row r="1241" spans="1:9" x14ac:dyDescent="0.15">
      <c r="A1241" s="9">
        <v>1240</v>
      </c>
      <c r="B1241" s="9" t="s">
        <v>9</v>
      </c>
      <c r="C1241" s="9">
        <v>1928</v>
      </c>
      <c r="D1241" s="10">
        <v>45736</v>
      </c>
      <c r="E1241" s="11" t="str">
        <f>+HYPERLINK("http://trademark.i-assist.jp/data/china/image_1928th/82653886.pdf","82653886")</f>
        <v>82653886</v>
      </c>
      <c r="F1241" s="9" t="s">
        <v>3491</v>
      </c>
      <c r="G1241" s="9" t="s">
        <v>3431</v>
      </c>
      <c r="H1241" s="12" t="s">
        <v>3492</v>
      </c>
      <c r="I1241" s="10">
        <v>45645</v>
      </c>
    </row>
    <row r="1242" spans="1:9" x14ac:dyDescent="0.15">
      <c r="A1242" s="9">
        <v>1241</v>
      </c>
      <c r="B1242" s="9" t="s">
        <v>9</v>
      </c>
      <c r="C1242" s="9">
        <v>1928</v>
      </c>
      <c r="D1242" s="10">
        <v>45736</v>
      </c>
      <c r="E1242" s="11" t="str">
        <f>+HYPERLINK("http://trademark.i-assist.jp/data/china/image_1928th/82653930.pdf","82653930")</f>
        <v>82653930</v>
      </c>
      <c r="F1242" s="9" t="s">
        <v>3493</v>
      </c>
      <c r="G1242" s="9" t="s">
        <v>3470</v>
      </c>
      <c r="H1242" s="9" t="s">
        <v>3494</v>
      </c>
      <c r="I1242" s="10">
        <v>45645</v>
      </c>
    </row>
    <row r="1243" spans="1:9" x14ac:dyDescent="0.15">
      <c r="A1243" s="9">
        <v>1242</v>
      </c>
      <c r="B1243" s="9" t="s">
        <v>9</v>
      </c>
      <c r="C1243" s="9">
        <v>1928</v>
      </c>
      <c r="D1243" s="10">
        <v>45736</v>
      </c>
      <c r="E1243" s="11" t="str">
        <f>+HYPERLINK("http://trademark.i-assist.jp/data/china/image_1928th/82653948.pdf","82653948")</f>
        <v>82653948</v>
      </c>
      <c r="F1243" s="12" t="s">
        <v>3495</v>
      </c>
      <c r="G1243" s="12" t="s">
        <v>3496</v>
      </c>
      <c r="H1243" s="9" t="s">
        <v>3497</v>
      </c>
      <c r="I1243" s="10">
        <v>45645</v>
      </c>
    </row>
    <row r="1244" spans="1:9" x14ac:dyDescent="0.15">
      <c r="A1244" s="9">
        <v>1243</v>
      </c>
      <c r="B1244" s="9" t="s">
        <v>9</v>
      </c>
      <c r="C1244" s="9">
        <v>1928</v>
      </c>
      <c r="D1244" s="10">
        <v>45736</v>
      </c>
      <c r="E1244" s="11" t="str">
        <f>+HYPERLINK("http://trademark.i-assist.jp/data/china/image_1928th/82654261.pdf","82654261")</f>
        <v>82654261</v>
      </c>
      <c r="F1244" s="9" t="s">
        <v>3498</v>
      </c>
      <c r="G1244" s="9" t="s">
        <v>3499</v>
      </c>
      <c r="H1244" s="9" t="s">
        <v>3500</v>
      </c>
      <c r="I1244" s="10">
        <v>45645</v>
      </c>
    </row>
    <row r="1245" spans="1:9" x14ac:dyDescent="0.15">
      <c r="A1245" s="9">
        <v>1244</v>
      </c>
      <c r="B1245" s="9" t="s">
        <v>9</v>
      </c>
      <c r="C1245" s="9">
        <v>1928</v>
      </c>
      <c r="D1245" s="10">
        <v>45736</v>
      </c>
      <c r="E1245" s="11" t="str">
        <f>+HYPERLINK("http://trademark.i-assist.jp/data/china/image_1928th/82654435.pdf","82654435")</f>
        <v>82654435</v>
      </c>
      <c r="F1245" s="9" t="s">
        <v>3501</v>
      </c>
      <c r="G1245" s="9" t="s">
        <v>3502</v>
      </c>
      <c r="H1245" s="9" t="s">
        <v>3503</v>
      </c>
      <c r="I1245" s="10">
        <v>45645</v>
      </c>
    </row>
    <row r="1246" spans="1:9" x14ac:dyDescent="0.15">
      <c r="A1246" s="9">
        <v>1245</v>
      </c>
      <c r="B1246" s="9" t="s">
        <v>9</v>
      </c>
      <c r="C1246" s="9">
        <v>1928</v>
      </c>
      <c r="D1246" s="10">
        <v>45736</v>
      </c>
      <c r="E1246" s="11" t="str">
        <f>+HYPERLINK("http://trademark.i-assist.jp/data/china/image_1928th/82654499.pdf","82654499")</f>
        <v>82654499</v>
      </c>
      <c r="F1246" s="12" t="s">
        <v>3504</v>
      </c>
      <c r="G1246" s="12" t="s">
        <v>3505</v>
      </c>
      <c r="H1246" s="12" t="s">
        <v>3506</v>
      </c>
      <c r="I1246" s="10">
        <v>45645</v>
      </c>
    </row>
    <row r="1247" spans="1:9" x14ac:dyDescent="0.15">
      <c r="A1247" s="9">
        <v>1246</v>
      </c>
      <c r="B1247" s="9" t="s">
        <v>9</v>
      </c>
      <c r="C1247" s="9">
        <v>1928</v>
      </c>
      <c r="D1247" s="10">
        <v>45736</v>
      </c>
      <c r="E1247" s="11" t="str">
        <f>+HYPERLINK("http://trademark.i-assist.jp/data/china/image_1928th/82654907.pdf","82654907")</f>
        <v>82654907</v>
      </c>
      <c r="F1247" s="9" t="s">
        <v>3507</v>
      </c>
      <c r="G1247" s="9" t="s">
        <v>3508</v>
      </c>
      <c r="H1247" s="9" t="s">
        <v>3509</v>
      </c>
      <c r="I1247" s="10">
        <v>45645</v>
      </c>
    </row>
    <row r="1248" spans="1:9" x14ac:dyDescent="0.15">
      <c r="A1248" s="9">
        <v>1247</v>
      </c>
      <c r="B1248" s="9" t="s">
        <v>9</v>
      </c>
      <c r="C1248" s="9">
        <v>1928</v>
      </c>
      <c r="D1248" s="10">
        <v>45736</v>
      </c>
      <c r="E1248" s="11" t="str">
        <f>+HYPERLINK("http://trademark.i-assist.jp/data/china/image_1928th/82655067.pdf","82655067")</f>
        <v>82655067</v>
      </c>
      <c r="F1248" s="9" t="s">
        <v>3510</v>
      </c>
      <c r="G1248" s="9" t="s">
        <v>3511</v>
      </c>
      <c r="H1248" s="9" t="s">
        <v>3512</v>
      </c>
      <c r="I1248" s="10">
        <v>45645</v>
      </c>
    </row>
    <row r="1249" spans="1:9" x14ac:dyDescent="0.15">
      <c r="A1249" s="9">
        <v>1248</v>
      </c>
      <c r="B1249" s="9" t="s">
        <v>9</v>
      </c>
      <c r="C1249" s="9">
        <v>1928</v>
      </c>
      <c r="D1249" s="10">
        <v>45736</v>
      </c>
      <c r="E1249" s="11" t="str">
        <f>+HYPERLINK("http://trademark.i-assist.jp/data/china/image_1928th/82655181.pdf","82655181")</f>
        <v>82655181</v>
      </c>
      <c r="F1249" s="9" t="s">
        <v>3513</v>
      </c>
      <c r="G1249" s="9" t="s">
        <v>3437</v>
      </c>
      <c r="H1249" s="9" t="s">
        <v>3514</v>
      </c>
      <c r="I1249" s="10">
        <v>45645</v>
      </c>
    </row>
    <row r="1250" spans="1:9" x14ac:dyDescent="0.15">
      <c r="A1250" s="9">
        <v>1249</v>
      </c>
      <c r="B1250" s="9" t="s">
        <v>9</v>
      </c>
      <c r="C1250" s="9">
        <v>1928</v>
      </c>
      <c r="D1250" s="10">
        <v>45736</v>
      </c>
      <c r="E1250" s="11" t="str">
        <f>+HYPERLINK("http://trademark.i-assist.jp/data/china/image_1928th/82655420.pdf","82655420")</f>
        <v>82655420</v>
      </c>
      <c r="F1250" s="9" t="s">
        <v>3515</v>
      </c>
      <c r="G1250" s="9" t="s">
        <v>3516</v>
      </c>
      <c r="H1250" s="9" t="s">
        <v>3517</v>
      </c>
      <c r="I1250" s="10">
        <v>45645</v>
      </c>
    </row>
    <row r="1251" spans="1:9" x14ac:dyDescent="0.15">
      <c r="A1251" s="9">
        <v>1250</v>
      </c>
      <c r="B1251" s="9" t="s">
        <v>9</v>
      </c>
      <c r="C1251" s="9">
        <v>1928</v>
      </c>
      <c r="D1251" s="10">
        <v>45736</v>
      </c>
      <c r="E1251" s="11" t="str">
        <f>+HYPERLINK("http://trademark.i-assist.jp/data/china/image_1928th/82655589.pdf","82655589")</f>
        <v>82655589</v>
      </c>
      <c r="F1251" s="9" t="s">
        <v>3518</v>
      </c>
      <c r="G1251" s="9" t="s">
        <v>3519</v>
      </c>
      <c r="H1251" s="12" t="s">
        <v>3520</v>
      </c>
      <c r="I1251" s="10">
        <v>45645</v>
      </c>
    </row>
    <row r="1252" spans="1:9" x14ac:dyDescent="0.15">
      <c r="A1252" s="9">
        <v>1251</v>
      </c>
      <c r="B1252" s="9" t="s">
        <v>9</v>
      </c>
      <c r="C1252" s="9">
        <v>1928</v>
      </c>
      <c r="D1252" s="10">
        <v>45736</v>
      </c>
      <c r="E1252" s="11" t="str">
        <f>+HYPERLINK("http://trademark.i-assist.jp/data/china/image_1928th/82655600.pdf","82655600")</f>
        <v>82655600</v>
      </c>
      <c r="F1252" s="9" t="s">
        <v>3521</v>
      </c>
      <c r="G1252" s="9" t="s">
        <v>3522</v>
      </c>
      <c r="H1252" s="9" t="s">
        <v>3523</v>
      </c>
      <c r="I1252" s="10">
        <v>45645</v>
      </c>
    </row>
    <row r="1253" spans="1:9" x14ac:dyDescent="0.15">
      <c r="A1253" s="9">
        <v>1252</v>
      </c>
      <c r="B1253" s="9" t="s">
        <v>9</v>
      </c>
      <c r="C1253" s="9">
        <v>1928</v>
      </c>
      <c r="D1253" s="10">
        <v>45736</v>
      </c>
      <c r="E1253" s="11" t="str">
        <f>+HYPERLINK("http://trademark.i-assist.jp/data/china/image_1928th/82655671.pdf","82655671")</f>
        <v>82655671</v>
      </c>
      <c r="F1253" s="9" t="s">
        <v>3524</v>
      </c>
      <c r="G1253" s="9" t="s">
        <v>3525</v>
      </c>
      <c r="H1253" s="9" t="s">
        <v>3526</v>
      </c>
      <c r="I1253" s="10">
        <v>45645</v>
      </c>
    </row>
    <row r="1254" spans="1:9" x14ac:dyDescent="0.15">
      <c r="A1254" s="9">
        <v>1253</v>
      </c>
      <c r="B1254" s="9" t="s">
        <v>9</v>
      </c>
      <c r="C1254" s="9">
        <v>1928</v>
      </c>
      <c r="D1254" s="10">
        <v>45736</v>
      </c>
      <c r="E1254" s="11" t="str">
        <f>+HYPERLINK("http://trademark.i-assist.jp/data/china/image_1928th/82655836.pdf","82655836")</f>
        <v>82655836</v>
      </c>
      <c r="F1254" s="9" t="s">
        <v>3527</v>
      </c>
      <c r="G1254" s="12" t="s">
        <v>3528</v>
      </c>
      <c r="H1254" s="12" t="s">
        <v>3529</v>
      </c>
      <c r="I1254" s="10">
        <v>45645</v>
      </c>
    </row>
    <row r="1255" spans="1:9" x14ac:dyDescent="0.15">
      <c r="A1255" s="9">
        <v>1254</v>
      </c>
      <c r="B1255" s="9" t="s">
        <v>9</v>
      </c>
      <c r="C1255" s="9">
        <v>1928</v>
      </c>
      <c r="D1255" s="10">
        <v>45736</v>
      </c>
      <c r="E1255" s="11" t="str">
        <f>+HYPERLINK("http://trademark.i-assist.jp/data/china/image_1928th/82656424.pdf","82656424")</f>
        <v>82656424</v>
      </c>
      <c r="F1255" s="9" t="s">
        <v>3530</v>
      </c>
      <c r="G1255" s="9" t="s">
        <v>3531</v>
      </c>
      <c r="H1255" s="9" t="s">
        <v>3532</v>
      </c>
      <c r="I1255" s="10">
        <v>45645</v>
      </c>
    </row>
    <row r="1256" spans="1:9" x14ac:dyDescent="0.15">
      <c r="A1256" s="9">
        <v>1255</v>
      </c>
      <c r="B1256" s="9" t="s">
        <v>9</v>
      </c>
      <c r="C1256" s="9">
        <v>1928</v>
      </c>
      <c r="D1256" s="10">
        <v>45736</v>
      </c>
      <c r="E1256" s="11" t="str">
        <f>+HYPERLINK("http://trademark.i-assist.jp/data/china/image_1928th/82656541.pdf","82656541")</f>
        <v>82656541</v>
      </c>
      <c r="F1256" s="9" t="s">
        <v>3533</v>
      </c>
      <c r="G1256" s="9" t="s">
        <v>3534</v>
      </c>
      <c r="H1256" s="9" t="s">
        <v>3535</v>
      </c>
      <c r="I1256" s="10">
        <v>45645</v>
      </c>
    </row>
    <row r="1257" spans="1:9" x14ac:dyDescent="0.15">
      <c r="A1257" s="9">
        <v>1256</v>
      </c>
      <c r="B1257" s="9" t="s">
        <v>9</v>
      </c>
      <c r="C1257" s="9">
        <v>1928</v>
      </c>
      <c r="D1257" s="10">
        <v>45736</v>
      </c>
      <c r="E1257" s="11" t="str">
        <f>+HYPERLINK("http://trademark.i-assist.jp/data/china/image_1928th/82656712.pdf","82656712")</f>
        <v>82656712</v>
      </c>
      <c r="F1257" s="9" t="s">
        <v>3536</v>
      </c>
      <c r="G1257" s="12" t="s">
        <v>3537</v>
      </c>
      <c r="H1257" s="9" t="s">
        <v>3538</v>
      </c>
      <c r="I1257" s="10">
        <v>45645</v>
      </c>
    </row>
    <row r="1258" spans="1:9" x14ac:dyDescent="0.15">
      <c r="A1258" s="9">
        <v>1257</v>
      </c>
      <c r="B1258" s="9" t="s">
        <v>9</v>
      </c>
      <c r="C1258" s="9">
        <v>1928</v>
      </c>
      <c r="D1258" s="10">
        <v>45736</v>
      </c>
      <c r="E1258" s="11" t="str">
        <f>+HYPERLINK("http://trademark.i-assist.jp/data/china/image_1928th/82657023.pdf","82657023")</f>
        <v>82657023</v>
      </c>
      <c r="F1258" s="9" t="s">
        <v>3539</v>
      </c>
      <c r="G1258" s="12" t="s">
        <v>3449</v>
      </c>
      <c r="H1258" s="9" t="s">
        <v>3540</v>
      </c>
      <c r="I1258" s="10">
        <v>45645</v>
      </c>
    </row>
    <row r="1259" spans="1:9" x14ac:dyDescent="0.15">
      <c r="A1259" s="9">
        <v>1258</v>
      </c>
      <c r="B1259" s="9" t="s">
        <v>9</v>
      </c>
      <c r="C1259" s="9">
        <v>1928</v>
      </c>
      <c r="D1259" s="10">
        <v>45736</v>
      </c>
      <c r="E1259" s="11" t="str">
        <f>+HYPERLINK("http://trademark.i-assist.jp/data/china/image_1928th/82657211.pdf","82657211")</f>
        <v>82657211</v>
      </c>
      <c r="F1259" s="9" t="s">
        <v>3541</v>
      </c>
      <c r="G1259" s="9" t="s">
        <v>3542</v>
      </c>
      <c r="H1259" s="9" t="s">
        <v>3543</v>
      </c>
      <c r="I1259" s="10">
        <v>45645</v>
      </c>
    </row>
    <row r="1260" spans="1:9" x14ac:dyDescent="0.15">
      <c r="A1260" s="9">
        <v>1259</v>
      </c>
      <c r="B1260" s="9" t="s">
        <v>9</v>
      </c>
      <c r="C1260" s="9">
        <v>1928</v>
      </c>
      <c r="D1260" s="10">
        <v>45736</v>
      </c>
      <c r="E1260" s="11" t="str">
        <f>+HYPERLINK("http://trademark.i-assist.jp/data/china/image_1928th/82657431.pdf","82657431")</f>
        <v>82657431</v>
      </c>
      <c r="F1260" s="9" t="s">
        <v>3544</v>
      </c>
      <c r="G1260" s="12" t="s">
        <v>3545</v>
      </c>
      <c r="H1260" s="9" t="s">
        <v>3546</v>
      </c>
      <c r="I1260" s="10">
        <v>45645</v>
      </c>
    </row>
    <row r="1261" spans="1:9" x14ac:dyDescent="0.15">
      <c r="A1261" s="9">
        <v>1260</v>
      </c>
      <c r="B1261" s="9" t="s">
        <v>9</v>
      </c>
      <c r="C1261" s="9">
        <v>1928</v>
      </c>
      <c r="D1261" s="10">
        <v>45736</v>
      </c>
      <c r="E1261" s="11" t="str">
        <f>+HYPERLINK("http://trademark.i-assist.jp/data/china/image_1928th/82657711.pdf","82657711")</f>
        <v>82657711</v>
      </c>
      <c r="F1261" s="12" t="s">
        <v>3547</v>
      </c>
      <c r="G1261" s="9" t="s">
        <v>3548</v>
      </c>
      <c r="H1261" s="12" t="s">
        <v>3549</v>
      </c>
      <c r="I1261" s="10">
        <v>45645</v>
      </c>
    </row>
    <row r="1262" spans="1:9" x14ac:dyDescent="0.15">
      <c r="A1262" s="9">
        <v>1261</v>
      </c>
      <c r="B1262" s="9" t="s">
        <v>9</v>
      </c>
      <c r="C1262" s="9">
        <v>1928</v>
      </c>
      <c r="D1262" s="10">
        <v>45736</v>
      </c>
      <c r="E1262" s="11" t="str">
        <f>+HYPERLINK("http://trademark.i-assist.jp/data/china/image_1928th/82658630.pdf","82658630")</f>
        <v>82658630</v>
      </c>
      <c r="F1262" s="9" t="s">
        <v>3550</v>
      </c>
      <c r="G1262" s="12" t="s">
        <v>3374</v>
      </c>
      <c r="H1262" s="9" t="s">
        <v>3551</v>
      </c>
      <c r="I1262" s="10">
        <v>45645</v>
      </c>
    </row>
    <row r="1263" spans="1:9" x14ac:dyDescent="0.15">
      <c r="A1263" s="9">
        <v>1262</v>
      </c>
      <c r="B1263" s="9" t="s">
        <v>9</v>
      </c>
      <c r="C1263" s="9">
        <v>1928</v>
      </c>
      <c r="D1263" s="10">
        <v>45736</v>
      </c>
      <c r="E1263" s="11" t="str">
        <f>+HYPERLINK("http://trademark.i-assist.jp/data/china/image_1928th/82658703.pdf","82658703")</f>
        <v>82658703</v>
      </c>
      <c r="F1263" s="9" t="s">
        <v>3552</v>
      </c>
      <c r="G1263" s="12" t="s">
        <v>3553</v>
      </c>
      <c r="H1263" s="9" t="s">
        <v>3554</v>
      </c>
      <c r="I1263" s="10">
        <v>45645</v>
      </c>
    </row>
    <row r="1264" spans="1:9" x14ac:dyDescent="0.15">
      <c r="A1264" s="9">
        <v>1263</v>
      </c>
      <c r="B1264" s="9" t="s">
        <v>9</v>
      </c>
      <c r="C1264" s="9">
        <v>1928</v>
      </c>
      <c r="D1264" s="10">
        <v>45736</v>
      </c>
      <c r="E1264" s="11" t="str">
        <f>+HYPERLINK("http://trademark.i-assist.jp/data/china/image_1928th/82658830.pdf","82658830")</f>
        <v>82658830</v>
      </c>
      <c r="F1264" s="12" t="s">
        <v>3555</v>
      </c>
      <c r="G1264" s="12" t="s">
        <v>3556</v>
      </c>
      <c r="H1264" s="9" t="s">
        <v>3557</v>
      </c>
      <c r="I1264" s="10">
        <v>45645</v>
      </c>
    </row>
    <row r="1265" spans="1:9" x14ac:dyDescent="0.15">
      <c r="A1265" s="9">
        <v>1264</v>
      </c>
      <c r="B1265" s="9" t="s">
        <v>9</v>
      </c>
      <c r="C1265" s="9">
        <v>1928</v>
      </c>
      <c r="D1265" s="10">
        <v>45736</v>
      </c>
      <c r="E1265" s="11" t="str">
        <f>+HYPERLINK("http://trademark.i-assist.jp/data/china/image_1928th/82659084.pdf","82659084")</f>
        <v>82659084</v>
      </c>
      <c r="F1265" s="9" t="s">
        <v>3558</v>
      </c>
      <c r="G1265" s="9" t="s">
        <v>608</v>
      </c>
      <c r="H1265" s="9" t="s">
        <v>3559</v>
      </c>
      <c r="I1265" s="10">
        <v>45645</v>
      </c>
    </row>
    <row r="1266" spans="1:9" x14ac:dyDescent="0.15">
      <c r="A1266" s="9">
        <v>1265</v>
      </c>
      <c r="B1266" s="9" t="s">
        <v>9</v>
      </c>
      <c r="C1266" s="9">
        <v>1928</v>
      </c>
      <c r="D1266" s="10">
        <v>45736</v>
      </c>
      <c r="E1266" s="11" t="str">
        <f>+HYPERLINK("http://trademark.i-assist.jp/data/china/image_1928th/82659267.pdf","82659267")</f>
        <v>82659267</v>
      </c>
      <c r="F1266" s="12" t="s">
        <v>3560</v>
      </c>
      <c r="G1266" s="12" t="s">
        <v>3561</v>
      </c>
      <c r="H1266" s="12" t="s">
        <v>3562</v>
      </c>
      <c r="I1266" s="10">
        <v>45645</v>
      </c>
    </row>
    <row r="1267" spans="1:9" x14ac:dyDescent="0.15">
      <c r="A1267" s="9">
        <v>1266</v>
      </c>
      <c r="B1267" s="9" t="s">
        <v>9</v>
      </c>
      <c r="C1267" s="9">
        <v>1928</v>
      </c>
      <c r="D1267" s="10">
        <v>45736</v>
      </c>
      <c r="E1267" s="11" t="str">
        <f>+HYPERLINK("http://trademark.i-assist.jp/data/china/image_1928th/82659533.pdf","82659533")</f>
        <v>82659533</v>
      </c>
      <c r="F1267" s="12" t="s">
        <v>3563</v>
      </c>
      <c r="G1267" s="9" t="s">
        <v>3564</v>
      </c>
      <c r="H1267" s="9" t="s">
        <v>3565</v>
      </c>
      <c r="I1267" s="10">
        <v>45645</v>
      </c>
    </row>
    <row r="1268" spans="1:9" x14ac:dyDescent="0.15">
      <c r="A1268" s="9">
        <v>1267</v>
      </c>
      <c r="B1268" s="9" t="s">
        <v>9</v>
      </c>
      <c r="C1268" s="9">
        <v>1928</v>
      </c>
      <c r="D1268" s="10">
        <v>45736</v>
      </c>
      <c r="E1268" s="11" t="str">
        <f>+HYPERLINK("http://trademark.i-assist.jp/data/china/image_1928th/82659748.pdf","82659748")</f>
        <v>82659748</v>
      </c>
      <c r="F1268" s="9" t="s">
        <v>3566</v>
      </c>
      <c r="G1268" s="12" t="s">
        <v>50</v>
      </c>
      <c r="H1268" s="9" t="s">
        <v>3567</v>
      </c>
      <c r="I1268" s="10">
        <v>45645</v>
      </c>
    </row>
    <row r="1269" spans="1:9" x14ac:dyDescent="0.15">
      <c r="A1269" s="9">
        <v>1268</v>
      </c>
      <c r="B1269" s="9" t="s">
        <v>9</v>
      </c>
      <c r="C1269" s="9">
        <v>1928</v>
      </c>
      <c r="D1269" s="10">
        <v>45736</v>
      </c>
      <c r="E1269" s="11" t="str">
        <f>+HYPERLINK("http://trademark.i-assist.jp/data/china/image_1928th/82659776.pdf","82659776")</f>
        <v>82659776</v>
      </c>
      <c r="F1269" s="12" t="s">
        <v>18</v>
      </c>
      <c r="G1269" s="9" t="s">
        <v>3568</v>
      </c>
      <c r="H1269" s="9" t="s">
        <v>3569</v>
      </c>
      <c r="I1269" s="10">
        <v>45645</v>
      </c>
    </row>
    <row r="1270" spans="1:9" x14ac:dyDescent="0.15">
      <c r="A1270" s="9">
        <v>1269</v>
      </c>
      <c r="B1270" s="9" t="s">
        <v>9</v>
      </c>
      <c r="C1270" s="9">
        <v>1928</v>
      </c>
      <c r="D1270" s="10">
        <v>45736</v>
      </c>
      <c r="E1270" s="11" t="str">
        <f>+HYPERLINK("http://trademark.i-assist.jp/data/china/image_1928th/82660348.pdf","82660348")</f>
        <v>82660348</v>
      </c>
      <c r="F1270" s="9" t="s">
        <v>3570</v>
      </c>
      <c r="G1270" s="9" t="s">
        <v>3571</v>
      </c>
      <c r="H1270" s="9" t="s">
        <v>3572</v>
      </c>
      <c r="I1270" s="10">
        <v>45645</v>
      </c>
    </row>
    <row r="1271" spans="1:9" x14ac:dyDescent="0.15">
      <c r="A1271" s="9">
        <v>1270</v>
      </c>
      <c r="B1271" s="9" t="s">
        <v>9</v>
      </c>
      <c r="C1271" s="9">
        <v>1928</v>
      </c>
      <c r="D1271" s="10">
        <v>45736</v>
      </c>
      <c r="E1271" s="11" t="str">
        <f>+HYPERLINK("http://trademark.i-assist.jp/data/china/image_1928th/82660448.pdf","82660448")</f>
        <v>82660448</v>
      </c>
      <c r="F1271" s="9" t="s">
        <v>3573</v>
      </c>
      <c r="G1271" s="12" t="s">
        <v>3374</v>
      </c>
      <c r="H1271" s="12" t="s">
        <v>3574</v>
      </c>
      <c r="I1271" s="10">
        <v>45645</v>
      </c>
    </row>
    <row r="1272" spans="1:9" x14ac:dyDescent="0.15">
      <c r="A1272" s="9">
        <v>1271</v>
      </c>
      <c r="B1272" s="9" t="s">
        <v>9</v>
      </c>
      <c r="C1272" s="9">
        <v>1928</v>
      </c>
      <c r="D1272" s="10">
        <v>45736</v>
      </c>
      <c r="E1272" s="11" t="str">
        <f>+HYPERLINK("http://trademark.i-assist.jp/data/china/image_1928th/82661149.pdf","82661149")</f>
        <v>82661149</v>
      </c>
      <c r="F1272" s="9" t="s">
        <v>3575</v>
      </c>
      <c r="G1272" s="9" t="s">
        <v>3576</v>
      </c>
      <c r="H1272" s="9" t="s">
        <v>3577</v>
      </c>
      <c r="I1272" s="10">
        <v>45645</v>
      </c>
    </row>
    <row r="1273" spans="1:9" x14ac:dyDescent="0.15">
      <c r="A1273" s="9">
        <v>1272</v>
      </c>
      <c r="B1273" s="9" t="s">
        <v>9</v>
      </c>
      <c r="C1273" s="9">
        <v>1928</v>
      </c>
      <c r="D1273" s="10">
        <v>45736</v>
      </c>
      <c r="E1273" s="11" t="str">
        <f>+HYPERLINK("http://trademark.i-assist.jp/data/china/image_1928th/82661930.pdf","82661930")</f>
        <v>82661930</v>
      </c>
      <c r="F1273" s="9" t="s">
        <v>3578</v>
      </c>
      <c r="G1273" s="9" t="s">
        <v>3579</v>
      </c>
      <c r="H1273" s="9" t="s">
        <v>3580</v>
      </c>
      <c r="I1273" s="10">
        <v>45646</v>
      </c>
    </row>
    <row r="1274" spans="1:9" x14ac:dyDescent="0.15">
      <c r="A1274" s="9">
        <v>1273</v>
      </c>
      <c r="B1274" s="9" t="s">
        <v>9</v>
      </c>
      <c r="C1274" s="9">
        <v>1928</v>
      </c>
      <c r="D1274" s="10">
        <v>45736</v>
      </c>
      <c r="E1274" s="11" t="str">
        <f>+HYPERLINK("http://trademark.i-assist.jp/data/china/image_1928th/82662672.pdf","82662672")</f>
        <v>82662672</v>
      </c>
      <c r="F1274" s="12" t="s">
        <v>3581</v>
      </c>
      <c r="G1274" s="9" t="s">
        <v>3582</v>
      </c>
      <c r="H1274" s="9" t="s">
        <v>3583</v>
      </c>
      <c r="I1274" s="10">
        <v>45646</v>
      </c>
    </row>
    <row r="1275" spans="1:9" x14ac:dyDescent="0.15">
      <c r="A1275" s="9">
        <v>1274</v>
      </c>
      <c r="B1275" s="9" t="s">
        <v>9</v>
      </c>
      <c r="C1275" s="9">
        <v>1928</v>
      </c>
      <c r="D1275" s="10">
        <v>45736</v>
      </c>
      <c r="E1275" s="11" t="str">
        <f>+HYPERLINK("http://trademark.i-assist.jp/data/china/image_1928th/82663741.pdf","82663741")</f>
        <v>82663741</v>
      </c>
      <c r="F1275" s="9" t="s">
        <v>3584</v>
      </c>
      <c r="G1275" s="12" t="s">
        <v>3585</v>
      </c>
      <c r="H1275" s="9" t="s">
        <v>3586</v>
      </c>
      <c r="I1275" s="10">
        <v>45646</v>
      </c>
    </row>
    <row r="1276" spans="1:9" x14ac:dyDescent="0.15">
      <c r="A1276" s="9">
        <v>1275</v>
      </c>
      <c r="B1276" s="9" t="s">
        <v>9</v>
      </c>
      <c r="C1276" s="9">
        <v>1928</v>
      </c>
      <c r="D1276" s="10">
        <v>45736</v>
      </c>
      <c r="E1276" s="11" t="str">
        <f>+HYPERLINK("http://trademark.i-assist.jp/data/china/image_1928th/82663766.pdf","82663766")</f>
        <v>82663766</v>
      </c>
      <c r="F1276" s="12" t="s">
        <v>3587</v>
      </c>
      <c r="G1276" s="9" t="s">
        <v>3588</v>
      </c>
      <c r="H1276" s="9" t="s">
        <v>3589</v>
      </c>
      <c r="I1276" s="10">
        <v>45646</v>
      </c>
    </row>
    <row r="1277" spans="1:9" x14ac:dyDescent="0.15">
      <c r="A1277" s="9">
        <v>1276</v>
      </c>
      <c r="B1277" s="9" t="s">
        <v>9</v>
      </c>
      <c r="C1277" s="9">
        <v>1928</v>
      </c>
      <c r="D1277" s="10">
        <v>45736</v>
      </c>
      <c r="E1277" s="11" t="str">
        <f>+HYPERLINK("http://trademark.i-assist.jp/data/china/image_1928th/82663902.pdf","82663902")</f>
        <v>82663902</v>
      </c>
      <c r="F1277" s="9" t="s">
        <v>3590</v>
      </c>
      <c r="G1277" s="9" t="s">
        <v>3591</v>
      </c>
      <c r="H1277" s="9" t="s">
        <v>3592</v>
      </c>
      <c r="I1277" s="10">
        <v>45646</v>
      </c>
    </row>
    <row r="1278" spans="1:9" x14ac:dyDescent="0.15">
      <c r="A1278" s="9">
        <v>1277</v>
      </c>
      <c r="B1278" s="9" t="s">
        <v>9</v>
      </c>
      <c r="C1278" s="9">
        <v>1928</v>
      </c>
      <c r="D1278" s="10">
        <v>45736</v>
      </c>
      <c r="E1278" s="11" t="str">
        <f>+HYPERLINK("http://trademark.i-assist.jp/data/china/image_1928th/82664057.pdf","82664057")</f>
        <v>82664057</v>
      </c>
      <c r="F1278" s="9" t="s">
        <v>3593</v>
      </c>
      <c r="G1278" s="9" t="s">
        <v>3594</v>
      </c>
      <c r="H1278" s="9" t="s">
        <v>3595</v>
      </c>
      <c r="I1278" s="10">
        <v>45646</v>
      </c>
    </row>
    <row r="1279" spans="1:9" x14ac:dyDescent="0.15">
      <c r="A1279" s="9">
        <v>1278</v>
      </c>
      <c r="B1279" s="9" t="s">
        <v>9</v>
      </c>
      <c r="C1279" s="9">
        <v>1928</v>
      </c>
      <c r="D1279" s="10">
        <v>45736</v>
      </c>
      <c r="E1279" s="11" t="str">
        <f>+HYPERLINK("http://trademark.i-assist.jp/data/china/image_1928th/82664139.pdf","82664139")</f>
        <v>82664139</v>
      </c>
      <c r="F1279" s="12" t="s">
        <v>3596</v>
      </c>
      <c r="G1279" s="12" t="s">
        <v>3597</v>
      </c>
      <c r="H1279" s="9" t="s">
        <v>3598</v>
      </c>
      <c r="I1279" s="10">
        <v>45646</v>
      </c>
    </row>
    <row r="1280" spans="1:9" x14ac:dyDescent="0.15">
      <c r="A1280" s="9">
        <v>1279</v>
      </c>
      <c r="B1280" s="9" t="s">
        <v>9</v>
      </c>
      <c r="C1280" s="9">
        <v>1928</v>
      </c>
      <c r="D1280" s="10">
        <v>45736</v>
      </c>
      <c r="E1280" s="11" t="str">
        <f>+HYPERLINK("http://trademark.i-assist.jp/data/china/image_1928th/82664442.pdf","82664442")</f>
        <v>82664442</v>
      </c>
      <c r="F1280" s="9" t="s">
        <v>3599</v>
      </c>
      <c r="G1280" s="12" t="s">
        <v>3600</v>
      </c>
      <c r="H1280" s="9" t="s">
        <v>3601</v>
      </c>
      <c r="I1280" s="10">
        <v>45646</v>
      </c>
    </row>
    <row r="1281" spans="1:9" x14ac:dyDescent="0.15">
      <c r="A1281" s="9">
        <v>1280</v>
      </c>
      <c r="B1281" s="9" t="s">
        <v>9</v>
      </c>
      <c r="C1281" s="9">
        <v>1928</v>
      </c>
      <c r="D1281" s="10">
        <v>45736</v>
      </c>
      <c r="E1281" s="11" t="str">
        <f>+HYPERLINK("http://trademark.i-assist.jp/data/china/image_1928th/82664938.pdf","82664938")</f>
        <v>82664938</v>
      </c>
      <c r="F1281" s="9" t="s">
        <v>3602</v>
      </c>
      <c r="G1281" s="9" t="s">
        <v>29</v>
      </c>
      <c r="H1281" s="9" t="s">
        <v>3603</v>
      </c>
      <c r="I1281" s="10">
        <v>45646</v>
      </c>
    </row>
    <row r="1282" spans="1:9" x14ac:dyDescent="0.15">
      <c r="A1282" s="9">
        <v>1281</v>
      </c>
      <c r="B1282" s="9" t="s">
        <v>9</v>
      </c>
      <c r="C1282" s="9">
        <v>1928</v>
      </c>
      <c r="D1282" s="10">
        <v>45736</v>
      </c>
      <c r="E1282" s="11" t="str">
        <f>+HYPERLINK("http://trademark.i-assist.jp/data/china/image_1928th/82665281.pdf","82665281")</f>
        <v>82665281</v>
      </c>
      <c r="F1282" s="9" t="s">
        <v>3604</v>
      </c>
      <c r="G1282" s="12" t="s">
        <v>3605</v>
      </c>
      <c r="H1282" s="9" t="s">
        <v>3606</v>
      </c>
      <c r="I1282" s="10">
        <v>45646</v>
      </c>
    </row>
    <row r="1283" spans="1:9" x14ac:dyDescent="0.15">
      <c r="A1283" s="9">
        <v>1282</v>
      </c>
      <c r="B1283" s="9" t="s">
        <v>9</v>
      </c>
      <c r="C1283" s="9">
        <v>1928</v>
      </c>
      <c r="D1283" s="10">
        <v>45736</v>
      </c>
      <c r="E1283" s="11" t="str">
        <f>+HYPERLINK("http://trademark.i-assist.jp/data/china/image_1928th/82665294.pdf","82665294")</f>
        <v>82665294</v>
      </c>
      <c r="F1283" s="12" t="s">
        <v>3607</v>
      </c>
      <c r="G1283" s="9" t="s">
        <v>3608</v>
      </c>
      <c r="H1283" s="9" t="s">
        <v>3609</v>
      </c>
      <c r="I1283" s="10">
        <v>45646</v>
      </c>
    </row>
    <row r="1284" spans="1:9" x14ac:dyDescent="0.15">
      <c r="A1284" s="9">
        <v>1283</v>
      </c>
      <c r="B1284" s="9" t="s">
        <v>9</v>
      </c>
      <c r="C1284" s="9">
        <v>1928</v>
      </c>
      <c r="D1284" s="10">
        <v>45736</v>
      </c>
      <c r="E1284" s="11" t="str">
        <f>+HYPERLINK("http://trademark.i-assist.jp/data/china/image_1928th/82665554.pdf","82665554")</f>
        <v>82665554</v>
      </c>
      <c r="F1284" s="9" t="s">
        <v>3610</v>
      </c>
      <c r="G1284" s="9" t="s">
        <v>3611</v>
      </c>
      <c r="H1284" s="9" t="s">
        <v>3612</v>
      </c>
      <c r="I1284" s="10">
        <v>45646</v>
      </c>
    </row>
    <row r="1285" spans="1:9" x14ac:dyDescent="0.15">
      <c r="A1285" s="9">
        <v>1284</v>
      </c>
      <c r="B1285" s="9" t="s">
        <v>9</v>
      </c>
      <c r="C1285" s="9">
        <v>1928</v>
      </c>
      <c r="D1285" s="10">
        <v>45736</v>
      </c>
      <c r="E1285" s="11" t="str">
        <f>+HYPERLINK("http://trademark.i-assist.jp/data/china/image_1928th/82665589.pdf","82665589")</f>
        <v>82665589</v>
      </c>
      <c r="F1285" s="12" t="s">
        <v>3613</v>
      </c>
      <c r="G1285" s="9" t="s">
        <v>3614</v>
      </c>
      <c r="H1285" s="12" t="s">
        <v>3615</v>
      </c>
      <c r="I1285" s="10">
        <v>45646</v>
      </c>
    </row>
    <row r="1286" spans="1:9" x14ac:dyDescent="0.15">
      <c r="A1286" s="9">
        <v>1285</v>
      </c>
      <c r="B1286" s="9" t="s">
        <v>9</v>
      </c>
      <c r="C1286" s="9">
        <v>1928</v>
      </c>
      <c r="D1286" s="10">
        <v>45736</v>
      </c>
      <c r="E1286" s="11" t="str">
        <f>+HYPERLINK("http://trademark.i-assist.jp/data/china/image_1928th/82665623.pdf","82665623")</f>
        <v>82665623</v>
      </c>
      <c r="F1286" s="12" t="s">
        <v>18</v>
      </c>
      <c r="G1286" s="9" t="s">
        <v>3616</v>
      </c>
      <c r="H1286" s="9" t="s">
        <v>3617</v>
      </c>
      <c r="I1286" s="10">
        <v>45646</v>
      </c>
    </row>
    <row r="1287" spans="1:9" x14ac:dyDescent="0.15">
      <c r="A1287" s="9">
        <v>1286</v>
      </c>
      <c r="B1287" s="9" t="s">
        <v>9</v>
      </c>
      <c r="C1287" s="9">
        <v>1928</v>
      </c>
      <c r="D1287" s="10">
        <v>45736</v>
      </c>
      <c r="E1287" s="11" t="str">
        <f>+HYPERLINK("http://trademark.i-assist.jp/data/china/image_1928th/82666311.pdf","82666311")</f>
        <v>82666311</v>
      </c>
      <c r="F1287" s="9" t="s">
        <v>3618</v>
      </c>
      <c r="G1287" s="9" t="s">
        <v>3619</v>
      </c>
      <c r="H1287" s="9" t="s">
        <v>3620</v>
      </c>
      <c r="I1287" s="10">
        <v>45646</v>
      </c>
    </row>
    <row r="1288" spans="1:9" x14ac:dyDescent="0.15">
      <c r="A1288" s="9">
        <v>1287</v>
      </c>
      <c r="B1288" s="9" t="s">
        <v>9</v>
      </c>
      <c r="C1288" s="9">
        <v>1928</v>
      </c>
      <c r="D1288" s="10">
        <v>45736</v>
      </c>
      <c r="E1288" s="11" t="str">
        <f>+HYPERLINK("http://trademark.i-assist.jp/data/china/image_1928th/82666321.pdf","82666321")</f>
        <v>82666321</v>
      </c>
      <c r="F1288" s="9" t="s">
        <v>3621</v>
      </c>
      <c r="G1288" s="9" t="s">
        <v>3619</v>
      </c>
      <c r="H1288" s="9" t="s">
        <v>3622</v>
      </c>
      <c r="I1288" s="10">
        <v>45646</v>
      </c>
    </row>
    <row r="1289" spans="1:9" x14ac:dyDescent="0.15">
      <c r="A1289" s="9">
        <v>1288</v>
      </c>
      <c r="B1289" s="9" t="s">
        <v>9</v>
      </c>
      <c r="C1289" s="9">
        <v>1928</v>
      </c>
      <c r="D1289" s="10">
        <v>45736</v>
      </c>
      <c r="E1289" s="11" t="str">
        <f>+HYPERLINK("http://trademark.i-assist.jp/data/china/image_1928th/82666334.pdf","82666334")</f>
        <v>82666334</v>
      </c>
      <c r="F1289" s="9" t="s">
        <v>3623</v>
      </c>
      <c r="G1289" s="9" t="s">
        <v>3624</v>
      </c>
      <c r="H1289" s="9" t="s">
        <v>3625</v>
      </c>
      <c r="I1289" s="10">
        <v>45646</v>
      </c>
    </row>
    <row r="1290" spans="1:9" x14ac:dyDescent="0.15">
      <c r="A1290" s="9">
        <v>1289</v>
      </c>
      <c r="B1290" s="9" t="s">
        <v>9</v>
      </c>
      <c r="C1290" s="9">
        <v>1928</v>
      </c>
      <c r="D1290" s="10">
        <v>45736</v>
      </c>
      <c r="E1290" s="11" t="str">
        <f>+HYPERLINK("http://trademark.i-assist.jp/data/china/image_1928th/82667042.pdf","82667042")</f>
        <v>82667042</v>
      </c>
      <c r="F1290" s="9" t="s">
        <v>3626</v>
      </c>
      <c r="G1290" s="9" t="s">
        <v>3627</v>
      </c>
      <c r="H1290" s="9" t="s">
        <v>3628</v>
      </c>
      <c r="I1290" s="10">
        <v>45646</v>
      </c>
    </row>
    <row r="1291" spans="1:9" x14ac:dyDescent="0.15">
      <c r="A1291" s="9">
        <v>1290</v>
      </c>
      <c r="B1291" s="9" t="s">
        <v>9</v>
      </c>
      <c r="C1291" s="9">
        <v>1928</v>
      </c>
      <c r="D1291" s="10">
        <v>45736</v>
      </c>
      <c r="E1291" s="11" t="str">
        <f>+HYPERLINK("http://trademark.i-assist.jp/data/china/image_1928th/82667192.pdf","82667192")</f>
        <v>82667192</v>
      </c>
      <c r="F1291" s="9" t="s">
        <v>3629</v>
      </c>
      <c r="G1291" s="9" t="s">
        <v>3614</v>
      </c>
      <c r="H1291" s="9" t="s">
        <v>3630</v>
      </c>
      <c r="I1291" s="10">
        <v>45646</v>
      </c>
    </row>
    <row r="1292" spans="1:9" x14ac:dyDescent="0.15">
      <c r="A1292" s="9">
        <v>1291</v>
      </c>
      <c r="B1292" s="9" t="s">
        <v>9</v>
      </c>
      <c r="C1292" s="9">
        <v>1928</v>
      </c>
      <c r="D1292" s="10">
        <v>45736</v>
      </c>
      <c r="E1292" s="11" t="str">
        <f>+HYPERLINK("http://trademark.i-assist.jp/data/china/image_1928th/82667470.pdf","82667470")</f>
        <v>82667470</v>
      </c>
      <c r="F1292" s="9" t="s">
        <v>3631</v>
      </c>
      <c r="G1292" s="9" t="s">
        <v>3632</v>
      </c>
      <c r="H1292" s="9" t="s">
        <v>3633</v>
      </c>
      <c r="I1292" s="10">
        <v>45646</v>
      </c>
    </row>
    <row r="1293" spans="1:9" x14ac:dyDescent="0.15">
      <c r="A1293" s="9">
        <v>1292</v>
      </c>
      <c r="B1293" s="9" t="s">
        <v>9</v>
      </c>
      <c r="C1293" s="9">
        <v>1928</v>
      </c>
      <c r="D1293" s="10">
        <v>45736</v>
      </c>
      <c r="E1293" s="11" t="str">
        <f>+HYPERLINK("http://trademark.i-assist.jp/data/china/image_1928th/82667475.pdf","82667475")</f>
        <v>82667475</v>
      </c>
      <c r="F1293" s="9" t="s">
        <v>3634</v>
      </c>
      <c r="G1293" s="9" t="s">
        <v>3635</v>
      </c>
      <c r="H1293" s="9" t="s">
        <v>3636</v>
      </c>
      <c r="I1293" s="10">
        <v>45646</v>
      </c>
    </row>
    <row r="1294" spans="1:9" x14ac:dyDescent="0.15">
      <c r="A1294" s="9">
        <v>1293</v>
      </c>
      <c r="B1294" s="9" t="s">
        <v>9</v>
      </c>
      <c r="C1294" s="9">
        <v>1928</v>
      </c>
      <c r="D1294" s="10">
        <v>45736</v>
      </c>
      <c r="E1294" s="11" t="str">
        <f>+HYPERLINK("http://trademark.i-assist.jp/data/china/image_1928th/82667977.pdf","82667977")</f>
        <v>82667977</v>
      </c>
      <c r="F1294" s="12" t="s">
        <v>3637</v>
      </c>
      <c r="G1294" s="9" t="s">
        <v>3638</v>
      </c>
      <c r="H1294" s="12" t="s">
        <v>3639</v>
      </c>
      <c r="I1294" s="10">
        <v>45646</v>
      </c>
    </row>
    <row r="1295" spans="1:9" x14ac:dyDescent="0.15">
      <c r="A1295" s="9">
        <v>1294</v>
      </c>
      <c r="B1295" s="9" t="s">
        <v>9</v>
      </c>
      <c r="C1295" s="9">
        <v>1928</v>
      </c>
      <c r="D1295" s="10">
        <v>45736</v>
      </c>
      <c r="E1295" s="11" t="str">
        <f>+HYPERLINK("http://trademark.i-assist.jp/data/china/image_1928th/82668089.pdf","82668089")</f>
        <v>82668089</v>
      </c>
      <c r="F1295" s="9" t="s">
        <v>3640</v>
      </c>
      <c r="G1295" s="9" t="s">
        <v>3641</v>
      </c>
      <c r="H1295" s="9" t="s">
        <v>3642</v>
      </c>
      <c r="I1295" s="10">
        <v>45646</v>
      </c>
    </row>
    <row r="1296" spans="1:9" x14ac:dyDescent="0.15">
      <c r="A1296" s="9">
        <v>1295</v>
      </c>
      <c r="B1296" s="9" t="s">
        <v>9</v>
      </c>
      <c r="C1296" s="9">
        <v>1928</v>
      </c>
      <c r="D1296" s="10">
        <v>45736</v>
      </c>
      <c r="E1296" s="11" t="str">
        <f>+HYPERLINK("http://trademark.i-assist.jp/data/china/image_1928th/82668174.pdf","82668174")</f>
        <v>82668174</v>
      </c>
      <c r="F1296" s="9" t="s">
        <v>3643</v>
      </c>
      <c r="G1296" s="9" t="s">
        <v>3644</v>
      </c>
      <c r="H1296" s="9" t="s">
        <v>3645</v>
      </c>
      <c r="I1296" s="10">
        <v>45646</v>
      </c>
    </row>
    <row r="1297" spans="1:9" x14ac:dyDescent="0.15">
      <c r="A1297" s="9">
        <v>1296</v>
      </c>
      <c r="B1297" s="9" t="s">
        <v>9</v>
      </c>
      <c r="C1297" s="9">
        <v>1928</v>
      </c>
      <c r="D1297" s="10">
        <v>45736</v>
      </c>
      <c r="E1297" s="11" t="str">
        <f>+HYPERLINK("http://trademark.i-assist.jp/data/china/image_1928th/82668445.pdf","82668445")</f>
        <v>82668445</v>
      </c>
      <c r="F1297" s="9" t="s">
        <v>3646</v>
      </c>
      <c r="G1297" s="12" t="s">
        <v>3647</v>
      </c>
      <c r="H1297" s="9" t="s">
        <v>3648</v>
      </c>
      <c r="I1297" s="10">
        <v>45646</v>
      </c>
    </row>
    <row r="1298" spans="1:9" x14ac:dyDescent="0.15">
      <c r="A1298" s="9">
        <v>1297</v>
      </c>
      <c r="B1298" s="9" t="s">
        <v>9</v>
      </c>
      <c r="C1298" s="9">
        <v>1928</v>
      </c>
      <c r="D1298" s="10">
        <v>45736</v>
      </c>
      <c r="E1298" s="11" t="str">
        <f>+HYPERLINK("http://trademark.i-assist.jp/data/china/image_1928th/82668626.pdf","82668626")</f>
        <v>82668626</v>
      </c>
      <c r="F1298" s="9" t="s">
        <v>3649</v>
      </c>
      <c r="G1298" s="9" t="s">
        <v>3650</v>
      </c>
      <c r="H1298" s="9" t="s">
        <v>3651</v>
      </c>
      <c r="I1298" s="10">
        <v>45646</v>
      </c>
    </row>
    <row r="1299" spans="1:9" x14ac:dyDescent="0.15">
      <c r="A1299" s="9">
        <v>1298</v>
      </c>
      <c r="B1299" s="9" t="s">
        <v>9</v>
      </c>
      <c r="C1299" s="9">
        <v>1928</v>
      </c>
      <c r="D1299" s="10">
        <v>45736</v>
      </c>
      <c r="E1299" s="11" t="str">
        <f>+HYPERLINK("http://trademark.i-assist.jp/data/china/image_1928th/82668679.pdf","82668679")</f>
        <v>82668679</v>
      </c>
      <c r="F1299" s="12" t="s">
        <v>3652</v>
      </c>
      <c r="G1299" s="9" t="s">
        <v>94</v>
      </c>
      <c r="H1299" s="9" t="s">
        <v>3653</v>
      </c>
      <c r="I1299" s="10">
        <v>45646</v>
      </c>
    </row>
    <row r="1300" spans="1:9" x14ac:dyDescent="0.15">
      <c r="A1300" s="9">
        <v>1299</v>
      </c>
      <c r="B1300" s="9" t="s">
        <v>9</v>
      </c>
      <c r="C1300" s="9">
        <v>1928</v>
      </c>
      <c r="D1300" s="10">
        <v>45736</v>
      </c>
      <c r="E1300" s="11" t="str">
        <f>+HYPERLINK("http://trademark.i-assist.jp/data/china/image_1928th/82668680.pdf","82668680")</f>
        <v>82668680</v>
      </c>
      <c r="F1300" s="9" t="s">
        <v>3654</v>
      </c>
      <c r="G1300" s="9" t="s">
        <v>3614</v>
      </c>
      <c r="H1300" s="12" t="s">
        <v>3655</v>
      </c>
      <c r="I1300" s="10">
        <v>45646</v>
      </c>
    </row>
    <row r="1301" spans="1:9" x14ac:dyDescent="0.15">
      <c r="A1301" s="9">
        <v>1300</v>
      </c>
      <c r="B1301" s="9" t="s">
        <v>9</v>
      </c>
      <c r="C1301" s="9">
        <v>1928</v>
      </c>
      <c r="D1301" s="10">
        <v>45736</v>
      </c>
      <c r="E1301" s="11" t="str">
        <f>+HYPERLINK("http://trademark.i-assist.jp/data/china/image_1928th/82668817.pdf","82668817")</f>
        <v>82668817</v>
      </c>
      <c r="F1301" s="9" t="s">
        <v>3656</v>
      </c>
      <c r="G1301" s="9" t="s">
        <v>3657</v>
      </c>
      <c r="H1301" s="9" t="s">
        <v>3658</v>
      </c>
      <c r="I1301" s="10">
        <v>45646</v>
      </c>
    </row>
    <row r="1302" spans="1:9" x14ac:dyDescent="0.15">
      <c r="A1302" s="9">
        <v>1301</v>
      </c>
      <c r="B1302" s="9" t="s">
        <v>9</v>
      </c>
      <c r="C1302" s="9">
        <v>1928</v>
      </c>
      <c r="D1302" s="10">
        <v>45736</v>
      </c>
      <c r="E1302" s="11" t="str">
        <f>+HYPERLINK("http://trademark.i-assist.jp/data/china/image_1928th/82669391.pdf","82669391")</f>
        <v>82669391</v>
      </c>
      <c r="F1302" s="9" t="s">
        <v>3659</v>
      </c>
      <c r="G1302" s="9" t="s">
        <v>3660</v>
      </c>
      <c r="H1302" s="9" t="s">
        <v>3661</v>
      </c>
      <c r="I1302" s="10">
        <v>45646</v>
      </c>
    </row>
    <row r="1303" spans="1:9" x14ac:dyDescent="0.15">
      <c r="A1303" s="9">
        <v>1302</v>
      </c>
      <c r="B1303" s="9" t="s">
        <v>9</v>
      </c>
      <c r="C1303" s="9">
        <v>1928</v>
      </c>
      <c r="D1303" s="10">
        <v>45736</v>
      </c>
      <c r="E1303" s="11" t="str">
        <f>+HYPERLINK("http://trademark.i-assist.jp/data/china/image_1928th/82669555.pdf","82669555")</f>
        <v>82669555</v>
      </c>
      <c r="F1303" s="9" t="s">
        <v>3662</v>
      </c>
      <c r="G1303" s="9" t="s">
        <v>3663</v>
      </c>
      <c r="H1303" s="9" t="s">
        <v>3664</v>
      </c>
      <c r="I1303" s="10">
        <v>45646</v>
      </c>
    </row>
    <row r="1304" spans="1:9" x14ac:dyDescent="0.15">
      <c r="A1304" s="9">
        <v>1303</v>
      </c>
      <c r="B1304" s="9" t="s">
        <v>9</v>
      </c>
      <c r="C1304" s="9">
        <v>1928</v>
      </c>
      <c r="D1304" s="10">
        <v>45736</v>
      </c>
      <c r="E1304" s="11" t="str">
        <f>+HYPERLINK("http://trademark.i-assist.jp/data/china/image_1928th/82669998.pdf","82669998")</f>
        <v>82669998</v>
      </c>
      <c r="F1304" s="9" t="s">
        <v>3665</v>
      </c>
      <c r="G1304" s="9" t="s">
        <v>3666</v>
      </c>
      <c r="H1304" s="9" t="s">
        <v>3667</v>
      </c>
      <c r="I1304" s="10">
        <v>45646</v>
      </c>
    </row>
    <row r="1305" spans="1:9" x14ac:dyDescent="0.15">
      <c r="A1305" s="9">
        <v>1304</v>
      </c>
      <c r="B1305" s="9" t="s">
        <v>9</v>
      </c>
      <c r="C1305" s="9">
        <v>1928</v>
      </c>
      <c r="D1305" s="10">
        <v>45736</v>
      </c>
      <c r="E1305" s="11" t="str">
        <f>+HYPERLINK("http://trademark.i-assist.jp/data/china/image_1928th/82670128.pdf","82670128")</f>
        <v>82670128</v>
      </c>
      <c r="F1305" s="9" t="s">
        <v>3668</v>
      </c>
      <c r="G1305" s="9" t="s">
        <v>3669</v>
      </c>
      <c r="H1305" s="9" t="s">
        <v>3670</v>
      </c>
      <c r="I1305" s="10">
        <v>45646</v>
      </c>
    </row>
    <row r="1306" spans="1:9" x14ac:dyDescent="0.15">
      <c r="A1306" s="9">
        <v>1305</v>
      </c>
      <c r="B1306" s="9" t="s">
        <v>9</v>
      </c>
      <c r="C1306" s="9">
        <v>1928</v>
      </c>
      <c r="D1306" s="10">
        <v>45736</v>
      </c>
      <c r="E1306" s="11" t="str">
        <f>+HYPERLINK("http://trademark.i-assist.jp/data/china/image_1928th/82670383.pdf","82670383")</f>
        <v>82670383</v>
      </c>
      <c r="F1306" s="9" t="s">
        <v>3671</v>
      </c>
      <c r="G1306" s="9" t="s">
        <v>3672</v>
      </c>
      <c r="H1306" s="9" t="s">
        <v>3673</v>
      </c>
      <c r="I1306" s="10">
        <v>45646</v>
      </c>
    </row>
    <row r="1307" spans="1:9" x14ac:dyDescent="0.15">
      <c r="A1307" s="9">
        <v>1306</v>
      </c>
      <c r="B1307" s="9" t="s">
        <v>9</v>
      </c>
      <c r="C1307" s="9">
        <v>1928</v>
      </c>
      <c r="D1307" s="10">
        <v>45736</v>
      </c>
      <c r="E1307" s="11" t="str">
        <f>+HYPERLINK("http://trademark.i-assist.jp/data/china/image_1928th/82670396.pdf","82670396")</f>
        <v>82670396</v>
      </c>
      <c r="F1307" s="9" t="s">
        <v>3674</v>
      </c>
      <c r="G1307" s="9" t="s">
        <v>3675</v>
      </c>
      <c r="H1307" s="9" t="s">
        <v>3676</v>
      </c>
      <c r="I1307" s="10">
        <v>45646</v>
      </c>
    </row>
    <row r="1308" spans="1:9" x14ac:dyDescent="0.15">
      <c r="A1308" s="9">
        <v>1307</v>
      </c>
      <c r="B1308" s="9" t="s">
        <v>9</v>
      </c>
      <c r="C1308" s="9">
        <v>1928</v>
      </c>
      <c r="D1308" s="10">
        <v>45736</v>
      </c>
      <c r="E1308" s="11" t="str">
        <f>+HYPERLINK("http://trademark.i-assist.jp/data/china/image_1928th/82671021.pdf","82671021")</f>
        <v>82671021</v>
      </c>
      <c r="F1308" s="9" t="s">
        <v>3677</v>
      </c>
      <c r="G1308" s="9" t="s">
        <v>3678</v>
      </c>
      <c r="H1308" s="9" t="s">
        <v>3679</v>
      </c>
      <c r="I1308" s="10">
        <v>45646</v>
      </c>
    </row>
    <row r="1309" spans="1:9" x14ac:dyDescent="0.15">
      <c r="A1309" s="9">
        <v>1308</v>
      </c>
      <c r="B1309" s="9" t="s">
        <v>9</v>
      </c>
      <c r="C1309" s="9">
        <v>1928</v>
      </c>
      <c r="D1309" s="10">
        <v>45736</v>
      </c>
      <c r="E1309" s="11" t="str">
        <f>+HYPERLINK("http://trademark.i-assist.jp/data/china/image_1928th/82671105.pdf","82671105")</f>
        <v>82671105</v>
      </c>
      <c r="F1309" s="9" t="s">
        <v>3680</v>
      </c>
      <c r="G1309" s="9" t="s">
        <v>3681</v>
      </c>
      <c r="H1309" s="9" t="s">
        <v>3682</v>
      </c>
      <c r="I1309" s="10">
        <v>45646</v>
      </c>
    </row>
    <row r="1310" spans="1:9" x14ac:dyDescent="0.15">
      <c r="A1310" s="9">
        <v>1309</v>
      </c>
      <c r="B1310" s="9" t="s">
        <v>9</v>
      </c>
      <c r="C1310" s="9">
        <v>1928</v>
      </c>
      <c r="D1310" s="10">
        <v>45736</v>
      </c>
      <c r="E1310" s="11" t="str">
        <f>+HYPERLINK("http://trademark.i-assist.jp/data/china/image_1928th/82671245.pdf","82671245")</f>
        <v>82671245</v>
      </c>
      <c r="F1310" s="9" t="s">
        <v>3683</v>
      </c>
      <c r="G1310" s="9" t="s">
        <v>3684</v>
      </c>
      <c r="H1310" s="12" t="s">
        <v>3685</v>
      </c>
      <c r="I1310" s="10">
        <v>45646</v>
      </c>
    </row>
    <row r="1311" spans="1:9" x14ac:dyDescent="0.15">
      <c r="A1311" s="9">
        <v>1310</v>
      </c>
      <c r="B1311" s="9" t="s">
        <v>9</v>
      </c>
      <c r="C1311" s="9">
        <v>1928</v>
      </c>
      <c r="D1311" s="10">
        <v>45736</v>
      </c>
      <c r="E1311" s="11" t="str">
        <f>+HYPERLINK("http://trademark.i-assist.jp/data/china/image_1928th/82671385.pdf","82671385")</f>
        <v>82671385</v>
      </c>
      <c r="F1311" s="12" t="s">
        <v>3686</v>
      </c>
      <c r="G1311" s="9" t="s">
        <v>3687</v>
      </c>
      <c r="H1311" s="9" t="s">
        <v>3688</v>
      </c>
      <c r="I1311" s="10">
        <v>45646</v>
      </c>
    </row>
    <row r="1312" spans="1:9" x14ac:dyDescent="0.15">
      <c r="A1312" s="9">
        <v>1311</v>
      </c>
      <c r="B1312" s="9" t="s">
        <v>9</v>
      </c>
      <c r="C1312" s="9">
        <v>1928</v>
      </c>
      <c r="D1312" s="10">
        <v>45736</v>
      </c>
      <c r="E1312" s="11" t="str">
        <f>+HYPERLINK("http://trademark.i-assist.jp/data/china/image_1928th/82671464.pdf","82671464")</f>
        <v>82671464</v>
      </c>
      <c r="F1312" s="9" t="s">
        <v>3689</v>
      </c>
      <c r="G1312" s="9" t="s">
        <v>87</v>
      </c>
      <c r="H1312" s="9" t="s">
        <v>3690</v>
      </c>
      <c r="I1312" s="10">
        <v>45646</v>
      </c>
    </row>
    <row r="1313" spans="1:9" x14ac:dyDescent="0.15">
      <c r="A1313" s="9">
        <v>1312</v>
      </c>
      <c r="B1313" s="9" t="s">
        <v>9</v>
      </c>
      <c r="C1313" s="9">
        <v>1928</v>
      </c>
      <c r="D1313" s="10">
        <v>45736</v>
      </c>
      <c r="E1313" s="11" t="str">
        <f>+HYPERLINK("http://trademark.i-assist.jp/data/china/image_1928th/82671537.pdf","82671537")</f>
        <v>82671537</v>
      </c>
      <c r="F1313" s="9" t="s">
        <v>3691</v>
      </c>
      <c r="G1313" s="9" t="s">
        <v>3692</v>
      </c>
      <c r="H1313" s="9" t="s">
        <v>3693</v>
      </c>
      <c r="I1313" s="10">
        <v>45646</v>
      </c>
    </row>
    <row r="1314" spans="1:9" x14ac:dyDescent="0.15">
      <c r="A1314" s="9">
        <v>1313</v>
      </c>
      <c r="B1314" s="9" t="s">
        <v>9</v>
      </c>
      <c r="C1314" s="9">
        <v>1928</v>
      </c>
      <c r="D1314" s="10">
        <v>45736</v>
      </c>
      <c r="E1314" s="11" t="str">
        <f>+HYPERLINK("http://trademark.i-assist.jp/data/china/image_1928th/82671708.pdf","82671708")</f>
        <v>82671708</v>
      </c>
      <c r="F1314" s="12" t="s">
        <v>3694</v>
      </c>
      <c r="G1314" s="9" t="s">
        <v>3695</v>
      </c>
      <c r="H1314" s="9" t="s">
        <v>3696</v>
      </c>
      <c r="I1314" s="10">
        <v>45646</v>
      </c>
    </row>
    <row r="1315" spans="1:9" x14ac:dyDescent="0.15">
      <c r="A1315" s="9">
        <v>1314</v>
      </c>
      <c r="B1315" s="9" t="s">
        <v>9</v>
      </c>
      <c r="C1315" s="9">
        <v>1928</v>
      </c>
      <c r="D1315" s="10">
        <v>45736</v>
      </c>
      <c r="E1315" s="11" t="str">
        <f>+HYPERLINK("http://trademark.i-assist.jp/data/china/image_1928th/82672051.pdf","82672051")</f>
        <v>82672051</v>
      </c>
      <c r="F1315" s="9" t="s">
        <v>3697</v>
      </c>
      <c r="G1315" s="12" t="s">
        <v>3698</v>
      </c>
      <c r="H1315" s="9" t="s">
        <v>3699</v>
      </c>
      <c r="I1315" s="10">
        <v>45646</v>
      </c>
    </row>
    <row r="1316" spans="1:9" x14ac:dyDescent="0.15">
      <c r="A1316" s="9">
        <v>1315</v>
      </c>
      <c r="B1316" s="9" t="s">
        <v>9</v>
      </c>
      <c r="C1316" s="9">
        <v>1928</v>
      </c>
      <c r="D1316" s="10">
        <v>45736</v>
      </c>
      <c r="E1316" s="11" t="str">
        <f>+HYPERLINK("http://trademark.i-assist.jp/data/china/image_1928th/82673195.pdf","82673195")</f>
        <v>82673195</v>
      </c>
      <c r="F1316" s="12" t="s">
        <v>3700</v>
      </c>
      <c r="G1316" s="9" t="s">
        <v>3701</v>
      </c>
      <c r="H1316" s="9" t="s">
        <v>3702</v>
      </c>
      <c r="I1316" s="10">
        <v>45646</v>
      </c>
    </row>
    <row r="1317" spans="1:9" x14ac:dyDescent="0.15">
      <c r="A1317" s="9">
        <v>1316</v>
      </c>
      <c r="B1317" s="9" t="s">
        <v>9</v>
      </c>
      <c r="C1317" s="9">
        <v>1928</v>
      </c>
      <c r="D1317" s="10">
        <v>45736</v>
      </c>
      <c r="E1317" s="11" t="str">
        <f>+HYPERLINK("http://trademark.i-assist.jp/data/china/image_1928th/82673287.pdf","82673287")</f>
        <v>82673287</v>
      </c>
      <c r="F1317" s="12" t="s">
        <v>18</v>
      </c>
      <c r="G1317" s="9" t="s">
        <v>3703</v>
      </c>
      <c r="H1317" s="9" t="s">
        <v>3704</v>
      </c>
      <c r="I1317" s="10">
        <v>45646</v>
      </c>
    </row>
    <row r="1318" spans="1:9" x14ac:dyDescent="0.15">
      <c r="A1318" s="9">
        <v>1317</v>
      </c>
      <c r="B1318" s="9" t="s">
        <v>9</v>
      </c>
      <c r="C1318" s="9">
        <v>1928</v>
      </c>
      <c r="D1318" s="10">
        <v>45736</v>
      </c>
      <c r="E1318" s="11" t="str">
        <f>+HYPERLINK("http://trademark.i-assist.jp/data/china/image_1928th/82673332.pdf","82673332")</f>
        <v>82673332</v>
      </c>
      <c r="F1318" s="12" t="s">
        <v>3705</v>
      </c>
      <c r="G1318" s="12" t="s">
        <v>102</v>
      </c>
      <c r="H1318" s="9" t="s">
        <v>3706</v>
      </c>
      <c r="I1318" s="10">
        <v>45646</v>
      </c>
    </row>
    <row r="1319" spans="1:9" x14ac:dyDescent="0.15">
      <c r="A1319" s="9">
        <v>1318</v>
      </c>
      <c r="B1319" s="9" t="s">
        <v>9</v>
      </c>
      <c r="C1319" s="9">
        <v>1928</v>
      </c>
      <c r="D1319" s="10">
        <v>45736</v>
      </c>
      <c r="E1319" s="11" t="str">
        <f>+HYPERLINK("http://trademark.i-assist.jp/data/china/image_1928th/82674447.pdf","82674447")</f>
        <v>82674447</v>
      </c>
      <c r="F1319" s="9" t="s">
        <v>3707</v>
      </c>
      <c r="G1319" s="9" t="s">
        <v>3708</v>
      </c>
      <c r="H1319" s="9" t="s">
        <v>3709</v>
      </c>
      <c r="I1319" s="10">
        <v>45646</v>
      </c>
    </row>
    <row r="1320" spans="1:9" x14ac:dyDescent="0.15">
      <c r="A1320" s="9">
        <v>1319</v>
      </c>
      <c r="B1320" s="9" t="s">
        <v>9</v>
      </c>
      <c r="C1320" s="9">
        <v>1928</v>
      </c>
      <c r="D1320" s="10">
        <v>45736</v>
      </c>
      <c r="E1320" s="11" t="str">
        <f>+HYPERLINK("http://trademark.i-assist.jp/data/china/image_1928th/82674596.pdf","82674596")</f>
        <v>82674596</v>
      </c>
      <c r="F1320" s="12" t="s">
        <v>3710</v>
      </c>
      <c r="G1320" s="12" t="s">
        <v>66</v>
      </c>
      <c r="H1320" s="9" t="s">
        <v>3711</v>
      </c>
      <c r="I1320" s="10">
        <v>45646</v>
      </c>
    </row>
    <row r="1321" spans="1:9" x14ac:dyDescent="0.15">
      <c r="A1321" s="9">
        <v>1320</v>
      </c>
      <c r="B1321" s="9" t="s">
        <v>9</v>
      </c>
      <c r="C1321" s="9">
        <v>1928</v>
      </c>
      <c r="D1321" s="10">
        <v>45736</v>
      </c>
      <c r="E1321" s="11" t="str">
        <f>+HYPERLINK("http://trademark.i-assist.jp/data/china/image_1928th/82675369.pdf","82675369")</f>
        <v>82675369</v>
      </c>
      <c r="F1321" s="9" t="s">
        <v>3712</v>
      </c>
      <c r="G1321" s="9" t="s">
        <v>3713</v>
      </c>
      <c r="H1321" s="9" t="s">
        <v>3714</v>
      </c>
      <c r="I1321" s="10">
        <v>45646</v>
      </c>
    </row>
    <row r="1322" spans="1:9" x14ac:dyDescent="0.15">
      <c r="A1322" s="9">
        <v>1321</v>
      </c>
      <c r="B1322" s="9" t="s">
        <v>9</v>
      </c>
      <c r="C1322" s="9">
        <v>1928</v>
      </c>
      <c r="D1322" s="10">
        <v>45736</v>
      </c>
      <c r="E1322" s="11" t="str">
        <f>+HYPERLINK("http://trademark.i-assist.jp/data/china/image_1928th/82675428.pdf","82675428")</f>
        <v>82675428</v>
      </c>
      <c r="F1322" s="9" t="s">
        <v>3715</v>
      </c>
      <c r="G1322" s="9" t="s">
        <v>3716</v>
      </c>
      <c r="H1322" s="9" t="s">
        <v>3717</v>
      </c>
      <c r="I1322" s="10">
        <v>45646</v>
      </c>
    </row>
    <row r="1323" spans="1:9" x14ac:dyDescent="0.15">
      <c r="A1323" s="9">
        <v>1322</v>
      </c>
      <c r="B1323" s="9" t="s">
        <v>9</v>
      </c>
      <c r="C1323" s="9">
        <v>1928</v>
      </c>
      <c r="D1323" s="10">
        <v>45736</v>
      </c>
      <c r="E1323" s="11" t="str">
        <f>+HYPERLINK("http://trademark.i-assist.jp/data/china/image_1928th/82675763.pdf","82675763")</f>
        <v>82675763</v>
      </c>
      <c r="F1323" s="9" t="s">
        <v>3718</v>
      </c>
      <c r="G1323" s="9" t="s">
        <v>3719</v>
      </c>
      <c r="H1323" s="9" t="s">
        <v>3720</v>
      </c>
      <c r="I1323" s="10">
        <v>45646</v>
      </c>
    </row>
    <row r="1324" spans="1:9" x14ac:dyDescent="0.15">
      <c r="A1324" s="9">
        <v>1323</v>
      </c>
      <c r="B1324" s="9" t="s">
        <v>9</v>
      </c>
      <c r="C1324" s="9">
        <v>1928</v>
      </c>
      <c r="D1324" s="10">
        <v>45736</v>
      </c>
      <c r="E1324" s="11" t="str">
        <f>+HYPERLINK("http://trademark.i-assist.jp/data/china/image_1928th/82676264.pdf","82676264")</f>
        <v>82676264</v>
      </c>
      <c r="F1324" s="9" t="s">
        <v>3721</v>
      </c>
      <c r="G1324" s="9" t="s">
        <v>3722</v>
      </c>
      <c r="H1324" s="9" t="s">
        <v>3723</v>
      </c>
      <c r="I1324" s="10">
        <v>45646</v>
      </c>
    </row>
    <row r="1325" spans="1:9" x14ac:dyDescent="0.15">
      <c r="A1325" s="9">
        <v>1324</v>
      </c>
      <c r="B1325" s="9" t="s">
        <v>9</v>
      </c>
      <c r="C1325" s="9">
        <v>1928</v>
      </c>
      <c r="D1325" s="10">
        <v>45736</v>
      </c>
      <c r="E1325" s="11" t="str">
        <f>+HYPERLINK("http://trademark.i-assist.jp/data/china/image_1928th/82676453.pdf","82676453")</f>
        <v>82676453</v>
      </c>
      <c r="F1325" s="9" t="s">
        <v>3724</v>
      </c>
      <c r="G1325" s="9" t="s">
        <v>3725</v>
      </c>
      <c r="H1325" s="9" t="s">
        <v>3726</v>
      </c>
      <c r="I1325" s="10">
        <v>45646</v>
      </c>
    </row>
    <row r="1326" spans="1:9" x14ac:dyDescent="0.15">
      <c r="A1326" s="9">
        <v>1325</v>
      </c>
      <c r="B1326" s="9" t="s">
        <v>9</v>
      </c>
      <c r="C1326" s="9">
        <v>1928</v>
      </c>
      <c r="D1326" s="10">
        <v>45736</v>
      </c>
      <c r="E1326" s="11" t="str">
        <f>+HYPERLINK("http://trademark.i-assist.jp/data/china/image_1928th/82676647.pdf","82676647")</f>
        <v>82676647</v>
      </c>
      <c r="F1326" s="9" t="s">
        <v>3727</v>
      </c>
      <c r="G1326" s="9" t="s">
        <v>79</v>
      </c>
      <c r="H1326" s="9" t="s">
        <v>3728</v>
      </c>
      <c r="I1326" s="10">
        <v>45646</v>
      </c>
    </row>
    <row r="1327" spans="1:9" x14ac:dyDescent="0.15">
      <c r="A1327" s="9">
        <v>1326</v>
      </c>
      <c r="B1327" s="9" t="s">
        <v>9</v>
      </c>
      <c r="C1327" s="9">
        <v>1928</v>
      </c>
      <c r="D1327" s="10">
        <v>45736</v>
      </c>
      <c r="E1327" s="11" t="str">
        <f>+HYPERLINK("http://trademark.i-assist.jp/data/china/image_1928th/82676875.pdf","82676875")</f>
        <v>82676875</v>
      </c>
      <c r="F1327" s="9" t="s">
        <v>3729</v>
      </c>
      <c r="G1327" s="12" t="s">
        <v>3730</v>
      </c>
      <c r="H1327" s="9" t="s">
        <v>3731</v>
      </c>
      <c r="I1327" s="10">
        <v>45646</v>
      </c>
    </row>
    <row r="1328" spans="1:9" x14ac:dyDescent="0.15">
      <c r="A1328" s="9">
        <v>1327</v>
      </c>
      <c r="B1328" s="9" t="s">
        <v>9</v>
      </c>
      <c r="C1328" s="9">
        <v>1928</v>
      </c>
      <c r="D1328" s="10">
        <v>45736</v>
      </c>
      <c r="E1328" s="11" t="str">
        <f>+HYPERLINK("http://trademark.i-assist.jp/data/china/image_1928th/82677262.pdf","82677262")</f>
        <v>82677262</v>
      </c>
      <c r="F1328" s="9" t="s">
        <v>3732</v>
      </c>
      <c r="G1328" s="9" t="s">
        <v>3733</v>
      </c>
      <c r="H1328" s="9" t="s">
        <v>3734</v>
      </c>
      <c r="I1328" s="10">
        <v>45646</v>
      </c>
    </row>
    <row r="1329" spans="1:9" x14ac:dyDescent="0.15">
      <c r="A1329" s="9">
        <v>1328</v>
      </c>
      <c r="B1329" s="9" t="s">
        <v>9</v>
      </c>
      <c r="C1329" s="9">
        <v>1928</v>
      </c>
      <c r="D1329" s="10">
        <v>45736</v>
      </c>
      <c r="E1329" s="11" t="str">
        <f>+HYPERLINK("http://trademark.i-assist.jp/data/china/image_1928th/82677467.pdf","82677467")</f>
        <v>82677467</v>
      </c>
      <c r="F1329" s="9" t="s">
        <v>3735</v>
      </c>
      <c r="G1329" s="12" t="s">
        <v>3736</v>
      </c>
      <c r="H1329" s="9" t="s">
        <v>3737</v>
      </c>
      <c r="I1329" s="10">
        <v>45646</v>
      </c>
    </row>
    <row r="1330" spans="1:9" x14ac:dyDescent="0.15">
      <c r="A1330" s="9">
        <v>1329</v>
      </c>
      <c r="B1330" s="9" t="s">
        <v>9</v>
      </c>
      <c r="C1330" s="9">
        <v>1928</v>
      </c>
      <c r="D1330" s="10">
        <v>45736</v>
      </c>
      <c r="E1330" s="11" t="str">
        <f>+HYPERLINK("http://trademark.i-assist.jp/data/china/image_1928th/82678191.pdf","82678191")</f>
        <v>82678191</v>
      </c>
      <c r="F1330" s="9" t="s">
        <v>3738</v>
      </c>
      <c r="G1330" s="9" t="s">
        <v>3739</v>
      </c>
      <c r="H1330" s="9" t="s">
        <v>3740</v>
      </c>
      <c r="I1330" s="10">
        <v>45646</v>
      </c>
    </row>
    <row r="1331" spans="1:9" x14ac:dyDescent="0.15">
      <c r="A1331" s="9">
        <v>1330</v>
      </c>
      <c r="B1331" s="9" t="s">
        <v>9</v>
      </c>
      <c r="C1331" s="9">
        <v>1928</v>
      </c>
      <c r="D1331" s="10">
        <v>45736</v>
      </c>
      <c r="E1331" s="11" t="str">
        <f>+HYPERLINK("http://trademark.i-assist.jp/data/china/image_1928th/82678297.pdf","82678297")</f>
        <v>82678297</v>
      </c>
      <c r="F1331" s="9" t="s">
        <v>3741</v>
      </c>
      <c r="G1331" s="9" t="s">
        <v>3742</v>
      </c>
      <c r="H1331" s="9" t="s">
        <v>3743</v>
      </c>
      <c r="I1331" s="10">
        <v>45646</v>
      </c>
    </row>
    <row r="1332" spans="1:9" x14ac:dyDescent="0.15">
      <c r="A1332" s="9">
        <v>1331</v>
      </c>
      <c r="B1332" s="9" t="s">
        <v>9</v>
      </c>
      <c r="C1332" s="9">
        <v>1928</v>
      </c>
      <c r="D1332" s="10">
        <v>45736</v>
      </c>
      <c r="E1332" s="11" t="str">
        <f>+HYPERLINK("http://trademark.i-assist.jp/data/china/image_1928th/82678679.pdf","82678679")</f>
        <v>82678679</v>
      </c>
      <c r="F1332" s="9" t="s">
        <v>3744</v>
      </c>
      <c r="G1332" s="9" t="s">
        <v>3745</v>
      </c>
      <c r="H1332" s="12" t="s">
        <v>3746</v>
      </c>
      <c r="I1332" s="10">
        <v>45646</v>
      </c>
    </row>
    <row r="1333" spans="1:9" x14ac:dyDescent="0.15">
      <c r="A1333" s="9">
        <v>1332</v>
      </c>
      <c r="B1333" s="9" t="s">
        <v>9</v>
      </c>
      <c r="C1333" s="9">
        <v>1928</v>
      </c>
      <c r="D1333" s="10">
        <v>45736</v>
      </c>
      <c r="E1333" s="11" t="str">
        <f>+HYPERLINK("http://trademark.i-assist.jp/data/china/image_1928th/82679347.pdf","82679347")</f>
        <v>82679347</v>
      </c>
      <c r="F1333" s="9" t="s">
        <v>3747</v>
      </c>
      <c r="G1333" s="9" t="s">
        <v>3748</v>
      </c>
      <c r="H1333" s="9" t="s">
        <v>3749</v>
      </c>
      <c r="I1333" s="10">
        <v>45646</v>
      </c>
    </row>
    <row r="1334" spans="1:9" x14ac:dyDescent="0.15">
      <c r="A1334" s="9">
        <v>1333</v>
      </c>
      <c r="B1334" s="9" t="s">
        <v>9</v>
      </c>
      <c r="C1334" s="9">
        <v>1928</v>
      </c>
      <c r="D1334" s="10">
        <v>45736</v>
      </c>
      <c r="E1334" s="11" t="str">
        <f>+HYPERLINK("http://trademark.i-assist.jp/data/china/image_1928th/82679707.pdf","82679707")</f>
        <v>82679707</v>
      </c>
      <c r="F1334" s="9" t="s">
        <v>3750</v>
      </c>
      <c r="G1334" s="9" t="s">
        <v>3751</v>
      </c>
      <c r="H1334" s="9" t="s">
        <v>3752</v>
      </c>
      <c r="I1334" s="10">
        <v>45646</v>
      </c>
    </row>
    <row r="1335" spans="1:9" x14ac:dyDescent="0.15">
      <c r="A1335" s="9">
        <v>1334</v>
      </c>
      <c r="B1335" s="9" t="s">
        <v>9</v>
      </c>
      <c r="C1335" s="9">
        <v>1928</v>
      </c>
      <c r="D1335" s="10">
        <v>45736</v>
      </c>
      <c r="E1335" s="11" t="str">
        <f>+HYPERLINK("http://trademark.i-assist.jp/data/china/image_1928th/82680278.pdf","82680278")</f>
        <v>82680278</v>
      </c>
      <c r="F1335" s="9" t="s">
        <v>3753</v>
      </c>
      <c r="G1335" s="9" t="s">
        <v>3754</v>
      </c>
      <c r="H1335" s="9" t="s">
        <v>3755</v>
      </c>
      <c r="I1335" s="10">
        <v>45646</v>
      </c>
    </row>
    <row r="1336" spans="1:9" x14ac:dyDescent="0.15">
      <c r="A1336" s="9">
        <v>1335</v>
      </c>
      <c r="B1336" s="9" t="s">
        <v>9</v>
      </c>
      <c r="C1336" s="9">
        <v>1928</v>
      </c>
      <c r="D1336" s="10">
        <v>45736</v>
      </c>
      <c r="E1336" s="11" t="str">
        <f>+HYPERLINK("http://trademark.i-assist.jp/data/china/image_1928th/82680628.pdf","82680628")</f>
        <v>82680628</v>
      </c>
      <c r="F1336" s="9" t="s">
        <v>3756</v>
      </c>
      <c r="G1336" s="9" t="s">
        <v>3757</v>
      </c>
      <c r="H1336" s="12" t="s">
        <v>3758</v>
      </c>
      <c r="I1336" s="10">
        <v>45646</v>
      </c>
    </row>
    <row r="1337" spans="1:9" x14ac:dyDescent="0.15">
      <c r="A1337" s="9">
        <v>1336</v>
      </c>
      <c r="B1337" s="9" t="s">
        <v>9</v>
      </c>
      <c r="C1337" s="9">
        <v>1928</v>
      </c>
      <c r="D1337" s="10">
        <v>45736</v>
      </c>
      <c r="E1337" s="11" t="str">
        <f>+HYPERLINK("http://trademark.i-assist.jp/data/china/image_1928th/82680745.pdf","82680745")</f>
        <v>82680745</v>
      </c>
      <c r="F1337" s="9" t="s">
        <v>3759</v>
      </c>
      <c r="G1337" s="9" t="s">
        <v>3760</v>
      </c>
      <c r="H1337" s="9" t="s">
        <v>3761</v>
      </c>
      <c r="I1337" s="10">
        <v>45646</v>
      </c>
    </row>
    <row r="1338" spans="1:9" x14ac:dyDescent="0.15">
      <c r="A1338" s="9">
        <v>1337</v>
      </c>
      <c r="B1338" s="9" t="s">
        <v>9</v>
      </c>
      <c r="C1338" s="9">
        <v>1928</v>
      </c>
      <c r="D1338" s="10">
        <v>45736</v>
      </c>
      <c r="E1338" s="11" t="str">
        <f>+HYPERLINK("http://trademark.i-assist.jp/data/china/image_1928th/82681041.pdf","82681041")</f>
        <v>82681041</v>
      </c>
      <c r="F1338" s="9" t="s">
        <v>3762</v>
      </c>
      <c r="G1338" s="9" t="s">
        <v>3763</v>
      </c>
      <c r="H1338" s="9" t="s">
        <v>3764</v>
      </c>
      <c r="I1338" s="10">
        <v>45646</v>
      </c>
    </row>
    <row r="1339" spans="1:9" x14ac:dyDescent="0.15">
      <c r="A1339" s="9">
        <v>1338</v>
      </c>
      <c r="B1339" s="9" t="s">
        <v>9</v>
      </c>
      <c r="C1339" s="9">
        <v>1928</v>
      </c>
      <c r="D1339" s="10">
        <v>45736</v>
      </c>
      <c r="E1339" s="11" t="str">
        <f>+HYPERLINK("http://trademark.i-assist.jp/data/china/image_1928th/82681222.pdf","82681222")</f>
        <v>82681222</v>
      </c>
      <c r="F1339" s="9" t="s">
        <v>3765</v>
      </c>
      <c r="G1339" s="9" t="s">
        <v>3766</v>
      </c>
      <c r="H1339" s="9" t="s">
        <v>3767</v>
      </c>
      <c r="I1339" s="10">
        <v>45646</v>
      </c>
    </row>
    <row r="1340" spans="1:9" x14ac:dyDescent="0.15">
      <c r="A1340" s="9">
        <v>1339</v>
      </c>
      <c r="B1340" s="9" t="s">
        <v>9</v>
      </c>
      <c r="C1340" s="9">
        <v>1928</v>
      </c>
      <c r="D1340" s="10">
        <v>45736</v>
      </c>
      <c r="E1340" s="11" t="str">
        <f>+HYPERLINK("http://trademark.i-assist.jp/data/china/image_1928th/82681287.pdf","82681287")</f>
        <v>82681287</v>
      </c>
      <c r="F1340" s="9" t="s">
        <v>3768</v>
      </c>
      <c r="G1340" s="12" t="s">
        <v>3769</v>
      </c>
      <c r="H1340" s="9" t="s">
        <v>3770</v>
      </c>
      <c r="I1340" s="10">
        <v>45646</v>
      </c>
    </row>
    <row r="1341" spans="1:9" x14ac:dyDescent="0.15">
      <c r="A1341" s="9">
        <v>1340</v>
      </c>
      <c r="B1341" s="9" t="s">
        <v>9</v>
      </c>
      <c r="C1341" s="9">
        <v>1928</v>
      </c>
      <c r="D1341" s="10">
        <v>45736</v>
      </c>
      <c r="E1341" s="11" t="str">
        <f>+HYPERLINK("http://trademark.i-assist.jp/data/china/image_1928th/82681643.pdf","82681643")</f>
        <v>82681643</v>
      </c>
      <c r="F1341" s="9" t="s">
        <v>3771</v>
      </c>
      <c r="G1341" s="9" t="s">
        <v>3657</v>
      </c>
      <c r="H1341" s="9" t="s">
        <v>3772</v>
      </c>
      <c r="I1341" s="10">
        <v>45646</v>
      </c>
    </row>
    <row r="1342" spans="1:9" x14ac:dyDescent="0.15">
      <c r="A1342" s="9">
        <v>1341</v>
      </c>
      <c r="B1342" s="9" t="s">
        <v>9</v>
      </c>
      <c r="C1342" s="9">
        <v>1928</v>
      </c>
      <c r="D1342" s="10">
        <v>45736</v>
      </c>
      <c r="E1342" s="11" t="str">
        <f>+HYPERLINK("http://trademark.i-assist.jp/data/china/image_1928th/82684081.pdf","82684081")</f>
        <v>82684081</v>
      </c>
      <c r="F1342" s="9" t="s">
        <v>3773</v>
      </c>
      <c r="G1342" s="12" t="s">
        <v>3647</v>
      </c>
      <c r="H1342" s="9" t="s">
        <v>3774</v>
      </c>
      <c r="I1342" s="10">
        <v>45646</v>
      </c>
    </row>
    <row r="1343" spans="1:9" x14ac:dyDescent="0.15">
      <c r="A1343" s="9">
        <v>1342</v>
      </c>
      <c r="B1343" s="9" t="s">
        <v>9</v>
      </c>
      <c r="C1343" s="9">
        <v>1928</v>
      </c>
      <c r="D1343" s="10">
        <v>45736</v>
      </c>
      <c r="E1343" s="11" t="str">
        <f>+HYPERLINK("http://trademark.i-assist.jp/data/china/image_1928th/82684125.pdf","82684125")</f>
        <v>82684125</v>
      </c>
      <c r="F1343" s="9" t="s">
        <v>3775</v>
      </c>
      <c r="G1343" s="9" t="s">
        <v>3776</v>
      </c>
      <c r="H1343" s="9" t="s">
        <v>3777</v>
      </c>
      <c r="I1343" s="10">
        <v>45646</v>
      </c>
    </row>
    <row r="1344" spans="1:9" x14ac:dyDescent="0.15">
      <c r="A1344" s="9">
        <v>1343</v>
      </c>
      <c r="B1344" s="9" t="s">
        <v>9</v>
      </c>
      <c r="C1344" s="9">
        <v>1928</v>
      </c>
      <c r="D1344" s="10">
        <v>45736</v>
      </c>
      <c r="E1344" s="11" t="str">
        <f>+HYPERLINK("http://trademark.i-assist.jp/data/china/image_1928th/82685103.pdf","82685103")</f>
        <v>82685103</v>
      </c>
      <c r="F1344" s="9" t="s">
        <v>3778</v>
      </c>
      <c r="G1344" s="9" t="s">
        <v>3779</v>
      </c>
      <c r="H1344" s="12" t="s">
        <v>3780</v>
      </c>
      <c r="I1344" s="10">
        <v>45646</v>
      </c>
    </row>
    <row r="1345" spans="1:9" x14ac:dyDescent="0.15">
      <c r="A1345" s="9">
        <v>1344</v>
      </c>
      <c r="B1345" s="9" t="s">
        <v>9</v>
      </c>
      <c r="C1345" s="9">
        <v>1928</v>
      </c>
      <c r="D1345" s="10">
        <v>45736</v>
      </c>
      <c r="E1345" s="11" t="str">
        <f>+HYPERLINK("http://trademark.i-assist.jp/data/china/image_1928th/82685642.pdf","82685642")</f>
        <v>82685642</v>
      </c>
      <c r="F1345" s="9" t="s">
        <v>3781</v>
      </c>
      <c r="G1345" s="9" t="s">
        <v>3782</v>
      </c>
      <c r="H1345" s="9" t="s">
        <v>3783</v>
      </c>
      <c r="I1345" s="10">
        <v>45646</v>
      </c>
    </row>
    <row r="1346" spans="1:9" x14ac:dyDescent="0.15">
      <c r="A1346" s="9">
        <v>1345</v>
      </c>
      <c r="B1346" s="9" t="s">
        <v>9</v>
      </c>
      <c r="C1346" s="9">
        <v>1928</v>
      </c>
      <c r="D1346" s="10">
        <v>45736</v>
      </c>
      <c r="E1346" s="11" t="str">
        <f>+HYPERLINK("http://trademark.i-assist.jp/data/china/image_1928th/82686160.pdf","82686160")</f>
        <v>82686160</v>
      </c>
      <c r="F1346" s="12" t="s">
        <v>3637</v>
      </c>
      <c r="G1346" s="9" t="s">
        <v>3638</v>
      </c>
      <c r="H1346" s="9" t="s">
        <v>3784</v>
      </c>
      <c r="I1346" s="10">
        <v>45646</v>
      </c>
    </row>
    <row r="1347" spans="1:9" x14ac:dyDescent="0.15">
      <c r="A1347" s="9">
        <v>1346</v>
      </c>
      <c r="B1347" s="9" t="s">
        <v>9</v>
      </c>
      <c r="C1347" s="9">
        <v>1928</v>
      </c>
      <c r="D1347" s="10">
        <v>45736</v>
      </c>
      <c r="E1347" s="11" t="str">
        <f>+HYPERLINK("http://trademark.i-assist.jp/data/china/image_1928th/82686254.pdf","82686254")</f>
        <v>82686254</v>
      </c>
      <c r="F1347" s="9" t="s">
        <v>3785</v>
      </c>
      <c r="G1347" s="9" t="s">
        <v>3657</v>
      </c>
      <c r="H1347" s="9" t="s">
        <v>3786</v>
      </c>
      <c r="I1347" s="10">
        <v>45646</v>
      </c>
    </row>
    <row r="1348" spans="1:9" x14ac:dyDescent="0.15">
      <c r="A1348" s="9">
        <v>1347</v>
      </c>
      <c r="B1348" s="9" t="s">
        <v>9</v>
      </c>
      <c r="C1348" s="9">
        <v>1928</v>
      </c>
      <c r="D1348" s="10">
        <v>45736</v>
      </c>
      <c r="E1348" s="11" t="str">
        <f>+HYPERLINK("http://trademark.i-assist.jp/data/china/image_1928th/82686405.pdf","82686405")</f>
        <v>82686405</v>
      </c>
      <c r="F1348" s="9" t="s">
        <v>3787</v>
      </c>
      <c r="G1348" s="9" t="s">
        <v>87</v>
      </c>
      <c r="H1348" s="9" t="s">
        <v>3788</v>
      </c>
      <c r="I1348" s="10">
        <v>45646</v>
      </c>
    </row>
    <row r="1349" spans="1:9" x14ac:dyDescent="0.15">
      <c r="A1349" s="9">
        <v>1348</v>
      </c>
      <c r="B1349" s="9" t="s">
        <v>9</v>
      </c>
      <c r="C1349" s="9">
        <v>1928</v>
      </c>
      <c r="D1349" s="10">
        <v>45736</v>
      </c>
      <c r="E1349" s="11" t="str">
        <f>+HYPERLINK("http://trademark.i-assist.jp/data/china/image_1928th/82686428.pdf","82686428")</f>
        <v>82686428</v>
      </c>
      <c r="F1349" s="9" t="s">
        <v>3789</v>
      </c>
      <c r="G1349" s="9" t="s">
        <v>3790</v>
      </c>
      <c r="H1349" s="9" t="s">
        <v>3791</v>
      </c>
      <c r="I1349" s="10">
        <v>45646</v>
      </c>
    </row>
    <row r="1350" spans="1:9" x14ac:dyDescent="0.15">
      <c r="A1350" s="9">
        <v>1349</v>
      </c>
      <c r="B1350" s="9" t="s">
        <v>9</v>
      </c>
      <c r="C1350" s="9">
        <v>1928</v>
      </c>
      <c r="D1350" s="10">
        <v>45736</v>
      </c>
      <c r="E1350" s="11" t="str">
        <f>+HYPERLINK("http://trademark.i-assist.jp/data/china/image_1928th/82686801.pdf","82686801")</f>
        <v>82686801</v>
      </c>
      <c r="F1350" s="9" t="s">
        <v>3792</v>
      </c>
      <c r="G1350" s="9" t="s">
        <v>3793</v>
      </c>
      <c r="H1350" s="9" t="s">
        <v>3794</v>
      </c>
      <c r="I1350" s="10">
        <v>45647</v>
      </c>
    </row>
    <row r="1351" spans="1:9" x14ac:dyDescent="0.15">
      <c r="A1351" s="9">
        <v>1350</v>
      </c>
      <c r="B1351" s="9" t="s">
        <v>9</v>
      </c>
      <c r="C1351" s="9">
        <v>1928</v>
      </c>
      <c r="D1351" s="10">
        <v>45736</v>
      </c>
      <c r="E1351" s="11" t="str">
        <f>+HYPERLINK("http://trademark.i-assist.jp/data/china/image_1928th/82687040.pdf","82687040")</f>
        <v>82687040</v>
      </c>
      <c r="F1351" s="9" t="s">
        <v>3795</v>
      </c>
      <c r="G1351" s="9" t="s">
        <v>3796</v>
      </c>
      <c r="H1351" s="9" t="s">
        <v>3797</v>
      </c>
      <c r="I1351" s="10">
        <v>45647</v>
      </c>
    </row>
    <row r="1352" spans="1:9" x14ac:dyDescent="0.15">
      <c r="A1352" s="9">
        <v>1351</v>
      </c>
      <c r="B1352" s="9" t="s">
        <v>9</v>
      </c>
      <c r="C1352" s="9">
        <v>1928</v>
      </c>
      <c r="D1352" s="10">
        <v>45736</v>
      </c>
      <c r="E1352" s="11" t="str">
        <f>+HYPERLINK("http://trademark.i-assist.jp/data/china/image_1928th/82687069.pdf","82687069")</f>
        <v>82687069</v>
      </c>
      <c r="F1352" s="9" t="s">
        <v>3798</v>
      </c>
      <c r="G1352" s="9" t="s">
        <v>3754</v>
      </c>
      <c r="H1352" s="9" t="s">
        <v>3799</v>
      </c>
      <c r="I1352" s="10">
        <v>45647</v>
      </c>
    </row>
    <row r="1353" spans="1:9" x14ac:dyDescent="0.15">
      <c r="A1353" s="9">
        <v>1352</v>
      </c>
      <c r="B1353" s="9" t="s">
        <v>9</v>
      </c>
      <c r="C1353" s="9">
        <v>1928</v>
      </c>
      <c r="D1353" s="10">
        <v>45736</v>
      </c>
      <c r="E1353" s="11" t="str">
        <f>+HYPERLINK("http://trademark.i-assist.jp/data/china/image_1928th/82687707.pdf","82687707")</f>
        <v>82687707</v>
      </c>
      <c r="F1353" s="13" t="s">
        <v>3800</v>
      </c>
      <c r="G1353" s="9" t="s">
        <v>3801</v>
      </c>
      <c r="H1353" s="12" t="s">
        <v>3802</v>
      </c>
      <c r="I1353" s="10">
        <v>45647</v>
      </c>
    </row>
    <row r="1354" spans="1:9" x14ac:dyDescent="0.15">
      <c r="A1354" s="9">
        <v>1353</v>
      </c>
      <c r="B1354" s="9" t="s">
        <v>9</v>
      </c>
      <c r="C1354" s="9">
        <v>1928</v>
      </c>
      <c r="D1354" s="10">
        <v>45736</v>
      </c>
      <c r="E1354" s="11" t="str">
        <f>+HYPERLINK("http://trademark.i-assist.jp/data/china/image_1928th/82687849.pdf","82687849")</f>
        <v>82687849</v>
      </c>
      <c r="F1354" s="9" t="s">
        <v>3803</v>
      </c>
      <c r="G1354" s="12" t="s">
        <v>3804</v>
      </c>
      <c r="H1354" s="9" t="s">
        <v>3805</v>
      </c>
      <c r="I1354" s="10">
        <v>45647</v>
      </c>
    </row>
    <row r="1355" spans="1:9" x14ac:dyDescent="0.15">
      <c r="A1355" s="9">
        <v>1354</v>
      </c>
      <c r="B1355" s="9" t="s">
        <v>9</v>
      </c>
      <c r="C1355" s="9">
        <v>1928</v>
      </c>
      <c r="D1355" s="10">
        <v>45736</v>
      </c>
      <c r="E1355" s="11" t="str">
        <f>+HYPERLINK("http://trademark.i-assist.jp/data/china/image_1928th/82687959.pdf","82687959")</f>
        <v>82687959</v>
      </c>
      <c r="F1355" s="9" t="s">
        <v>3806</v>
      </c>
      <c r="G1355" s="9" t="s">
        <v>3807</v>
      </c>
      <c r="H1355" s="9" t="s">
        <v>3808</v>
      </c>
      <c r="I1355" s="10">
        <v>45647</v>
      </c>
    </row>
    <row r="1356" spans="1:9" x14ac:dyDescent="0.15">
      <c r="A1356" s="9">
        <v>1355</v>
      </c>
      <c r="B1356" s="9" t="s">
        <v>9</v>
      </c>
      <c r="C1356" s="9">
        <v>1928</v>
      </c>
      <c r="D1356" s="10">
        <v>45736</v>
      </c>
      <c r="E1356" s="11" t="str">
        <f>+HYPERLINK("http://trademark.i-assist.jp/data/china/image_1928th/82688165.pdf","82688165")</f>
        <v>82688165</v>
      </c>
      <c r="F1356" s="12" t="s">
        <v>3809</v>
      </c>
      <c r="G1356" s="12" t="s">
        <v>3810</v>
      </c>
      <c r="H1356" s="9" t="s">
        <v>3811</v>
      </c>
      <c r="I1356" s="10">
        <v>45647</v>
      </c>
    </row>
    <row r="1357" spans="1:9" x14ac:dyDescent="0.15">
      <c r="A1357" s="9">
        <v>1356</v>
      </c>
      <c r="B1357" s="9" t="s">
        <v>9</v>
      </c>
      <c r="C1357" s="9">
        <v>1928</v>
      </c>
      <c r="D1357" s="10">
        <v>45736</v>
      </c>
      <c r="E1357" s="11" t="str">
        <f>+HYPERLINK("http://trademark.i-assist.jp/data/china/image_1928th/82688752.pdf","82688752")</f>
        <v>82688752</v>
      </c>
      <c r="F1357" s="9" t="s">
        <v>3812</v>
      </c>
      <c r="G1357" s="9" t="s">
        <v>3813</v>
      </c>
      <c r="H1357" s="9" t="s">
        <v>3814</v>
      </c>
      <c r="I1357" s="10">
        <v>45647</v>
      </c>
    </row>
    <row r="1358" spans="1:9" x14ac:dyDescent="0.15">
      <c r="A1358" s="9">
        <v>1357</v>
      </c>
      <c r="B1358" s="9" t="s">
        <v>9</v>
      </c>
      <c r="C1358" s="9">
        <v>1928</v>
      </c>
      <c r="D1358" s="10">
        <v>45736</v>
      </c>
      <c r="E1358" s="11" t="str">
        <f>+HYPERLINK("http://trademark.i-assist.jp/data/china/image_1928th/82688901.pdf","82688901")</f>
        <v>82688901</v>
      </c>
      <c r="F1358" s="9" t="s">
        <v>3815</v>
      </c>
      <c r="G1358" s="12" t="s">
        <v>3816</v>
      </c>
      <c r="H1358" s="9" t="s">
        <v>3817</v>
      </c>
      <c r="I1358" s="10">
        <v>45647</v>
      </c>
    </row>
    <row r="1359" spans="1:9" x14ac:dyDescent="0.15">
      <c r="A1359" s="9">
        <v>1358</v>
      </c>
      <c r="B1359" s="9" t="s">
        <v>9</v>
      </c>
      <c r="C1359" s="9">
        <v>1928</v>
      </c>
      <c r="D1359" s="10">
        <v>45736</v>
      </c>
      <c r="E1359" s="11" t="str">
        <f>+HYPERLINK("http://trademark.i-assist.jp/data/china/image_1928th/82689412.pdf","82689412")</f>
        <v>82689412</v>
      </c>
      <c r="F1359" s="9" t="s">
        <v>3818</v>
      </c>
      <c r="G1359" s="9" t="s">
        <v>3819</v>
      </c>
      <c r="H1359" s="9" t="s">
        <v>3820</v>
      </c>
      <c r="I1359" s="10">
        <v>45647</v>
      </c>
    </row>
    <row r="1360" spans="1:9" x14ac:dyDescent="0.15">
      <c r="A1360" s="9">
        <v>1359</v>
      </c>
      <c r="B1360" s="9" t="s">
        <v>9</v>
      </c>
      <c r="C1360" s="9">
        <v>1928</v>
      </c>
      <c r="D1360" s="10">
        <v>45736</v>
      </c>
      <c r="E1360" s="11" t="str">
        <f>+HYPERLINK("http://trademark.i-assist.jp/data/china/image_1928th/82689498.pdf","82689498")</f>
        <v>82689498</v>
      </c>
      <c r="F1360" s="9" t="s">
        <v>3821</v>
      </c>
      <c r="G1360" s="9" t="s">
        <v>3822</v>
      </c>
      <c r="H1360" s="9" t="s">
        <v>3823</v>
      </c>
      <c r="I1360" s="10">
        <v>45647</v>
      </c>
    </row>
    <row r="1361" spans="1:9" x14ac:dyDescent="0.15">
      <c r="A1361" s="9">
        <v>1360</v>
      </c>
      <c r="B1361" s="9" t="s">
        <v>9</v>
      </c>
      <c r="C1361" s="9">
        <v>1928</v>
      </c>
      <c r="D1361" s="10">
        <v>45736</v>
      </c>
      <c r="E1361" s="11" t="str">
        <f>+HYPERLINK("http://trademark.i-assist.jp/data/china/image_1928th/82689776.pdf","82689776")</f>
        <v>82689776</v>
      </c>
      <c r="F1361" s="9" t="s">
        <v>3824</v>
      </c>
      <c r="G1361" s="12" t="s">
        <v>3825</v>
      </c>
      <c r="H1361" s="9" t="s">
        <v>3826</v>
      </c>
      <c r="I1361" s="10">
        <v>45647</v>
      </c>
    </row>
    <row r="1362" spans="1:9" x14ac:dyDescent="0.15">
      <c r="A1362" s="9">
        <v>1361</v>
      </c>
      <c r="B1362" s="9" t="s">
        <v>9</v>
      </c>
      <c r="C1362" s="9">
        <v>1928</v>
      </c>
      <c r="D1362" s="10">
        <v>45736</v>
      </c>
      <c r="E1362" s="11" t="str">
        <f>+HYPERLINK("http://trademark.i-assist.jp/data/china/image_1928th/82690140.pdf","82690140")</f>
        <v>82690140</v>
      </c>
      <c r="F1362" s="9" t="s">
        <v>3827</v>
      </c>
      <c r="G1362" s="12" t="s">
        <v>3828</v>
      </c>
      <c r="H1362" s="9" t="s">
        <v>3829</v>
      </c>
      <c r="I1362" s="10">
        <v>45647</v>
      </c>
    </row>
    <row r="1363" spans="1:9" x14ac:dyDescent="0.15">
      <c r="A1363" s="9">
        <v>1362</v>
      </c>
      <c r="B1363" s="9" t="s">
        <v>9</v>
      </c>
      <c r="C1363" s="9">
        <v>1928</v>
      </c>
      <c r="D1363" s="10">
        <v>45736</v>
      </c>
      <c r="E1363" s="11" t="str">
        <f>+HYPERLINK("http://trademark.i-assist.jp/data/china/image_1928th/82690497.pdf","82690497")</f>
        <v>82690497</v>
      </c>
      <c r="F1363" s="9" t="s">
        <v>3830</v>
      </c>
      <c r="G1363" s="9" t="s">
        <v>2341</v>
      </c>
      <c r="H1363" s="9" t="s">
        <v>3831</v>
      </c>
      <c r="I1363" s="10">
        <v>45647</v>
      </c>
    </row>
    <row r="1364" spans="1:9" x14ac:dyDescent="0.15">
      <c r="A1364" s="9">
        <v>1363</v>
      </c>
      <c r="B1364" s="9" t="s">
        <v>9</v>
      </c>
      <c r="C1364" s="9">
        <v>1928</v>
      </c>
      <c r="D1364" s="10">
        <v>45736</v>
      </c>
      <c r="E1364" s="11" t="str">
        <f>+HYPERLINK("http://trademark.i-assist.jp/data/china/image_1928th/82690598.pdf","82690598")</f>
        <v>82690598</v>
      </c>
      <c r="F1364" s="12" t="s">
        <v>3832</v>
      </c>
      <c r="G1364" s="9" t="s">
        <v>3833</v>
      </c>
      <c r="H1364" s="9" t="s">
        <v>3834</v>
      </c>
      <c r="I1364" s="10">
        <v>45647</v>
      </c>
    </row>
    <row r="1365" spans="1:9" x14ac:dyDescent="0.15">
      <c r="A1365" s="9">
        <v>1364</v>
      </c>
      <c r="B1365" s="9" t="s">
        <v>9</v>
      </c>
      <c r="C1365" s="9">
        <v>1928</v>
      </c>
      <c r="D1365" s="10">
        <v>45736</v>
      </c>
      <c r="E1365" s="11" t="str">
        <f>+HYPERLINK("http://trademark.i-assist.jp/data/china/image_1928th/82690736.pdf","82690736")</f>
        <v>82690736</v>
      </c>
      <c r="F1365" s="12" t="s">
        <v>3835</v>
      </c>
      <c r="G1365" s="9" t="s">
        <v>3836</v>
      </c>
      <c r="H1365" s="9" t="s">
        <v>3837</v>
      </c>
      <c r="I1365" s="10">
        <v>45647</v>
      </c>
    </row>
    <row r="1366" spans="1:9" x14ac:dyDescent="0.15">
      <c r="A1366" s="9">
        <v>1365</v>
      </c>
      <c r="B1366" s="9" t="s">
        <v>9</v>
      </c>
      <c r="C1366" s="9">
        <v>1928</v>
      </c>
      <c r="D1366" s="10">
        <v>45736</v>
      </c>
      <c r="E1366" s="11" t="str">
        <f>+HYPERLINK("http://trademark.i-assist.jp/data/china/image_1928th/82690934.pdf","82690934")</f>
        <v>82690934</v>
      </c>
      <c r="F1366" s="12" t="s">
        <v>18</v>
      </c>
      <c r="G1366" s="9" t="s">
        <v>3838</v>
      </c>
      <c r="H1366" s="9" t="s">
        <v>3839</v>
      </c>
      <c r="I1366" s="10">
        <v>45647</v>
      </c>
    </row>
    <row r="1367" spans="1:9" x14ac:dyDescent="0.15">
      <c r="A1367" s="9">
        <v>1366</v>
      </c>
      <c r="B1367" s="9" t="s">
        <v>9</v>
      </c>
      <c r="C1367" s="9">
        <v>1928</v>
      </c>
      <c r="D1367" s="10">
        <v>45736</v>
      </c>
      <c r="E1367" s="11" t="str">
        <f>+HYPERLINK("http://trademark.i-assist.jp/data/china/image_1928th/82691182.pdf","82691182")</f>
        <v>82691182</v>
      </c>
      <c r="F1367" s="9" t="s">
        <v>3840</v>
      </c>
      <c r="G1367" s="9" t="s">
        <v>3841</v>
      </c>
      <c r="H1367" s="12" t="s">
        <v>3842</v>
      </c>
      <c r="I1367" s="10">
        <v>45647</v>
      </c>
    </row>
    <row r="1368" spans="1:9" x14ac:dyDescent="0.15">
      <c r="A1368" s="9">
        <v>1367</v>
      </c>
      <c r="B1368" s="9" t="s">
        <v>9</v>
      </c>
      <c r="C1368" s="9">
        <v>1928</v>
      </c>
      <c r="D1368" s="10">
        <v>45736</v>
      </c>
      <c r="E1368" s="11" t="str">
        <f>+HYPERLINK("http://trademark.i-assist.jp/data/china/image_1928th/82691270.pdf","82691270")</f>
        <v>82691270</v>
      </c>
      <c r="F1368" s="9" t="s">
        <v>3843</v>
      </c>
      <c r="G1368" s="9" t="s">
        <v>3844</v>
      </c>
      <c r="H1368" s="9" t="s">
        <v>3845</v>
      </c>
      <c r="I1368" s="10">
        <v>45647</v>
      </c>
    </row>
    <row r="1369" spans="1:9" x14ac:dyDescent="0.15">
      <c r="A1369" s="9">
        <v>1368</v>
      </c>
      <c r="B1369" s="9" t="s">
        <v>9</v>
      </c>
      <c r="C1369" s="9">
        <v>1928</v>
      </c>
      <c r="D1369" s="10">
        <v>45736</v>
      </c>
      <c r="E1369" s="11" t="str">
        <f>+HYPERLINK("http://trademark.i-assist.jp/data/china/image_1928th/82691697.pdf","82691697")</f>
        <v>82691697</v>
      </c>
      <c r="F1369" s="9" t="s">
        <v>3846</v>
      </c>
      <c r="G1369" s="12" t="s">
        <v>3847</v>
      </c>
      <c r="H1369" s="9" t="s">
        <v>3848</v>
      </c>
      <c r="I1369" s="10">
        <v>45647</v>
      </c>
    </row>
    <row r="1370" spans="1:9" x14ac:dyDescent="0.15">
      <c r="A1370" s="9">
        <v>1369</v>
      </c>
      <c r="B1370" s="9" t="s">
        <v>9</v>
      </c>
      <c r="C1370" s="9">
        <v>1928</v>
      </c>
      <c r="D1370" s="10">
        <v>45736</v>
      </c>
      <c r="E1370" s="11" t="str">
        <f>+HYPERLINK("http://trademark.i-assist.jp/data/china/image_1928th/82692062.pdf","82692062")</f>
        <v>82692062</v>
      </c>
      <c r="F1370" s="9" t="s">
        <v>3849</v>
      </c>
      <c r="G1370" s="9" t="s">
        <v>3850</v>
      </c>
      <c r="H1370" s="12" t="s">
        <v>3851</v>
      </c>
      <c r="I1370" s="10">
        <v>45647</v>
      </c>
    </row>
    <row r="1371" spans="1:9" x14ac:dyDescent="0.15">
      <c r="A1371" s="9">
        <v>1370</v>
      </c>
      <c r="B1371" s="9" t="s">
        <v>9</v>
      </c>
      <c r="C1371" s="9">
        <v>1928</v>
      </c>
      <c r="D1371" s="10">
        <v>45736</v>
      </c>
      <c r="E1371" s="11" t="str">
        <f>+HYPERLINK("http://trademark.i-assist.jp/data/china/image_1928th/82692160.pdf","82692160")</f>
        <v>82692160</v>
      </c>
      <c r="F1371" s="9" t="s">
        <v>3852</v>
      </c>
      <c r="G1371" s="9" t="s">
        <v>3853</v>
      </c>
      <c r="H1371" s="9" t="s">
        <v>3854</v>
      </c>
      <c r="I1371" s="10">
        <v>45647</v>
      </c>
    </row>
    <row r="1372" spans="1:9" x14ac:dyDescent="0.15">
      <c r="A1372" s="9">
        <v>1371</v>
      </c>
      <c r="B1372" s="9" t="s">
        <v>9</v>
      </c>
      <c r="C1372" s="9">
        <v>1928</v>
      </c>
      <c r="D1372" s="10">
        <v>45736</v>
      </c>
      <c r="E1372" s="11" t="str">
        <f>+HYPERLINK("http://trademark.i-assist.jp/data/china/image_1928th/82692266.pdf","82692266")</f>
        <v>82692266</v>
      </c>
      <c r="F1372" s="12" t="s">
        <v>3855</v>
      </c>
      <c r="G1372" s="9" t="s">
        <v>3856</v>
      </c>
      <c r="H1372" s="9" t="s">
        <v>3857</v>
      </c>
      <c r="I1372" s="10">
        <v>45647</v>
      </c>
    </row>
    <row r="1373" spans="1:9" x14ac:dyDescent="0.15">
      <c r="A1373" s="9">
        <v>1372</v>
      </c>
      <c r="B1373" s="9" t="s">
        <v>9</v>
      </c>
      <c r="C1373" s="9">
        <v>1928</v>
      </c>
      <c r="D1373" s="10">
        <v>45736</v>
      </c>
      <c r="E1373" s="11" t="str">
        <f>+HYPERLINK("http://trademark.i-assist.jp/data/china/image_1928th/82693021.pdf","82693021")</f>
        <v>82693021</v>
      </c>
      <c r="F1373" s="9" t="s">
        <v>3858</v>
      </c>
      <c r="G1373" s="9" t="s">
        <v>3859</v>
      </c>
      <c r="H1373" s="9" t="s">
        <v>3860</v>
      </c>
      <c r="I1373" s="10">
        <v>45648</v>
      </c>
    </row>
    <row r="1374" spans="1:9" x14ac:dyDescent="0.15">
      <c r="A1374" s="9">
        <v>1373</v>
      </c>
      <c r="B1374" s="9" t="s">
        <v>9</v>
      </c>
      <c r="C1374" s="9">
        <v>1928</v>
      </c>
      <c r="D1374" s="10">
        <v>45736</v>
      </c>
      <c r="E1374" s="11" t="str">
        <f>+HYPERLINK("http://trademark.i-assist.jp/data/china/image_1928th/82693605.pdf","82693605")</f>
        <v>82693605</v>
      </c>
      <c r="F1374" s="9" t="s">
        <v>3861</v>
      </c>
      <c r="G1374" s="9" t="s">
        <v>3862</v>
      </c>
      <c r="H1374" s="9" t="s">
        <v>3863</v>
      </c>
      <c r="I1374" s="10">
        <v>45648</v>
      </c>
    </row>
    <row r="1375" spans="1:9" x14ac:dyDescent="0.15">
      <c r="A1375" s="9">
        <v>1374</v>
      </c>
      <c r="B1375" s="9" t="s">
        <v>9</v>
      </c>
      <c r="C1375" s="9">
        <v>1928</v>
      </c>
      <c r="D1375" s="10">
        <v>45736</v>
      </c>
      <c r="E1375" s="11" t="str">
        <f>+HYPERLINK("http://trademark.i-assist.jp/data/china/image_1928th/82693762.pdf","82693762")</f>
        <v>82693762</v>
      </c>
      <c r="F1375" s="12" t="s">
        <v>3864</v>
      </c>
      <c r="G1375" s="12" t="s">
        <v>3865</v>
      </c>
      <c r="H1375" s="12" t="s">
        <v>3866</v>
      </c>
      <c r="I1375" s="10">
        <v>45648</v>
      </c>
    </row>
    <row r="1376" spans="1:9" x14ac:dyDescent="0.15">
      <c r="A1376" s="9">
        <v>1375</v>
      </c>
      <c r="B1376" s="9" t="s">
        <v>9</v>
      </c>
      <c r="C1376" s="9">
        <v>1928</v>
      </c>
      <c r="D1376" s="10">
        <v>45736</v>
      </c>
      <c r="E1376" s="11" t="str">
        <f>+HYPERLINK("http://trademark.i-assist.jp/data/china/image_1928th/82693788.pdf","82693788")</f>
        <v>82693788</v>
      </c>
      <c r="F1376" s="9" t="s">
        <v>3867</v>
      </c>
      <c r="G1376" s="12" t="s">
        <v>3868</v>
      </c>
      <c r="H1376" s="9" t="s">
        <v>3869</v>
      </c>
      <c r="I1376" s="10">
        <v>45648</v>
      </c>
    </row>
    <row r="1377" spans="1:9" x14ac:dyDescent="0.15">
      <c r="A1377" s="9">
        <v>1376</v>
      </c>
      <c r="B1377" s="9" t="s">
        <v>9</v>
      </c>
      <c r="C1377" s="9">
        <v>1928</v>
      </c>
      <c r="D1377" s="10">
        <v>45736</v>
      </c>
      <c r="E1377" s="11" t="str">
        <f>+HYPERLINK("http://trademark.i-assist.jp/data/china/image_1928th/82693998.pdf","82693998")</f>
        <v>82693998</v>
      </c>
      <c r="F1377" s="9" t="s">
        <v>3870</v>
      </c>
      <c r="G1377" s="9" t="s">
        <v>3871</v>
      </c>
      <c r="H1377" s="9" t="s">
        <v>3872</v>
      </c>
      <c r="I1377" s="10">
        <v>45648</v>
      </c>
    </row>
    <row r="1378" spans="1:9" x14ac:dyDescent="0.15">
      <c r="A1378" s="9">
        <v>1377</v>
      </c>
      <c r="B1378" s="9" t="s">
        <v>9</v>
      </c>
      <c r="C1378" s="9">
        <v>1928</v>
      </c>
      <c r="D1378" s="10">
        <v>45736</v>
      </c>
      <c r="E1378" s="11" t="str">
        <f>+HYPERLINK("http://trademark.i-assist.jp/data/china/image_1928th/82694102.pdf","82694102")</f>
        <v>82694102</v>
      </c>
      <c r="F1378" s="9" t="s">
        <v>3873</v>
      </c>
      <c r="G1378" s="9" t="s">
        <v>3874</v>
      </c>
      <c r="H1378" s="9" t="s">
        <v>3875</v>
      </c>
      <c r="I1378" s="10">
        <v>45648</v>
      </c>
    </row>
    <row r="1379" spans="1:9" x14ac:dyDescent="0.15">
      <c r="A1379" s="9">
        <v>1378</v>
      </c>
      <c r="B1379" s="9" t="s">
        <v>9</v>
      </c>
      <c r="C1379" s="9">
        <v>1928</v>
      </c>
      <c r="D1379" s="10">
        <v>45736</v>
      </c>
      <c r="E1379" s="11" t="str">
        <f>+HYPERLINK("http://trademark.i-assist.jp/data/china/image_1928th/82694198.pdf","82694198")</f>
        <v>82694198</v>
      </c>
      <c r="F1379" s="9" t="s">
        <v>3876</v>
      </c>
      <c r="G1379" s="9" t="s">
        <v>3862</v>
      </c>
      <c r="H1379" s="9" t="s">
        <v>3877</v>
      </c>
      <c r="I1379" s="10">
        <v>45648</v>
      </c>
    </row>
    <row r="1380" spans="1:9" x14ac:dyDescent="0.15">
      <c r="A1380" s="9">
        <v>1379</v>
      </c>
      <c r="B1380" s="9" t="s">
        <v>9</v>
      </c>
      <c r="C1380" s="9">
        <v>1928</v>
      </c>
      <c r="D1380" s="10">
        <v>45736</v>
      </c>
      <c r="E1380" s="11" t="str">
        <f>+HYPERLINK("http://trademark.i-assist.jp/data/china/image_1928th/82694234.pdf","82694234")</f>
        <v>82694234</v>
      </c>
      <c r="F1380" s="12" t="s">
        <v>3878</v>
      </c>
      <c r="G1380" s="9" t="s">
        <v>3879</v>
      </c>
      <c r="H1380" s="9" t="s">
        <v>3880</v>
      </c>
      <c r="I1380" s="10">
        <v>45648</v>
      </c>
    </row>
    <row r="1381" spans="1:9" x14ac:dyDescent="0.15">
      <c r="A1381" s="9">
        <v>1380</v>
      </c>
      <c r="B1381" s="9" t="s">
        <v>9</v>
      </c>
      <c r="C1381" s="9">
        <v>1928</v>
      </c>
      <c r="D1381" s="10">
        <v>45736</v>
      </c>
      <c r="E1381" s="11" t="str">
        <f>+HYPERLINK("http://trademark.i-assist.jp/data/china/image_1928th/82694333.pdf","82694333")</f>
        <v>82694333</v>
      </c>
      <c r="F1381" s="9" t="s">
        <v>3881</v>
      </c>
      <c r="G1381" s="9" t="s">
        <v>3882</v>
      </c>
      <c r="H1381" s="9" t="s">
        <v>3883</v>
      </c>
      <c r="I1381" s="10">
        <v>45648</v>
      </c>
    </row>
    <row r="1382" spans="1:9" x14ac:dyDescent="0.15">
      <c r="A1382" s="9">
        <v>1381</v>
      </c>
      <c r="B1382" s="9" t="s">
        <v>9</v>
      </c>
      <c r="C1382" s="9">
        <v>1928</v>
      </c>
      <c r="D1382" s="10">
        <v>45736</v>
      </c>
      <c r="E1382" s="11" t="str">
        <f>+HYPERLINK("http://trademark.i-assist.jp/data/china/image_1928th/82694373.pdf","82694373")</f>
        <v>82694373</v>
      </c>
      <c r="F1382" s="9" t="s">
        <v>3884</v>
      </c>
      <c r="G1382" s="9" t="s">
        <v>3885</v>
      </c>
      <c r="H1382" s="9" t="s">
        <v>3886</v>
      </c>
      <c r="I1382" s="10">
        <v>45648</v>
      </c>
    </row>
    <row r="1383" spans="1:9" x14ac:dyDescent="0.15">
      <c r="A1383" s="9">
        <v>1382</v>
      </c>
      <c r="B1383" s="9" t="s">
        <v>9</v>
      </c>
      <c r="C1383" s="9">
        <v>1928</v>
      </c>
      <c r="D1383" s="10">
        <v>45736</v>
      </c>
      <c r="E1383" s="11" t="str">
        <f>+HYPERLINK("http://trademark.i-assist.jp/data/china/image_1928th/82694534.pdf","82694534")</f>
        <v>82694534</v>
      </c>
      <c r="F1383" s="9" t="s">
        <v>3887</v>
      </c>
      <c r="G1383" s="12" t="s">
        <v>3888</v>
      </c>
      <c r="H1383" s="9" t="s">
        <v>3889</v>
      </c>
      <c r="I1383" s="10">
        <v>45648</v>
      </c>
    </row>
    <row r="1384" spans="1:9" x14ac:dyDescent="0.15">
      <c r="A1384" s="9">
        <v>1383</v>
      </c>
      <c r="B1384" s="9" t="s">
        <v>9</v>
      </c>
      <c r="C1384" s="9">
        <v>1928</v>
      </c>
      <c r="D1384" s="10">
        <v>45736</v>
      </c>
      <c r="E1384" s="11" t="str">
        <f>+HYPERLINK("http://trademark.i-assist.jp/data/china/image_1928th/82694832.pdf","82694832")</f>
        <v>82694832</v>
      </c>
      <c r="F1384" s="9" t="s">
        <v>3890</v>
      </c>
      <c r="G1384" s="9" t="s">
        <v>3891</v>
      </c>
      <c r="H1384" s="9" t="s">
        <v>3892</v>
      </c>
      <c r="I1384" s="10">
        <v>45648</v>
      </c>
    </row>
    <row r="1385" spans="1:9" x14ac:dyDescent="0.15">
      <c r="A1385" s="9">
        <v>1384</v>
      </c>
      <c r="B1385" s="9" t="s">
        <v>9</v>
      </c>
      <c r="C1385" s="9">
        <v>1928</v>
      </c>
      <c r="D1385" s="10">
        <v>45736</v>
      </c>
      <c r="E1385" s="11" t="str">
        <f>+HYPERLINK("http://trademark.i-assist.jp/data/china/image_1928th/82694897.pdf","82694897")</f>
        <v>82694897</v>
      </c>
      <c r="F1385" s="9" t="s">
        <v>3893</v>
      </c>
      <c r="G1385" s="9" t="s">
        <v>3885</v>
      </c>
      <c r="H1385" s="9" t="s">
        <v>3894</v>
      </c>
      <c r="I1385" s="10">
        <v>45648</v>
      </c>
    </row>
    <row r="1386" spans="1:9" x14ac:dyDescent="0.15">
      <c r="A1386" s="9">
        <v>1385</v>
      </c>
      <c r="B1386" s="9" t="s">
        <v>9</v>
      </c>
      <c r="C1386" s="9">
        <v>1928</v>
      </c>
      <c r="D1386" s="10">
        <v>45736</v>
      </c>
      <c r="E1386" s="11" t="str">
        <f>+HYPERLINK("http://trademark.i-assist.jp/data/china/image_1928th/82695032.pdf","82695032")</f>
        <v>82695032</v>
      </c>
      <c r="F1386" s="9" t="s">
        <v>3895</v>
      </c>
      <c r="G1386" s="9" t="s">
        <v>3896</v>
      </c>
      <c r="H1386" s="12" t="s">
        <v>3897</v>
      </c>
      <c r="I1386" s="10">
        <v>45648</v>
      </c>
    </row>
    <row r="1387" spans="1:9" x14ac:dyDescent="0.15">
      <c r="A1387" s="9">
        <v>1386</v>
      </c>
      <c r="B1387" s="9" t="s">
        <v>9</v>
      </c>
      <c r="C1387" s="9">
        <v>1928</v>
      </c>
      <c r="D1387" s="10">
        <v>45736</v>
      </c>
      <c r="E1387" s="11" t="str">
        <f>+HYPERLINK("http://trademark.i-assist.jp/data/china/image_1928th/82695264.pdf","82695264")</f>
        <v>82695264</v>
      </c>
      <c r="F1387" s="9" t="s">
        <v>3898</v>
      </c>
      <c r="G1387" s="9" t="s">
        <v>3885</v>
      </c>
      <c r="H1387" s="9" t="s">
        <v>3899</v>
      </c>
      <c r="I1387" s="10">
        <v>45648</v>
      </c>
    </row>
    <row r="1388" spans="1:9" x14ac:dyDescent="0.15">
      <c r="A1388" s="9">
        <v>1387</v>
      </c>
      <c r="B1388" s="9" t="s">
        <v>9</v>
      </c>
      <c r="C1388" s="9">
        <v>1928</v>
      </c>
      <c r="D1388" s="10">
        <v>45736</v>
      </c>
      <c r="E1388" s="11" t="str">
        <f>+HYPERLINK("http://trademark.i-assist.jp/data/china/image_1928th/82695350.pdf","82695350")</f>
        <v>82695350</v>
      </c>
      <c r="F1388" s="9" t="s">
        <v>3900</v>
      </c>
      <c r="G1388" s="9" t="s">
        <v>3901</v>
      </c>
      <c r="H1388" s="9" t="s">
        <v>3902</v>
      </c>
      <c r="I1388" s="10">
        <v>45648</v>
      </c>
    </row>
    <row r="1389" spans="1:9" x14ac:dyDescent="0.15">
      <c r="A1389" s="9">
        <v>1388</v>
      </c>
      <c r="B1389" s="9" t="s">
        <v>9</v>
      </c>
      <c r="C1389" s="9">
        <v>1928</v>
      </c>
      <c r="D1389" s="10">
        <v>45736</v>
      </c>
      <c r="E1389" s="11" t="str">
        <f>+HYPERLINK("http://trademark.i-assist.jp/data/china/image_1928th/82695710.pdf","82695710")</f>
        <v>82695710</v>
      </c>
      <c r="F1389" s="12" t="s">
        <v>18</v>
      </c>
      <c r="G1389" s="9" t="s">
        <v>3903</v>
      </c>
      <c r="H1389" s="9" t="s">
        <v>3904</v>
      </c>
      <c r="I1389" s="10">
        <v>45648</v>
      </c>
    </row>
    <row r="1390" spans="1:9" x14ac:dyDescent="0.15">
      <c r="A1390" s="9">
        <v>1389</v>
      </c>
      <c r="B1390" s="9" t="s">
        <v>9</v>
      </c>
      <c r="C1390" s="9">
        <v>1928</v>
      </c>
      <c r="D1390" s="10">
        <v>45736</v>
      </c>
      <c r="E1390" s="11" t="str">
        <f>+HYPERLINK("http://trademark.i-assist.jp/data/china/image_1928th/82696797.pdf","82696797")</f>
        <v>82696797</v>
      </c>
      <c r="F1390" s="9" t="s">
        <v>3905</v>
      </c>
      <c r="G1390" s="9" t="s">
        <v>3906</v>
      </c>
      <c r="H1390" s="9" t="s">
        <v>3907</v>
      </c>
      <c r="I1390" s="10">
        <v>45649</v>
      </c>
    </row>
    <row r="1391" spans="1:9" x14ac:dyDescent="0.15">
      <c r="A1391" s="9">
        <v>1390</v>
      </c>
      <c r="B1391" s="9" t="s">
        <v>9</v>
      </c>
      <c r="C1391" s="9">
        <v>1928</v>
      </c>
      <c r="D1391" s="10">
        <v>45736</v>
      </c>
      <c r="E1391" s="11" t="str">
        <f>+HYPERLINK("http://trademark.i-assist.jp/data/china/image_1928th/82697322.pdf","82697322")</f>
        <v>82697322</v>
      </c>
      <c r="F1391" s="9" t="s">
        <v>3908</v>
      </c>
      <c r="G1391" s="9" t="s">
        <v>3909</v>
      </c>
      <c r="H1391" s="9" t="s">
        <v>3910</v>
      </c>
      <c r="I1391" s="10">
        <v>45649</v>
      </c>
    </row>
    <row r="1392" spans="1:9" x14ac:dyDescent="0.15">
      <c r="A1392" s="9">
        <v>1391</v>
      </c>
      <c r="B1392" s="9" t="s">
        <v>9</v>
      </c>
      <c r="C1392" s="9">
        <v>1928</v>
      </c>
      <c r="D1392" s="10">
        <v>45736</v>
      </c>
      <c r="E1392" s="11" t="str">
        <f>+HYPERLINK("http://trademark.i-assist.jp/data/china/image_1928th/82697734.pdf","82697734")</f>
        <v>82697734</v>
      </c>
      <c r="F1392" s="12" t="s">
        <v>3911</v>
      </c>
      <c r="G1392" s="9" t="s">
        <v>3912</v>
      </c>
      <c r="H1392" s="12" t="s">
        <v>3913</v>
      </c>
      <c r="I1392" s="10">
        <v>45649</v>
      </c>
    </row>
    <row r="1393" spans="1:9" x14ac:dyDescent="0.15">
      <c r="A1393" s="9">
        <v>1392</v>
      </c>
      <c r="B1393" s="9" t="s">
        <v>9</v>
      </c>
      <c r="C1393" s="9">
        <v>1928</v>
      </c>
      <c r="D1393" s="10">
        <v>45736</v>
      </c>
      <c r="E1393" s="11" t="str">
        <f>+HYPERLINK("http://trademark.i-assist.jp/data/china/image_1928th/82698484.pdf","82698484")</f>
        <v>82698484</v>
      </c>
      <c r="F1393" s="12" t="s">
        <v>3914</v>
      </c>
      <c r="G1393" s="9" t="s">
        <v>3915</v>
      </c>
      <c r="H1393" s="9" t="s">
        <v>3916</v>
      </c>
      <c r="I1393" s="10">
        <v>45649</v>
      </c>
    </row>
    <row r="1394" spans="1:9" x14ac:dyDescent="0.15">
      <c r="A1394" s="9">
        <v>1393</v>
      </c>
      <c r="B1394" s="9" t="s">
        <v>9</v>
      </c>
      <c r="C1394" s="9">
        <v>1928</v>
      </c>
      <c r="D1394" s="10">
        <v>45736</v>
      </c>
      <c r="E1394" s="11" t="str">
        <f>+HYPERLINK("http://trademark.i-assist.jp/data/china/image_1928th/82698595.pdf","82698595")</f>
        <v>82698595</v>
      </c>
      <c r="F1394" s="9" t="s">
        <v>3917</v>
      </c>
      <c r="G1394" s="9" t="s">
        <v>3918</v>
      </c>
      <c r="H1394" s="12" t="s">
        <v>3919</v>
      </c>
      <c r="I1394" s="10">
        <v>45649</v>
      </c>
    </row>
    <row r="1395" spans="1:9" x14ac:dyDescent="0.15">
      <c r="A1395" s="9">
        <v>1394</v>
      </c>
      <c r="B1395" s="9" t="s">
        <v>9</v>
      </c>
      <c r="C1395" s="9">
        <v>1928</v>
      </c>
      <c r="D1395" s="10">
        <v>45736</v>
      </c>
      <c r="E1395" s="11" t="str">
        <f>+HYPERLINK("http://trademark.i-assist.jp/data/china/image_1928th/82698973.pdf","82698973")</f>
        <v>82698973</v>
      </c>
      <c r="F1395" s="12" t="s">
        <v>3920</v>
      </c>
      <c r="G1395" s="12" t="s">
        <v>3921</v>
      </c>
      <c r="H1395" s="9" t="s">
        <v>3922</v>
      </c>
      <c r="I1395" s="10">
        <v>45649</v>
      </c>
    </row>
    <row r="1396" spans="1:9" x14ac:dyDescent="0.15">
      <c r="A1396" s="9">
        <v>1395</v>
      </c>
      <c r="B1396" s="9" t="s">
        <v>9</v>
      </c>
      <c r="C1396" s="9">
        <v>1928</v>
      </c>
      <c r="D1396" s="10">
        <v>45736</v>
      </c>
      <c r="E1396" s="11" t="str">
        <f>+HYPERLINK("http://trademark.i-assist.jp/data/china/image_1928th/82699395.pdf","82699395")</f>
        <v>82699395</v>
      </c>
      <c r="F1396" s="9" t="s">
        <v>3923</v>
      </c>
      <c r="G1396" s="9" t="s">
        <v>3924</v>
      </c>
      <c r="H1396" s="9" t="s">
        <v>3925</v>
      </c>
      <c r="I1396" s="10">
        <v>45649</v>
      </c>
    </row>
    <row r="1397" spans="1:9" x14ac:dyDescent="0.15">
      <c r="A1397" s="9">
        <v>1396</v>
      </c>
      <c r="B1397" s="9" t="s">
        <v>9</v>
      </c>
      <c r="C1397" s="9">
        <v>1928</v>
      </c>
      <c r="D1397" s="10">
        <v>45736</v>
      </c>
      <c r="E1397" s="11" t="str">
        <f>+HYPERLINK("http://trademark.i-assist.jp/data/china/image_1928th/82699407.pdf","82699407")</f>
        <v>82699407</v>
      </c>
      <c r="F1397" s="9" t="s">
        <v>3926</v>
      </c>
      <c r="G1397" s="9" t="s">
        <v>3924</v>
      </c>
      <c r="H1397" s="9" t="s">
        <v>3927</v>
      </c>
      <c r="I1397" s="10">
        <v>45649</v>
      </c>
    </row>
    <row r="1398" spans="1:9" x14ac:dyDescent="0.15">
      <c r="A1398" s="9">
        <v>1397</v>
      </c>
      <c r="B1398" s="9" t="s">
        <v>9</v>
      </c>
      <c r="C1398" s="9">
        <v>1928</v>
      </c>
      <c r="D1398" s="10">
        <v>45736</v>
      </c>
      <c r="E1398" s="11" t="str">
        <f>+HYPERLINK("http://trademark.i-assist.jp/data/china/image_1928th/82699557.pdf","82699557")</f>
        <v>82699557</v>
      </c>
      <c r="F1398" s="9" t="s">
        <v>3928</v>
      </c>
      <c r="G1398" s="9" t="s">
        <v>3929</v>
      </c>
      <c r="H1398" s="9" t="s">
        <v>3930</v>
      </c>
      <c r="I1398" s="10">
        <v>45649</v>
      </c>
    </row>
    <row r="1399" spans="1:9" x14ac:dyDescent="0.15">
      <c r="A1399" s="9">
        <v>1398</v>
      </c>
      <c r="B1399" s="9" t="s">
        <v>9</v>
      </c>
      <c r="C1399" s="9">
        <v>1928</v>
      </c>
      <c r="D1399" s="10">
        <v>45736</v>
      </c>
      <c r="E1399" s="11" t="str">
        <f>+HYPERLINK("http://trademark.i-assist.jp/data/china/image_1928th/82699624.pdf","82699624")</f>
        <v>82699624</v>
      </c>
      <c r="F1399" s="12" t="s">
        <v>3931</v>
      </c>
      <c r="G1399" s="9" t="s">
        <v>3932</v>
      </c>
      <c r="H1399" s="9" t="s">
        <v>3933</v>
      </c>
      <c r="I1399" s="10">
        <v>45649</v>
      </c>
    </row>
    <row r="1400" spans="1:9" x14ac:dyDescent="0.15">
      <c r="A1400" s="9">
        <v>1399</v>
      </c>
      <c r="B1400" s="9" t="s">
        <v>9</v>
      </c>
      <c r="C1400" s="9">
        <v>1928</v>
      </c>
      <c r="D1400" s="10">
        <v>45736</v>
      </c>
      <c r="E1400" s="11" t="str">
        <f>+HYPERLINK("http://trademark.i-assist.jp/data/china/image_1928th/82699663.pdf","82699663")</f>
        <v>82699663</v>
      </c>
      <c r="F1400" s="9" t="s">
        <v>3934</v>
      </c>
      <c r="G1400" s="9" t="s">
        <v>3935</v>
      </c>
      <c r="H1400" s="9" t="s">
        <v>3936</v>
      </c>
      <c r="I1400" s="10">
        <v>45649</v>
      </c>
    </row>
    <row r="1401" spans="1:9" x14ac:dyDescent="0.15">
      <c r="A1401" s="9">
        <v>1400</v>
      </c>
      <c r="B1401" s="9" t="s">
        <v>9</v>
      </c>
      <c r="C1401" s="9">
        <v>1928</v>
      </c>
      <c r="D1401" s="10">
        <v>45736</v>
      </c>
      <c r="E1401" s="11" t="str">
        <f>+HYPERLINK("http://trademark.i-assist.jp/data/china/image_1928th/82699747.pdf","82699747")</f>
        <v>82699747</v>
      </c>
      <c r="F1401" s="12" t="s">
        <v>3937</v>
      </c>
      <c r="G1401" s="9" t="s">
        <v>2212</v>
      </c>
      <c r="H1401" s="9" t="s">
        <v>3938</v>
      </c>
      <c r="I1401" s="10">
        <v>45649</v>
      </c>
    </row>
    <row r="1402" spans="1:9" x14ac:dyDescent="0.15">
      <c r="A1402" s="9">
        <v>1401</v>
      </c>
      <c r="B1402" s="9" t="s">
        <v>9</v>
      </c>
      <c r="C1402" s="9">
        <v>1928</v>
      </c>
      <c r="D1402" s="10">
        <v>45736</v>
      </c>
      <c r="E1402" s="11" t="str">
        <f>+HYPERLINK("http://trademark.i-assist.jp/data/china/image_1928th/82699852.pdf","82699852")</f>
        <v>82699852</v>
      </c>
      <c r="F1402" s="9" t="s">
        <v>3939</v>
      </c>
      <c r="G1402" s="9" t="s">
        <v>3940</v>
      </c>
      <c r="H1402" s="9" t="s">
        <v>3941</v>
      </c>
      <c r="I1402" s="10">
        <v>45649</v>
      </c>
    </row>
    <row r="1403" spans="1:9" x14ac:dyDescent="0.15">
      <c r="A1403" s="9">
        <v>1402</v>
      </c>
      <c r="B1403" s="9" t="s">
        <v>9</v>
      </c>
      <c r="C1403" s="9">
        <v>1928</v>
      </c>
      <c r="D1403" s="10">
        <v>45736</v>
      </c>
      <c r="E1403" s="11" t="str">
        <f>+HYPERLINK("http://trademark.i-assist.jp/data/china/image_1928th/82700068.pdf","82700068")</f>
        <v>82700068</v>
      </c>
      <c r="F1403" s="12" t="s">
        <v>3942</v>
      </c>
      <c r="G1403" s="9" t="s">
        <v>3943</v>
      </c>
      <c r="H1403" s="9" t="s">
        <v>3944</v>
      </c>
      <c r="I1403" s="10">
        <v>45649</v>
      </c>
    </row>
    <row r="1404" spans="1:9" x14ac:dyDescent="0.15">
      <c r="A1404" s="9">
        <v>1403</v>
      </c>
      <c r="B1404" s="9" t="s">
        <v>9</v>
      </c>
      <c r="C1404" s="9">
        <v>1928</v>
      </c>
      <c r="D1404" s="10">
        <v>45736</v>
      </c>
      <c r="E1404" s="11" t="str">
        <f>+HYPERLINK("http://trademark.i-assist.jp/data/china/image_1928th/82700225.pdf","82700225")</f>
        <v>82700225</v>
      </c>
      <c r="F1404" s="12" t="s">
        <v>3945</v>
      </c>
      <c r="G1404" s="9" t="s">
        <v>3946</v>
      </c>
      <c r="H1404" s="9" t="s">
        <v>3947</v>
      </c>
      <c r="I1404" s="10">
        <v>45649</v>
      </c>
    </row>
    <row r="1405" spans="1:9" x14ac:dyDescent="0.15">
      <c r="A1405" s="9">
        <v>1404</v>
      </c>
      <c r="B1405" s="9" t="s">
        <v>9</v>
      </c>
      <c r="C1405" s="9">
        <v>1928</v>
      </c>
      <c r="D1405" s="10">
        <v>45736</v>
      </c>
      <c r="E1405" s="11" t="str">
        <f>+HYPERLINK("http://trademark.i-assist.jp/data/china/image_1928th/82700241.pdf","82700241")</f>
        <v>82700241</v>
      </c>
      <c r="F1405" s="9" t="s">
        <v>3948</v>
      </c>
      <c r="G1405" s="9" t="s">
        <v>3949</v>
      </c>
      <c r="H1405" s="9" t="s">
        <v>3950</v>
      </c>
      <c r="I1405" s="10">
        <v>45649</v>
      </c>
    </row>
    <row r="1406" spans="1:9" x14ac:dyDescent="0.15">
      <c r="A1406" s="9">
        <v>1405</v>
      </c>
      <c r="B1406" s="9" t="s">
        <v>9</v>
      </c>
      <c r="C1406" s="9">
        <v>1928</v>
      </c>
      <c r="D1406" s="10">
        <v>45736</v>
      </c>
      <c r="E1406" s="11" t="str">
        <f>+HYPERLINK("http://trademark.i-assist.jp/data/china/image_1928th/82700698.pdf","82700698")</f>
        <v>82700698</v>
      </c>
      <c r="F1406" s="9" t="s">
        <v>3951</v>
      </c>
      <c r="G1406" s="9" t="s">
        <v>3952</v>
      </c>
      <c r="H1406" s="9" t="s">
        <v>3953</v>
      </c>
      <c r="I1406" s="10">
        <v>45649</v>
      </c>
    </row>
    <row r="1407" spans="1:9" x14ac:dyDescent="0.15">
      <c r="A1407" s="9">
        <v>1406</v>
      </c>
      <c r="B1407" s="9" t="s">
        <v>9</v>
      </c>
      <c r="C1407" s="9">
        <v>1928</v>
      </c>
      <c r="D1407" s="10">
        <v>45736</v>
      </c>
      <c r="E1407" s="11" t="str">
        <f>+HYPERLINK("http://trademark.i-assist.jp/data/china/image_1928th/82700782.pdf","82700782")</f>
        <v>82700782</v>
      </c>
      <c r="F1407" s="12" t="s">
        <v>3954</v>
      </c>
      <c r="G1407" s="9" t="s">
        <v>3955</v>
      </c>
      <c r="H1407" s="12" t="s">
        <v>3956</v>
      </c>
      <c r="I1407" s="10">
        <v>45649</v>
      </c>
    </row>
    <row r="1408" spans="1:9" x14ac:dyDescent="0.15">
      <c r="A1408" s="9">
        <v>1407</v>
      </c>
      <c r="B1408" s="9" t="s">
        <v>9</v>
      </c>
      <c r="C1408" s="9">
        <v>1928</v>
      </c>
      <c r="D1408" s="10">
        <v>45736</v>
      </c>
      <c r="E1408" s="11" t="str">
        <f>+HYPERLINK("http://trademark.i-assist.jp/data/china/image_1928th/82700901.pdf","82700901")</f>
        <v>82700901</v>
      </c>
      <c r="F1408" s="9" t="s">
        <v>3957</v>
      </c>
      <c r="G1408" s="9" t="s">
        <v>3958</v>
      </c>
      <c r="H1408" s="9" t="s">
        <v>3959</v>
      </c>
      <c r="I1408" s="10">
        <v>45649</v>
      </c>
    </row>
    <row r="1409" spans="1:9" x14ac:dyDescent="0.15">
      <c r="A1409" s="9">
        <v>1408</v>
      </c>
      <c r="B1409" s="9" t="s">
        <v>9</v>
      </c>
      <c r="C1409" s="9">
        <v>1928</v>
      </c>
      <c r="D1409" s="10">
        <v>45736</v>
      </c>
      <c r="E1409" s="11" t="str">
        <f>+HYPERLINK("http://trademark.i-assist.jp/data/china/image_1928th/82700992.pdf","82700992")</f>
        <v>82700992</v>
      </c>
      <c r="F1409" s="9" t="s">
        <v>3960</v>
      </c>
      <c r="G1409" s="12" t="s">
        <v>3961</v>
      </c>
      <c r="H1409" s="9" t="s">
        <v>3962</v>
      </c>
      <c r="I1409" s="10">
        <v>45649</v>
      </c>
    </row>
    <row r="1410" spans="1:9" x14ac:dyDescent="0.15">
      <c r="A1410" s="9">
        <v>1409</v>
      </c>
      <c r="B1410" s="9" t="s">
        <v>9</v>
      </c>
      <c r="C1410" s="9">
        <v>1928</v>
      </c>
      <c r="D1410" s="10">
        <v>45736</v>
      </c>
      <c r="E1410" s="11" t="str">
        <f>+HYPERLINK("http://trademark.i-assist.jp/data/china/image_1928th/82701088.pdf","82701088")</f>
        <v>82701088</v>
      </c>
      <c r="F1410" s="9" t="s">
        <v>3963</v>
      </c>
      <c r="G1410" s="9" t="s">
        <v>3964</v>
      </c>
      <c r="H1410" s="9" t="s">
        <v>3965</v>
      </c>
      <c r="I1410" s="10">
        <v>45649</v>
      </c>
    </row>
    <row r="1411" spans="1:9" x14ac:dyDescent="0.15">
      <c r="A1411" s="9">
        <v>1410</v>
      </c>
      <c r="B1411" s="9" t="s">
        <v>9</v>
      </c>
      <c r="C1411" s="9">
        <v>1928</v>
      </c>
      <c r="D1411" s="10">
        <v>45736</v>
      </c>
      <c r="E1411" s="11" t="str">
        <f>+HYPERLINK("http://trademark.i-assist.jp/data/china/image_1928th/82701333.pdf","82701333")</f>
        <v>82701333</v>
      </c>
      <c r="F1411" s="9" t="s">
        <v>3966</v>
      </c>
      <c r="G1411" s="9" t="s">
        <v>3967</v>
      </c>
      <c r="H1411" s="9" t="s">
        <v>3968</v>
      </c>
      <c r="I1411" s="10">
        <v>45649</v>
      </c>
    </row>
    <row r="1412" spans="1:9" x14ac:dyDescent="0.15">
      <c r="A1412" s="9">
        <v>1411</v>
      </c>
      <c r="B1412" s="9" t="s">
        <v>9</v>
      </c>
      <c r="C1412" s="9">
        <v>1928</v>
      </c>
      <c r="D1412" s="10">
        <v>45736</v>
      </c>
      <c r="E1412" s="11" t="str">
        <f>+HYPERLINK("http://trademark.i-assist.jp/data/china/image_1928th/82701943.pdf","82701943")</f>
        <v>82701943</v>
      </c>
      <c r="F1412" s="9" t="s">
        <v>3969</v>
      </c>
      <c r="G1412" s="9" t="s">
        <v>3970</v>
      </c>
      <c r="H1412" s="9" t="s">
        <v>3971</v>
      </c>
      <c r="I1412" s="10">
        <v>45649</v>
      </c>
    </row>
    <row r="1413" spans="1:9" x14ac:dyDescent="0.15">
      <c r="A1413" s="9">
        <v>1412</v>
      </c>
      <c r="B1413" s="9" t="s">
        <v>9</v>
      </c>
      <c r="C1413" s="9">
        <v>1928</v>
      </c>
      <c r="D1413" s="10">
        <v>45736</v>
      </c>
      <c r="E1413" s="11" t="str">
        <f>+HYPERLINK("http://trademark.i-assist.jp/data/china/image_1928th/82702019.pdf","82702019")</f>
        <v>82702019</v>
      </c>
      <c r="F1413" s="9" t="s">
        <v>3972</v>
      </c>
      <c r="G1413" s="9" t="s">
        <v>3973</v>
      </c>
      <c r="H1413" s="9" t="s">
        <v>3974</v>
      </c>
      <c r="I1413" s="10">
        <v>45649</v>
      </c>
    </row>
    <row r="1414" spans="1:9" x14ac:dyDescent="0.15">
      <c r="A1414" s="9">
        <v>1413</v>
      </c>
      <c r="B1414" s="9" t="s">
        <v>9</v>
      </c>
      <c r="C1414" s="9">
        <v>1928</v>
      </c>
      <c r="D1414" s="10">
        <v>45736</v>
      </c>
      <c r="E1414" s="11" t="str">
        <f>+HYPERLINK("http://trademark.i-assist.jp/data/china/image_1928th/82702295.pdf","82702295")</f>
        <v>82702295</v>
      </c>
      <c r="F1414" s="9" t="s">
        <v>3975</v>
      </c>
      <c r="G1414" s="9" t="s">
        <v>3976</v>
      </c>
      <c r="H1414" s="12" t="s">
        <v>3977</v>
      </c>
      <c r="I1414" s="10">
        <v>45649</v>
      </c>
    </row>
    <row r="1415" spans="1:9" x14ac:dyDescent="0.15">
      <c r="A1415" s="9">
        <v>1414</v>
      </c>
      <c r="B1415" s="9" t="s">
        <v>9</v>
      </c>
      <c r="C1415" s="9">
        <v>1928</v>
      </c>
      <c r="D1415" s="10">
        <v>45736</v>
      </c>
      <c r="E1415" s="11" t="str">
        <f>+HYPERLINK("http://trademark.i-assist.jp/data/china/image_1928th/82702477.pdf","82702477")</f>
        <v>82702477</v>
      </c>
      <c r="F1415" s="13" t="s">
        <v>3978</v>
      </c>
      <c r="G1415" s="9" t="s">
        <v>3979</v>
      </c>
      <c r="H1415" s="9" t="s">
        <v>3980</v>
      </c>
      <c r="I1415" s="10">
        <v>45649</v>
      </c>
    </row>
    <row r="1416" spans="1:9" x14ac:dyDescent="0.15">
      <c r="A1416" s="9">
        <v>1415</v>
      </c>
      <c r="B1416" s="9" t="s">
        <v>9</v>
      </c>
      <c r="C1416" s="9">
        <v>1928</v>
      </c>
      <c r="D1416" s="10">
        <v>45736</v>
      </c>
      <c r="E1416" s="11" t="str">
        <f>+HYPERLINK("http://trademark.i-assist.jp/data/china/image_1928th/82703107.pdf","82703107")</f>
        <v>82703107</v>
      </c>
      <c r="F1416" s="12" t="s">
        <v>3981</v>
      </c>
      <c r="G1416" s="9" t="s">
        <v>3982</v>
      </c>
      <c r="H1416" s="9" t="s">
        <v>3983</v>
      </c>
      <c r="I1416" s="10">
        <v>45649</v>
      </c>
    </row>
    <row r="1417" spans="1:9" x14ac:dyDescent="0.15">
      <c r="A1417" s="9">
        <v>1416</v>
      </c>
      <c r="B1417" s="9" t="s">
        <v>9</v>
      </c>
      <c r="C1417" s="9">
        <v>1928</v>
      </c>
      <c r="D1417" s="10">
        <v>45736</v>
      </c>
      <c r="E1417" s="11" t="str">
        <f>+HYPERLINK("http://trademark.i-assist.jp/data/china/image_1928th/82703112.pdf","82703112")</f>
        <v>82703112</v>
      </c>
      <c r="F1417" s="9" t="s">
        <v>3984</v>
      </c>
      <c r="G1417" s="9" t="s">
        <v>3985</v>
      </c>
      <c r="H1417" s="9" t="s">
        <v>3986</v>
      </c>
      <c r="I1417" s="10">
        <v>45649</v>
      </c>
    </row>
    <row r="1418" spans="1:9" x14ac:dyDescent="0.15">
      <c r="A1418" s="9">
        <v>1417</v>
      </c>
      <c r="B1418" s="9" t="s">
        <v>9</v>
      </c>
      <c r="C1418" s="9">
        <v>1928</v>
      </c>
      <c r="D1418" s="10">
        <v>45736</v>
      </c>
      <c r="E1418" s="11" t="str">
        <f>+HYPERLINK("http://trademark.i-assist.jp/data/china/image_1928th/82703174.pdf","82703174")</f>
        <v>82703174</v>
      </c>
      <c r="F1418" s="12" t="s">
        <v>3987</v>
      </c>
      <c r="G1418" s="9" t="s">
        <v>3988</v>
      </c>
      <c r="H1418" s="9" t="s">
        <v>3989</v>
      </c>
      <c r="I1418" s="10">
        <v>45649</v>
      </c>
    </row>
    <row r="1419" spans="1:9" x14ac:dyDescent="0.15">
      <c r="A1419" s="9">
        <v>1418</v>
      </c>
      <c r="B1419" s="9" t="s">
        <v>9</v>
      </c>
      <c r="C1419" s="9">
        <v>1928</v>
      </c>
      <c r="D1419" s="10">
        <v>45736</v>
      </c>
      <c r="E1419" s="11" t="str">
        <f>+HYPERLINK("http://trademark.i-assist.jp/data/china/image_1928th/82703286.pdf","82703286")</f>
        <v>82703286</v>
      </c>
      <c r="F1419" s="9" t="s">
        <v>3990</v>
      </c>
      <c r="G1419" s="12" t="s">
        <v>3991</v>
      </c>
      <c r="H1419" s="9" t="s">
        <v>3992</v>
      </c>
      <c r="I1419" s="10">
        <v>45649</v>
      </c>
    </row>
    <row r="1420" spans="1:9" x14ac:dyDescent="0.15">
      <c r="A1420" s="9">
        <v>1419</v>
      </c>
      <c r="B1420" s="9" t="s">
        <v>9</v>
      </c>
      <c r="C1420" s="9">
        <v>1928</v>
      </c>
      <c r="D1420" s="10">
        <v>45736</v>
      </c>
      <c r="E1420" s="11" t="str">
        <f>+HYPERLINK("http://trademark.i-assist.jp/data/china/image_1928th/82703529.pdf","82703529")</f>
        <v>82703529</v>
      </c>
      <c r="F1420" s="9" t="s">
        <v>3993</v>
      </c>
      <c r="G1420" s="9" t="s">
        <v>2212</v>
      </c>
      <c r="H1420" s="9" t="s">
        <v>3994</v>
      </c>
      <c r="I1420" s="10">
        <v>45649</v>
      </c>
    </row>
    <row r="1421" spans="1:9" x14ac:dyDescent="0.15">
      <c r="A1421" s="9">
        <v>1420</v>
      </c>
      <c r="B1421" s="9" t="s">
        <v>9</v>
      </c>
      <c r="C1421" s="9">
        <v>1928</v>
      </c>
      <c r="D1421" s="10">
        <v>45736</v>
      </c>
      <c r="E1421" s="11" t="str">
        <f>+HYPERLINK("http://trademark.i-assist.jp/data/china/image_1928th/82703786.pdf","82703786")</f>
        <v>82703786</v>
      </c>
      <c r="F1421" s="9" t="s">
        <v>3995</v>
      </c>
      <c r="G1421" s="9" t="s">
        <v>3996</v>
      </c>
      <c r="H1421" s="9" t="s">
        <v>19</v>
      </c>
      <c r="I1421" s="10">
        <v>45649</v>
      </c>
    </row>
    <row r="1422" spans="1:9" x14ac:dyDescent="0.15">
      <c r="A1422" s="9">
        <v>1421</v>
      </c>
      <c r="B1422" s="9" t="s">
        <v>9</v>
      </c>
      <c r="C1422" s="9">
        <v>1928</v>
      </c>
      <c r="D1422" s="10">
        <v>45736</v>
      </c>
      <c r="E1422" s="11" t="str">
        <f>+HYPERLINK("http://trademark.i-assist.jp/data/china/image_1928th/82704247.pdf","82704247")</f>
        <v>82704247</v>
      </c>
      <c r="F1422" s="9" t="s">
        <v>3997</v>
      </c>
      <c r="G1422" s="9" t="s">
        <v>3998</v>
      </c>
      <c r="H1422" s="9" t="s">
        <v>3999</v>
      </c>
      <c r="I1422" s="10">
        <v>45649</v>
      </c>
    </row>
    <row r="1423" spans="1:9" x14ac:dyDescent="0.15">
      <c r="A1423" s="9">
        <v>1422</v>
      </c>
      <c r="B1423" s="9" t="s">
        <v>9</v>
      </c>
      <c r="C1423" s="9">
        <v>1928</v>
      </c>
      <c r="D1423" s="10">
        <v>45736</v>
      </c>
      <c r="E1423" s="11" t="str">
        <f>+HYPERLINK("http://trademark.i-assist.jp/data/china/image_1928th/82704739.pdf","82704739")</f>
        <v>82704739</v>
      </c>
      <c r="F1423" s="9" t="s">
        <v>4000</v>
      </c>
      <c r="G1423" s="9" t="s">
        <v>4001</v>
      </c>
      <c r="H1423" s="12" t="s">
        <v>4002</v>
      </c>
      <c r="I1423" s="10">
        <v>45649</v>
      </c>
    </row>
    <row r="1424" spans="1:9" x14ac:dyDescent="0.15">
      <c r="A1424" s="9">
        <v>1423</v>
      </c>
      <c r="B1424" s="9" t="s">
        <v>9</v>
      </c>
      <c r="C1424" s="9">
        <v>1928</v>
      </c>
      <c r="D1424" s="10">
        <v>45736</v>
      </c>
      <c r="E1424" s="11" t="str">
        <f>+HYPERLINK("http://trademark.i-assist.jp/data/china/image_1928th/82705120.pdf","82705120")</f>
        <v>82705120</v>
      </c>
      <c r="F1424" s="9" t="s">
        <v>4003</v>
      </c>
      <c r="G1424" s="12" t="s">
        <v>3605</v>
      </c>
      <c r="H1424" s="9" t="s">
        <v>4004</v>
      </c>
      <c r="I1424" s="10">
        <v>45649</v>
      </c>
    </row>
    <row r="1425" spans="1:9" x14ac:dyDescent="0.15">
      <c r="A1425" s="9">
        <v>1424</v>
      </c>
      <c r="B1425" s="9" t="s">
        <v>9</v>
      </c>
      <c r="C1425" s="9">
        <v>1928</v>
      </c>
      <c r="D1425" s="10">
        <v>45736</v>
      </c>
      <c r="E1425" s="11" t="str">
        <f>+HYPERLINK("http://trademark.i-assist.jp/data/china/image_1928th/82705129.pdf","82705129")</f>
        <v>82705129</v>
      </c>
      <c r="F1425" s="9" t="s">
        <v>4005</v>
      </c>
      <c r="G1425" s="12" t="s">
        <v>3605</v>
      </c>
      <c r="H1425" s="9" t="s">
        <v>4006</v>
      </c>
      <c r="I1425" s="10">
        <v>45649</v>
      </c>
    </row>
    <row r="1426" spans="1:9" x14ac:dyDescent="0.15">
      <c r="A1426" s="9">
        <v>1425</v>
      </c>
      <c r="B1426" s="9" t="s">
        <v>9</v>
      </c>
      <c r="C1426" s="9">
        <v>1928</v>
      </c>
      <c r="D1426" s="10">
        <v>45736</v>
      </c>
      <c r="E1426" s="11" t="str">
        <f>+HYPERLINK("http://trademark.i-assist.jp/data/china/image_1928th/82705303.pdf","82705303")</f>
        <v>82705303</v>
      </c>
      <c r="F1426" s="12" t="s">
        <v>4007</v>
      </c>
      <c r="G1426" s="9" t="s">
        <v>4008</v>
      </c>
      <c r="H1426" s="9" t="s">
        <v>4009</v>
      </c>
      <c r="I1426" s="10">
        <v>45649</v>
      </c>
    </row>
    <row r="1427" spans="1:9" x14ac:dyDescent="0.15">
      <c r="A1427" s="9">
        <v>1426</v>
      </c>
      <c r="B1427" s="9" t="s">
        <v>9</v>
      </c>
      <c r="C1427" s="9">
        <v>1928</v>
      </c>
      <c r="D1427" s="10">
        <v>45736</v>
      </c>
      <c r="E1427" s="11" t="str">
        <f>+HYPERLINK("http://trademark.i-assist.jp/data/china/image_1928th/82705638.pdf","82705638")</f>
        <v>82705638</v>
      </c>
      <c r="F1427" s="9" t="s">
        <v>4010</v>
      </c>
      <c r="G1427" s="9" t="s">
        <v>1905</v>
      </c>
      <c r="H1427" s="9" t="s">
        <v>4011</v>
      </c>
      <c r="I1427" s="10">
        <v>45649</v>
      </c>
    </row>
    <row r="1428" spans="1:9" x14ac:dyDescent="0.15">
      <c r="A1428" s="9">
        <v>1427</v>
      </c>
      <c r="B1428" s="9" t="s">
        <v>9</v>
      </c>
      <c r="C1428" s="9">
        <v>1928</v>
      </c>
      <c r="D1428" s="10">
        <v>45736</v>
      </c>
      <c r="E1428" s="11" t="str">
        <f>+HYPERLINK("http://trademark.i-assist.jp/data/china/image_1928th/82706133.pdf","82706133")</f>
        <v>82706133</v>
      </c>
      <c r="F1428" s="9" t="s">
        <v>4012</v>
      </c>
      <c r="G1428" s="9" t="s">
        <v>4013</v>
      </c>
      <c r="H1428" s="9" t="s">
        <v>4014</v>
      </c>
      <c r="I1428" s="10">
        <v>45649</v>
      </c>
    </row>
    <row r="1429" spans="1:9" x14ac:dyDescent="0.15">
      <c r="A1429" s="9">
        <v>1428</v>
      </c>
      <c r="B1429" s="9" t="s">
        <v>9</v>
      </c>
      <c r="C1429" s="9">
        <v>1928</v>
      </c>
      <c r="D1429" s="10">
        <v>45736</v>
      </c>
      <c r="E1429" s="11" t="str">
        <f>+HYPERLINK("http://trademark.i-assist.jp/data/china/image_1928th/82706236.pdf","82706236")</f>
        <v>82706236</v>
      </c>
      <c r="F1429" s="9" t="s">
        <v>4015</v>
      </c>
      <c r="G1429" s="9" t="s">
        <v>4016</v>
      </c>
      <c r="H1429" s="9" t="s">
        <v>4017</v>
      </c>
      <c r="I1429" s="10">
        <v>45649</v>
      </c>
    </row>
    <row r="1430" spans="1:9" x14ac:dyDescent="0.15">
      <c r="A1430" s="9">
        <v>1429</v>
      </c>
      <c r="B1430" s="9" t="s">
        <v>9</v>
      </c>
      <c r="C1430" s="9">
        <v>1928</v>
      </c>
      <c r="D1430" s="10">
        <v>45736</v>
      </c>
      <c r="E1430" s="11" t="str">
        <f>+HYPERLINK("http://trademark.i-assist.jp/data/china/image_1928th/82706369.pdf","82706369")</f>
        <v>82706369</v>
      </c>
      <c r="F1430" s="9" t="s">
        <v>4018</v>
      </c>
      <c r="G1430" s="9" t="s">
        <v>4019</v>
      </c>
      <c r="H1430" s="12" t="s">
        <v>4020</v>
      </c>
      <c r="I1430" s="10">
        <v>45649</v>
      </c>
    </row>
    <row r="1431" spans="1:9" x14ac:dyDescent="0.15">
      <c r="A1431" s="9">
        <v>1430</v>
      </c>
      <c r="B1431" s="9" t="s">
        <v>9</v>
      </c>
      <c r="C1431" s="9">
        <v>1928</v>
      </c>
      <c r="D1431" s="10">
        <v>45736</v>
      </c>
      <c r="E1431" s="11" t="str">
        <f>+HYPERLINK("http://trademark.i-assist.jp/data/china/image_1928th/82706563.pdf","82706563")</f>
        <v>82706563</v>
      </c>
      <c r="F1431" s="9" t="s">
        <v>4021</v>
      </c>
      <c r="G1431" s="9" t="s">
        <v>4022</v>
      </c>
      <c r="H1431" s="9" t="s">
        <v>4023</v>
      </c>
      <c r="I1431" s="10">
        <v>45649</v>
      </c>
    </row>
    <row r="1432" spans="1:9" x14ac:dyDescent="0.15">
      <c r="A1432" s="9">
        <v>1431</v>
      </c>
      <c r="B1432" s="9" t="s">
        <v>9</v>
      </c>
      <c r="C1432" s="9">
        <v>1928</v>
      </c>
      <c r="D1432" s="10">
        <v>45736</v>
      </c>
      <c r="E1432" s="11" t="str">
        <f>+HYPERLINK("http://trademark.i-assist.jp/data/china/image_1928th/82706650.pdf","82706650")</f>
        <v>82706650</v>
      </c>
      <c r="F1432" s="12" t="s">
        <v>4024</v>
      </c>
      <c r="G1432" s="9" t="s">
        <v>4025</v>
      </c>
      <c r="H1432" s="12" t="s">
        <v>4026</v>
      </c>
      <c r="I1432" s="10">
        <v>45649</v>
      </c>
    </row>
    <row r="1433" spans="1:9" x14ac:dyDescent="0.15">
      <c r="A1433" s="9">
        <v>1432</v>
      </c>
      <c r="B1433" s="9" t="s">
        <v>9</v>
      </c>
      <c r="C1433" s="9">
        <v>1928</v>
      </c>
      <c r="D1433" s="10">
        <v>45736</v>
      </c>
      <c r="E1433" s="11" t="str">
        <f>+HYPERLINK("http://trademark.i-assist.jp/data/china/image_1928th/82706814.pdf","82706814")</f>
        <v>82706814</v>
      </c>
      <c r="F1433" s="9" t="s">
        <v>4027</v>
      </c>
      <c r="G1433" s="12" t="s">
        <v>4028</v>
      </c>
      <c r="H1433" s="9" t="s">
        <v>4029</v>
      </c>
      <c r="I1433" s="10">
        <v>45649</v>
      </c>
    </row>
    <row r="1434" spans="1:9" x14ac:dyDescent="0.15">
      <c r="A1434" s="9">
        <v>1433</v>
      </c>
      <c r="B1434" s="9" t="s">
        <v>9</v>
      </c>
      <c r="C1434" s="9">
        <v>1928</v>
      </c>
      <c r="D1434" s="10">
        <v>45736</v>
      </c>
      <c r="E1434" s="11" t="str">
        <f>+HYPERLINK("http://trademark.i-assist.jp/data/china/image_1928th/82706815.pdf","82706815")</f>
        <v>82706815</v>
      </c>
      <c r="F1434" s="9" t="s">
        <v>4030</v>
      </c>
      <c r="G1434" s="9" t="s">
        <v>4031</v>
      </c>
      <c r="H1434" s="9" t="s">
        <v>4032</v>
      </c>
      <c r="I1434" s="10">
        <v>45649</v>
      </c>
    </row>
    <row r="1435" spans="1:9" x14ac:dyDescent="0.15">
      <c r="A1435" s="9">
        <v>1434</v>
      </c>
      <c r="B1435" s="9" t="s">
        <v>9</v>
      </c>
      <c r="C1435" s="9">
        <v>1928</v>
      </c>
      <c r="D1435" s="10">
        <v>45736</v>
      </c>
      <c r="E1435" s="11" t="str">
        <f>+HYPERLINK("http://trademark.i-assist.jp/data/china/image_1928th/82707108.pdf","82707108")</f>
        <v>82707108</v>
      </c>
      <c r="F1435" s="12" t="s">
        <v>4033</v>
      </c>
      <c r="G1435" s="9" t="s">
        <v>4034</v>
      </c>
      <c r="H1435" s="9" t="s">
        <v>4035</v>
      </c>
      <c r="I1435" s="10">
        <v>45649</v>
      </c>
    </row>
    <row r="1436" spans="1:9" x14ac:dyDescent="0.15">
      <c r="A1436" s="9">
        <v>1435</v>
      </c>
      <c r="B1436" s="9" t="s">
        <v>9</v>
      </c>
      <c r="C1436" s="9">
        <v>1928</v>
      </c>
      <c r="D1436" s="10">
        <v>45736</v>
      </c>
      <c r="E1436" s="11" t="str">
        <f>+HYPERLINK("http://trademark.i-assist.jp/data/china/image_1928th/82707406.pdf","82707406")</f>
        <v>82707406</v>
      </c>
      <c r="F1436" s="9" t="s">
        <v>4036</v>
      </c>
      <c r="G1436" s="9" t="s">
        <v>4037</v>
      </c>
      <c r="H1436" s="9" t="s">
        <v>4038</v>
      </c>
      <c r="I1436" s="10">
        <v>45649</v>
      </c>
    </row>
    <row r="1437" spans="1:9" x14ac:dyDescent="0.15">
      <c r="A1437" s="9">
        <v>1436</v>
      </c>
      <c r="B1437" s="9" t="s">
        <v>9</v>
      </c>
      <c r="C1437" s="9">
        <v>1928</v>
      </c>
      <c r="D1437" s="10">
        <v>45736</v>
      </c>
      <c r="E1437" s="11" t="str">
        <f>+HYPERLINK("http://trademark.i-assist.jp/data/china/image_1928th/82707495.pdf","82707495")</f>
        <v>82707495</v>
      </c>
      <c r="F1437" s="12" t="s">
        <v>18</v>
      </c>
      <c r="G1437" s="9" t="s">
        <v>70</v>
      </c>
      <c r="H1437" s="12" t="s">
        <v>4039</v>
      </c>
      <c r="I1437" s="10">
        <v>45649</v>
      </c>
    </row>
    <row r="1438" spans="1:9" x14ac:dyDescent="0.15">
      <c r="A1438" s="9">
        <v>1437</v>
      </c>
      <c r="B1438" s="9" t="s">
        <v>9</v>
      </c>
      <c r="C1438" s="9">
        <v>1928</v>
      </c>
      <c r="D1438" s="10">
        <v>45736</v>
      </c>
      <c r="E1438" s="11" t="str">
        <f>+HYPERLINK("http://trademark.i-assist.jp/data/china/image_1928th/82707511.pdf","82707511")</f>
        <v>82707511</v>
      </c>
      <c r="F1438" s="9" t="s">
        <v>4040</v>
      </c>
      <c r="G1438" s="9" t="s">
        <v>4041</v>
      </c>
      <c r="H1438" s="9" t="s">
        <v>4042</v>
      </c>
      <c r="I1438" s="10">
        <v>45649</v>
      </c>
    </row>
    <row r="1439" spans="1:9" x14ac:dyDescent="0.15">
      <c r="A1439" s="9">
        <v>1438</v>
      </c>
      <c r="B1439" s="9" t="s">
        <v>9</v>
      </c>
      <c r="C1439" s="9">
        <v>1928</v>
      </c>
      <c r="D1439" s="10">
        <v>45736</v>
      </c>
      <c r="E1439" s="11" t="str">
        <f>+HYPERLINK("http://trademark.i-assist.jp/data/china/image_1928th/82707661.pdf","82707661")</f>
        <v>82707661</v>
      </c>
      <c r="F1439" s="9" t="s">
        <v>4043</v>
      </c>
      <c r="G1439" s="9" t="s">
        <v>4044</v>
      </c>
      <c r="H1439" s="9" t="s">
        <v>4045</v>
      </c>
      <c r="I1439" s="10">
        <v>45649</v>
      </c>
    </row>
    <row r="1440" spans="1:9" x14ac:dyDescent="0.15">
      <c r="A1440" s="9">
        <v>1439</v>
      </c>
      <c r="B1440" s="9" t="s">
        <v>9</v>
      </c>
      <c r="C1440" s="9">
        <v>1928</v>
      </c>
      <c r="D1440" s="10">
        <v>45736</v>
      </c>
      <c r="E1440" s="11" t="str">
        <f>+HYPERLINK("http://trademark.i-assist.jp/data/china/image_1928th/82707778.pdf","82707778")</f>
        <v>82707778</v>
      </c>
      <c r="F1440" s="9" t="s">
        <v>4046</v>
      </c>
      <c r="G1440" s="12" t="s">
        <v>4047</v>
      </c>
      <c r="H1440" s="9" t="s">
        <v>4048</v>
      </c>
      <c r="I1440" s="10">
        <v>45649</v>
      </c>
    </row>
    <row r="1441" spans="1:9" x14ac:dyDescent="0.15">
      <c r="A1441" s="9">
        <v>1440</v>
      </c>
      <c r="B1441" s="9" t="s">
        <v>9</v>
      </c>
      <c r="C1441" s="9">
        <v>1928</v>
      </c>
      <c r="D1441" s="10">
        <v>45736</v>
      </c>
      <c r="E1441" s="11" t="str">
        <f>+HYPERLINK("http://trademark.i-assist.jp/data/china/image_1928th/82707919.pdf","82707919")</f>
        <v>82707919</v>
      </c>
      <c r="F1441" s="9" t="s">
        <v>4049</v>
      </c>
      <c r="G1441" s="12" t="s">
        <v>4050</v>
      </c>
      <c r="H1441" s="9" t="s">
        <v>4051</v>
      </c>
      <c r="I1441" s="10">
        <v>45649</v>
      </c>
    </row>
    <row r="1442" spans="1:9" x14ac:dyDescent="0.15">
      <c r="A1442" s="9">
        <v>1441</v>
      </c>
      <c r="B1442" s="9" t="s">
        <v>9</v>
      </c>
      <c r="C1442" s="9">
        <v>1928</v>
      </c>
      <c r="D1442" s="10">
        <v>45736</v>
      </c>
      <c r="E1442" s="11" t="str">
        <f>+HYPERLINK("http://trademark.i-assist.jp/data/china/image_1928th/82708062.pdf","82708062")</f>
        <v>82708062</v>
      </c>
      <c r="F1442" s="9" t="s">
        <v>4052</v>
      </c>
      <c r="G1442" s="12" t="s">
        <v>4053</v>
      </c>
      <c r="H1442" s="9" t="s">
        <v>4054</v>
      </c>
      <c r="I1442" s="10">
        <v>45649</v>
      </c>
    </row>
    <row r="1443" spans="1:9" x14ac:dyDescent="0.15">
      <c r="A1443" s="9">
        <v>1442</v>
      </c>
      <c r="B1443" s="9" t="s">
        <v>9</v>
      </c>
      <c r="C1443" s="9">
        <v>1928</v>
      </c>
      <c r="D1443" s="10">
        <v>45736</v>
      </c>
      <c r="E1443" s="11" t="str">
        <f>+HYPERLINK("http://trademark.i-assist.jp/data/china/image_1928th/82708097.pdf","82708097")</f>
        <v>82708097</v>
      </c>
      <c r="F1443" s="9" t="s">
        <v>4055</v>
      </c>
      <c r="G1443" s="9" t="s">
        <v>4056</v>
      </c>
      <c r="H1443" s="12" t="s">
        <v>4057</v>
      </c>
      <c r="I1443" s="10">
        <v>45649</v>
      </c>
    </row>
    <row r="1444" spans="1:9" x14ac:dyDescent="0.15">
      <c r="A1444" s="9">
        <v>1443</v>
      </c>
      <c r="B1444" s="9" t="s">
        <v>9</v>
      </c>
      <c r="C1444" s="9">
        <v>1928</v>
      </c>
      <c r="D1444" s="10">
        <v>45736</v>
      </c>
      <c r="E1444" s="11" t="str">
        <f>+HYPERLINK("http://trademark.i-assist.jp/data/china/image_1928th/82708421.pdf","82708421")</f>
        <v>82708421</v>
      </c>
      <c r="F1444" s="9" t="s">
        <v>4058</v>
      </c>
      <c r="G1444" s="9" t="s">
        <v>4059</v>
      </c>
      <c r="H1444" s="9" t="s">
        <v>4060</v>
      </c>
      <c r="I1444" s="10">
        <v>45649</v>
      </c>
    </row>
    <row r="1445" spans="1:9" x14ac:dyDescent="0.15">
      <c r="A1445" s="9">
        <v>1444</v>
      </c>
      <c r="B1445" s="9" t="s">
        <v>9</v>
      </c>
      <c r="C1445" s="9">
        <v>1928</v>
      </c>
      <c r="D1445" s="10">
        <v>45736</v>
      </c>
      <c r="E1445" s="11" t="str">
        <f>+HYPERLINK("http://trademark.i-assist.jp/data/china/image_1928th/82708601.pdf","82708601")</f>
        <v>82708601</v>
      </c>
      <c r="F1445" s="9" t="s">
        <v>4061</v>
      </c>
      <c r="G1445" s="12" t="s">
        <v>4062</v>
      </c>
      <c r="H1445" s="9" t="s">
        <v>4063</v>
      </c>
      <c r="I1445" s="10">
        <v>45649</v>
      </c>
    </row>
    <row r="1446" spans="1:9" x14ac:dyDescent="0.15">
      <c r="A1446" s="9">
        <v>1445</v>
      </c>
      <c r="B1446" s="9" t="s">
        <v>9</v>
      </c>
      <c r="C1446" s="9">
        <v>1928</v>
      </c>
      <c r="D1446" s="10">
        <v>45736</v>
      </c>
      <c r="E1446" s="11" t="str">
        <f>+HYPERLINK("http://trademark.i-assist.jp/data/china/image_1928th/82708731.pdf","82708731")</f>
        <v>82708731</v>
      </c>
      <c r="F1446" s="9" t="s">
        <v>4064</v>
      </c>
      <c r="G1446" s="12" t="s">
        <v>4065</v>
      </c>
      <c r="H1446" s="9" t="s">
        <v>4066</v>
      </c>
      <c r="I1446" s="10">
        <v>45649</v>
      </c>
    </row>
    <row r="1447" spans="1:9" x14ac:dyDescent="0.15">
      <c r="A1447" s="9">
        <v>1446</v>
      </c>
      <c r="B1447" s="9" t="s">
        <v>9</v>
      </c>
      <c r="C1447" s="9">
        <v>1928</v>
      </c>
      <c r="D1447" s="10">
        <v>45736</v>
      </c>
      <c r="E1447" s="11" t="str">
        <f>+HYPERLINK("http://trademark.i-assist.jp/data/china/image_1928th/82708999.pdf","82708999")</f>
        <v>82708999</v>
      </c>
      <c r="F1447" s="9" t="s">
        <v>4067</v>
      </c>
      <c r="G1447" s="9" t="s">
        <v>4068</v>
      </c>
      <c r="H1447" s="12" t="s">
        <v>4069</v>
      </c>
      <c r="I1447" s="10">
        <v>45649</v>
      </c>
    </row>
    <row r="1448" spans="1:9" x14ac:dyDescent="0.15">
      <c r="A1448" s="9">
        <v>1447</v>
      </c>
      <c r="B1448" s="9" t="s">
        <v>9</v>
      </c>
      <c r="C1448" s="9">
        <v>1928</v>
      </c>
      <c r="D1448" s="10">
        <v>45736</v>
      </c>
      <c r="E1448" s="11" t="str">
        <f>+HYPERLINK("http://trademark.i-assist.jp/data/china/image_1928th/82709079.pdf","82709079")</f>
        <v>82709079</v>
      </c>
      <c r="F1448" s="9" t="s">
        <v>4070</v>
      </c>
      <c r="G1448" s="9" t="s">
        <v>4071</v>
      </c>
      <c r="H1448" s="9" t="s">
        <v>4072</v>
      </c>
      <c r="I1448" s="10">
        <v>45649</v>
      </c>
    </row>
    <row r="1449" spans="1:9" x14ac:dyDescent="0.15">
      <c r="A1449" s="9">
        <v>1448</v>
      </c>
      <c r="B1449" s="9" t="s">
        <v>9</v>
      </c>
      <c r="C1449" s="9">
        <v>1928</v>
      </c>
      <c r="D1449" s="10">
        <v>45736</v>
      </c>
      <c r="E1449" s="11" t="str">
        <f>+HYPERLINK("http://trademark.i-assist.jp/data/china/image_1928th/82709373.pdf","82709373")</f>
        <v>82709373</v>
      </c>
      <c r="F1449" s="9" t="s">
        <v>4073</v>
      </c>
      <c r="G1449" s="9" t="s">
        <v>4074</v>
      </c>
      <c r="H1449" s="9" t="s">
        <v>4075</v>
      </c>
      <c r="I1449" s="10">
        <v>45649</v>
      </c>
    </row>
    <row r="1450" spans="1:9" x14ac:dyDescent="0.15">
      <c r="A1450" s="9">
        <v>1449</v>
      </c>
      <c r="B1450" s="9" t="s">
        <v>9</v>
      </c>
      <c r="C1450" s="9">
        <v>1928</v>
      </c>
      <c r="D1450" s="10">
        <v>45736</v>
      </c>
      <c r="E1450" s="11" t="str">
        <f>+HYPERLINK("http://trademark.i-assist.jp/data/china/image_1928th/82709612.pdf","82709612")</f>
        <v>82709612</v>
      </c>
      <c r="F1450" s="12" t="s">
        <v>18</v>
      </c>
      <c r="G1450" s="9" t="s">
        <v>4076</v>
      </c>
      <c r="H1450" s="9" t="s">
        <v>4077</v>
      </c>
      <c r="I1450" s="10">
        <v>45649</v>
      </c>
    </row>
    <row r="1451" spans="1:9" x14ac:dyDescent="0.15">
      <c r="A1451" s="9">
        <v>1450</v>
      </c>
      <c r="B1451" s="9" t="s">
        <v>9</v>
      </c>
      <c r="C1451" s="9">
        <v>1928</v>
      </c>
      <c r="D1451" s="10">
        <v>45736</v>
      </c>
      <c r="E1451" s="11" t="str">
        <f>+HYPERLINK("http://trademark.i-assist.jp/data/china/image_1928th/82709918.pdf","82709918")</f>
        <v>82709918</v>
      </c>
      <c r="F1451" s="12" t="s">
        <v>4078</v>
      </c>
      <c r="G1451" s="9" t="s">
        <v>3982</v>
      </c>
      <c r="H1451" s="9" t="s">
        <v>4079</v>
      </c>
      <c r="I1451" s="10">
        <v>45649</v>
      </c>
    </row>
    <row r="1452" spans="1:9" x14ac:dyDescent="0.15">
      <c r="A1452" s="9">
        <v>1451</v>
      </c>
      <c r="B1452" s="9" t="s">
        <v>9</v>
      </c>
      <c r="C1452" s="9">
        <v>1928</v>
      </c>
      <c r="D1452" s="10">
        <v>45736</v>
      </c>
      <c r="E1452" s="11" t="str">
        <f>+HYPERLINK("http://trademark.i-assist.jp/data/china/image_1928th/82710265.pdf","82710265")</f>
        <v>82710265</v>
      </c>
      <c r="F1452" s="9" t="s">
        <v>4080</v>
      </c>
      <c r="G1452" s="9" t="s">
        <v>4081</v>
      </c>
      <c r="H1452" s="12" t="s">
        <v>4082</v>
      </c>
      <c r="I1452" s="10">
        <v>45649</v>
      </c>
    </row>
    <row r="1453" spans="1:9" x14ac:dyDescent="0.15">
      <c r="A1453" s="9">
        <v>1452</v>
      </c>
      <c r="B1453" s="9" t="s">
        <v>9</v>
      </c>
      <c r="C1453" s="9">
        <v>1928</v>
      </c>
      <c r="D1453" s="10">
        <v>45736</v>
      </c>
      <c r="E1453" s="11" t="str">
        <f>+HYPERLINK("http://trademark.i-assist.jp/data/china/image_1928th/82710566.pdf","82710566")</f>
        <v>82710566</v>
      </c>
      <c r="F1453" s="9" t="s">
        <v>4083</v>
      </c>
      <c r="G1453" s="9" t="s">
        <v>4084</v>
      </c>
      <c r="H1453" s="9" t="s">
        <v>4085</v>
      </c>
      <c r="I1453" s="10">
        <v>45649</v>
      </c>
    </row>
    <row r="1454" spans="1:9" x14ac:dyDescent="0.15">
      <c r="A1454" s="9">
        <v>1453</v>
      </c>
      <c r="B1454" s="9" t="s">
        <v>9</v>
      </c>
      <c r="C1454" s="9">
        <v>1928</v>
      </c>
      <c r="D1454" s="10">
        <v>45736</v>
      </c>
      <c r="E1454" s="11" t="str">
        <f>+HYPERLINK("http://trademark.i-assist.jp/data/china/image_1928th/82710600.pdf","82710600")</f>
        <v>82710600</v>
      </c>
      <c r="F1454" s="12" t="s">
        <v>4086</v>
      </c>
      <c r="G1454" s="12" t="s">
        <v>4087</v>
      </c>
      <c r="H1454" s="12" t="s">
        <v>4088</v>
      </c>
      <c r="I1454" s="10">
        <v>45649</v>
      </c>
    </row>
    <row r="1455" spans="1:9" x14ac:dyDescent="0.15">
      <c r="A1455" s="9">
        <v>1454</v>
      </c>
      <c r="B1455" s="9" t="s">
        <v>9</v>
      </c>
      <c r="C1455" s="9">
        <v>1928</v>
      </c>
      <c r="D1455" s="10">
        <v>45736</v>
      </c>
      <c r="E1455" s="11" t="str">
        <f>+HYPERLINK("http://trademark.i-assist.jp/data/china/image_1928th/82710706.pdf","82710706")</f>
        <v>82710706</v>
      </c>
      <c r="F1455" s="12" t="s">
        <v>18</v>
      </c>
      <c r="G1455" s="12" t="s">
        <v>4089</v>
      </c>
      <c r="H1455" s="9" t="s">
        <v>4090</v>
      </c>
      <c r="I1455" s="10">
        <v>45649</v>
      </c>
    </row>
    <row r="1456" spans="1:9" x14ac:dyDescent="0.15">
      <c r="A1456" s="9">
        <v>1455</v>
      </c>
      <c r="B1456" s="9" t="s">
        <v>9</v>
      </c>
      <c r="C1456" s="9">
        <v>1928</v>
      </c>
      <c r="D1456" s="10">
        <v>45736</v>
      </c>
      <c r="E1456" s="11" t="str">
        <f>+HYPERLINK("http://trademark.i-assist.jp/data/china/image_1928th/82710829.pdf","82710829")</f>
        <v>82710829</v>
      </c>
      <c r="F1456" s="9" t="s">
        <v>4091</v>
      </c>
      <c r="G1456" s="9" t="s">
        <v>4092</v>
      </c>
      <c r="H1456" s="9" t="s">
        <v>4093</v>
      </c>
      <c r="I1456" s="10">
        <v>45649</v>
      </c>
    </row>
    <row r="1457" spans="1:9" x14ac:dyDescent="0.15">
      <c r="A1457" s="9">
        <v>1456</v>
      </c>
      <c r="B1457" s="9" t="s">
        <v>9</v>
      </c>
      <c r="C1457" s="9">
        <v>1928</v>
      </c>
      <c r="D1457" s="10">
        <v>45736</v>
      </c>
      <c r="E1457" s="11" t="str">
        <f>+HYPERLINK("http://trademark.i-assist.jp/data/china/image_1928th/82711066.pdf","82711066")</f>
        <v>82711066</v>
      </c>
      <c r="F1457" s="9" t="s">
        <v>4094</v>
      </c>
      <c r="G1457" s="9" t="s">
        <v>4095</v>
      </c>
      <c r="H1457" s="9" t="s">
        <v>4096</v>
      </c>
      <c r="I1457" s="10">
        <v>45649</v>
      </c>
    </row>
    <row r="1458" spans="1:9" x14ac:dyDescent="0.15">
      <c r="A1458" s="9">
        <v>1457</v>
      </c>
      <c r="B1458" s="9" t="s">
        <v>9</v>
      </c>
      <c r="C1458" s="9">
        <v>1928</v>
      </c>
      <c r="D1458" s="10">
        <v>45736</v>
      </c>
      <c r="E1458" s="11" t="str">
        <f>+HYPERLINK("http://trademark.i-assist.jp/data/china/image_1928th/82711284.pdf","82711284")</f>
        <v>82711284</v>
      </c>
      <c r="F1458" s="12" t="s">
        <v>18</v>
      </c>
      <c r="G1458" s="9" t="s">
        <v>4097</v>
      </c>
      <c r="H1458" s="9" t="s">
        <v>4098</v>
      </c>
      <c r="I1458" s="10">
        <v>45649</v>
      </c>
    </row>
    <row r="1459" spans="1:9" x14ac:dyDescent="0.15">
      <c r="A1459" s="9">
        <v>1458</v>
      </c>
      <c r="B1459" s="9" t="s">
        <v>9</v>
      </c>
      <c r="C1459" s="9">
        <v>1928</v>
      </c>
      <c r="D1459" s="10">
        <v>45736</v>
      </c>
      <c r="E1459" s="11" t="str">
        <f>+HYPERLINK("http://trademark.i-assist.jp/data/china/image_1928th/82711745.pdf","82711745")</f>
        <v>82711745</v>
      </c>
      <c r="F1459" s="9" t="s">
        <v>4099</v>
      </c>
      <c r="G1459" s="9" t="s">
        <v>4100</v>
      </c>
      <c r="H1459" s="9" t="s">
        <v>4101</v>
      </c>
      <c r="I1459" s="10">
        <v>45649</v>
      </c>
    </row>
    <row r="1460" spans="1:9" x14ac:dyDescent="0.15">
      <c r="A1460" s="9">
        <v>1459</v>
      </c>
      <c r="B1460" s="9" t="s">
        <v>9</v>
      </c>
      <c r="C1460" s="9">
        <v>1928</v>
      </c>
      <c r="D1460" s="10">
        <v>45736</v>
      </c>
      <c r="E1460" s="11" t="str">
        <f>+HYPERLINK("http://trademark.i-assist.jp/data/china/image_1928th/82711908.pdf","82711908")</f>
        <v>82711908</v>
      </c>
      <c r="F1460" s="9" t="s">
        <v>3990</v>
      </c>
      <c r="G1460" s="12" t="s">
        <v>3991</v>
      </c>
      <c r="H1460" s="9" t="s">
        <v>4102</v>
      </c>
      <c r="I1460" s="10">
        <v>45649</v>
      </c>
    </row>
    <row r="1461" spans="1:9" x14ac:dyDescent="0.15">
      <c r="A1461" s="9">
        <v>1460</v>
      </c>
      <c r="B1461" s="9" t="s">
        <v>9</v>
      </c>
      <c r="C1461" s="9">
        <v>1928</v>
      </c>
      <c r="D1461" s="10">
        <v>45736</v>
      </c>
      <c r="E1461" s="11" t="str">
        <f>+HYPERLINK("http://trademark.i-assist.jp/data/china/image_1928th/82712098.pdf","82712098")</f>
        <v>82712098</v>
      </c>
      <c r="F1461" s="12" t="s">
        <v>18</v>
      </c>
      <c r="G1461" s="9" t="s">
        <v>4103</v>
      </c>
      <c r="H1461" s="9" t="s">
        <v>4104</v>
      </c>
      <c r="I1461" s="10">
        <v>45649</v>
      </c>
    </row>
    <row r="1462" spans="1:9" x14ac:dyDescent="0.15">
      <c r="A1462" s="9">
        <v>1461</v>
      </c>
      <c r="B1462" s="9" t="s">
        <v>9</v>
      </c>
      <c r="C1462" s="9">
        <v>1928</v>
      </c>
      <c r="D1462" s="10">
        <v>45736</v>
      </c>
      <c r="E1462" s="11" t="str">
        <f>+HYPERLINK("http://trademark.i-assist.jp/data/china/image_1928th/82712299.pdf","82712299")</f>
        <v>82712299</v>
      </c>
      <c r="F1462" s="9" t="s">
        <v>4105</v>
      </c>
      <c r="G1462" s="9" t="s">
        <v>4106</v>
      </c>
      <c r="H1462" s="9" t="s">
        <v>4107</v>
      </c>
      <c r="I1462" s="10">
        <v>45649</v>
      </c>
    </row>
    <row r="1463" spans="1:9" x14ac:dyDescent="0.15">
      <c r="A1463" s="9">
        <v>1462</v>
      </c>
      <c r="B1463" s="9" t="s">
        <v>9</v>
      </c>
      <c r="C1463" s="9">
        <v>1928</v>
      </c>
      <c r="D1463" s="10">
        <v>45736</v>
      </c>
      <c r="E1463" s="11" t="str">
        <f>+HYPERLINK("http://trademark.i-assist.jp/data/china/image_1928th/82712735.pdf","82712735")</f>
        <v>82712735</v>
      </c>
      <c r="F1463" s="9" t="s">
        <v>4108</v>
      </c>
      <c r="G1463" s="12" t="s">
        <v>4109</v>
      </c>
      <c r="H1463" s="9" t="s">
        <v>4110</v>
      </c>
      <c r="I1463" s="10">
        <v>45649</v>
      </c>
    </row>
    <row r="1464" spans="1:9" x14ac:dyDescent="0.15">
      <c r="A1464" s="9">
        <v>1463</v>
      </c>
      <c r="B1464" s="9" t="s">
        <v>9</v>
      </c>
      <c r="C1464" s="9">
        <v>1928</v>
      </c>
      <c r="D1464" s="10">
        <v>45736</v>
      </c>
      <c r="E1464" s="11" t="str">
        <f>+HYPERLINK("http://trademark.i-assist.jp/data/china/image_1928th/82712948.pdf","82712948")</f>
        <v>82712948</v>
      </c>
      <c r="F1464" s="9" t="s">
        <v>4111</v>
      </c>
      <c r="G1464" s="9" t="s">
        <v>4112</v>
      </c>
      <c r="H1464" s="12" t="s">
        <v>4113</v>
      </c>
      <c r="I1464" s="10">
        <v>45649</v>
      </c>
    </row>
    <row r="1465" spans="1:9" x14ac:dyDescent="0.15">
      <c r="A1465" s="9">
        <v>1464</v>
      </c>
      <c r="B1465" s="9" t="s">
        <v>9</v>
      </c>
      <c r="C1465" s="9">
        <v>1928</v>
      </c>
      <c r="D1465" s="10">
        <v>45736</v>
      </c>
      <c r="E1465" s="11" t="str">
        <f>+HYPERLINK("http://trademark.i-assist.jp/data/china/image_1928th/82713109.pdf","82713109")</f>
        <v>82713109</v>
      </c>
      <c r="F1465" s="9" t="s">
        <v>4114</v>
      </c>
      <c r="G1465" s="9" t="s">
        <v>3918</v>
      </c>
      <c r="H1465" s="9" t="s">
        <v>4115</v>
      </c>
      <c r="I1465" s="10">
        <v>45649</v>
      </c>
    </row>
    <row r="1466" spans="1:9" x14ac:dyDescent="0.15">
      <c r="A1466" s="9">
        <v>1465</v>
      </c>
      <c r="B1466" s="9" t="s">
        <v>9</v>
      </c>
      <c r="C1466" s="9">
        <v>1928</v>
      </c>
      <c r="D1466" s="10">
        <v>45736</v>
      </c>
      <c r="E1466" s="11" t="str">
        <f>+HYPERLINK("http://trademark.i-assist.jp/data/china/image_1928th/82713111.pdf","82713111")</f>
        <v>82713111</v>
      </c>
      <c r="F1466" s="12" t="s">
        <v>18</v>
      </c>
      <c r="G1466" s="9" t="s">
        <v>4116</v>
      </c>
      <c r="H1466" s="9" t="s">
        <v>4117</v>
      </c>
      <c r="I1466" s="10">
        <v>45649</v>
      </c>
    </row>
    <row r="1467" spans="1:9" x14ac:dyDescent="0.15">
      <c r="A1467" s="9">
        <v>1466</v>
      </c>
      <c r="B1467" s="9" t="s">
        <v>9</v>
      </c>
      <c r="C1467" s="9">
        <v>1928</v>
      </c>
      <c r="D1467" s="10">
        <v>45736</v>
      </c>
      <c r="E1467" s="11" t="str">
        <f>+HYPERLINK("http://trademark.i-assist.jp/data/china/image_1928th/82713182.pdf","82713182")</f>
        <v>82713182</v>
      </c>
      <c r="F1467" s="9" t="s">
        <v>4118</v>
      </c>
      <c r="G1467" s="12" t="s">
        <v>4028</v>
      </c>
      <c r="H1467" s="9" t="s">
        <v>4119</v>
      </c>
      <c r="I1467" s="10">
        <v>45649</v>
      </c>
    </row>
    <row r="1468" spans="1:9" x14ac:dyDescent="0.15">
      <c r="A1468" s="9">
        <v>1467</v>
      </c>
      <c r="B1468" s="9" t="s">
        <v>9</v>
      </c>
      <c r="C1468" s="9">
        <v>1928</v>
      </c>
      <c r="D1468" s="10">
        <v>45736</v>
      </c>
      <c r="E1468" s="11" t="str">
        <f>+HYPERLINK("http://trademark.i-assist.jp/data/china/image_1928th/82713216.pdf","82713216")</f>
        <v>82713216</v>
      </c>
      <c r="F1468" s="9" t="s">
        <v>4120</v>
      </c>
      <c r="G1468" s="9" t="s">
        <v>4056</v>
      </c>
      <c r="H1468" s="9" t="s">
        <v>4121</v>
      </c>
      <c r="I1468" s="10">
        <v>45649</v>
      </c>
    </row>
    <row r="1469" spans="1:9" x14ac:dyDescent="0.15">
      <c r="A1469" s="9">
        <v>1468</v>
      </c>
      <c r="B1469" s="9" t="s">
        <v>9</v>
      </c>
      <c r="C1469" s="9">
        <v>1928</v>
      </c>
      <c r="D1469" s="10">
        <v>45736</v>
      </c>
      <c r="E1469" s="11" t="str">
        <f>+HYPERLINK("http://trademark.i-assist.jp/data/china/image_1928th/82713217.pdf","82713217")</f>
        <v>82713217</v>
      </c>
      <c r="F1469" s="12" t="s">
        <v>4122</v>
      </c>
      <c r="G1469" s="12" t="s">
        <v>4123</v>
      </c>
      <c r="H1469" s="9" t="s">
        <v>4124</v>
      </c>
      <c r="I1469" s="10">
        <v>45649</v>
      </c>
    </row>
    <row r="1470" spans="1:9" x14ac:dyDescent="0.15">
      <c r="A1470" s="9">
        <v>1469</v>
      </c>
      <c r="B1470" s="9" t="s">
        <v>9</v>
      </c>
      <c r="C1470" s="9">
        <v>1928</v>
      </c>
      <c r="D1470" s="10">
        <v>45736</v>
      </c>
      <c r="E1470" s="11" t="str">
        <f>+HYPERLINK("http://trademark.i-assist.jp/data/china/image_1928th/82713227.pdf","82713227")</f>
        <v>82713227</v>
      </c>
      <c r="F1470" s="9" t="s">
        <v>4125</v>
      </c>
      <c r="G1470" s="9" t="s">
        <v>4056</v>
      </c>
      <c r="H1470" s="9" t="s">
        <v>4126</v>
      </c>
      <c r="I1470" s="10">
        <v>45649</v>
      </c>
    </row>
    <row r="1471" spans="1:9" x14ac:dyDescent="0.15">
      <c r="A1471" s="9">
        <v>1470</v>
      </c>
      <c r="B1471" s="9" t="s">
        <v>9</v>
      </c>
      <c r="C1471" s="9">
        <v>1928</v>
      </c>
      <c r="D1471" s="10">
        <v>45736</v>
      </c>
      <c r="E1471" s="11" t="str">
        <f>+HYPERLINK("http://trademark.i-assist.jp/data/china/image_1928th/82713250.pdf","82713250")</f>
        <v>82713250</v>
      </c>
      <c r="F1471" s="9" t="s">
        <v>4127</v>
      </c>
      <c r="G1471" s="9" t="s">
        <v>4128</v>
      </c>
      <c r="H1471" s="9" t="s">
        <v>4129</v>
      </c>
      <c r="I1471" s="10">
        <v>45649</v>
      </c>
    </row>
    <row r="1472" spans="1:9" x14ac:dyDescent="0.15">
      <c r="A1472" s="9">
        <v>1471</v>
      </c>
      <c r="B1472" s="9" t="s">
        <v>9</v>
      </c>
      <c r="C1472" s="9">
        <v>1928</v>
      </c>
      <c r="D1472" s="10">
        <v>45736</v>
      </c>
      <c r="E1472" s="11" t="str">
        <f>+HYPERLINK("http://trademark.i-assist.jp/data/china/image_1928th/82713346.pdf","82713346")</f>
        <v>82713346</v>
      </c>
      <c r="F1472" s="9" t="s">
        <v>4130</v>
      </c>
      <c r="G1472" s="9" t="s">
        <v>4131</v>
      </c>
      <c r="H1472" s="9" t="s">
        <v>4132</v>
      </c>
      <c r="I1472" s="10">
        <v>45649</v>
      </c>
    </row>
    <row r="1473" spans="1:9" x14ac:dyDescent="0.15">
      <c r="A1473" s="9">
        <v>1472</v>
      </c>
      <c r="B1473" s="9" t="s">
        <v>9</v>
      </c>
      <c r="C1473" s="9">
        <v>1928</v>
      </c>
      <c r="D1473" s="10">
        <v>45736</v>
      </c>
      <c r="E1473" s="11" t="str">
        <f>+HYPERLINK("http://trademark.i-assist.jp/data/china/image_1928th/82713478.pdf","82713478")</f>
        <v>82713478</v>
      </c>
      <c r="F1473" s="12" t="s">
        <v>4133</v>
      </c>
      <c r="G1473" s="12" t="s">
        <v>4087</v>
      </c>
      <c r="H1473" s="9" t="s">
        <v>4134</v>
      </c>
      <c r="I1473" s="10">
        <v>45649</v>
      </c>
    </row>
    <row r="1474" spans="1:9" x14ac:dyDescent="0.15">
      <c r="A1474" s="9">
        <v>1473</v>
      </c>
      <c r="B1474" s="9" t="s">
        <v>9</v>
      </c>
      <c r="C1474" s="9">
        <v>1928</v>
      </c>
      <c r="D1474" s="10">
        <v>45736</v>
      </c>
      <c r="E1474" s="11" t="str">
        <f>+HYPERLINK("http://trademark.i-assist.jp/data/china/image_1928th/82713532.pdf","82713532")</f>
        <v>82713532</v>
      </c>
      <c r="F1474" s="9" t="s">
        <v>4135</v>
      </c>
      <c r="G1474" s="9" t="s">
        <v>4136</v>
      </c>
      <c r="H1474" s="9" t="s">
        <v>4137</v>
      </c>
      <c r="I1474" s="10">
        <v>45649</v>
      </c>
    </row>
    <row r="1475" spans="1:9" x14ac:dyDescent="0.15">
      <c r="A1475" s="9">
        <v>1474</v>
      </c>
      <c r="B1475" s="9" t="s">
        <v>9</v>
      </c>
      <c r="C1475" s="9">
        <v>1928</v>
      </c>
      <c r="D1475" s="10">
        <v>45736</v>
      </c>
      <c r="E1475" s="11" t="str">
        <f>+HYPERLINK("http://trademark.i-assist.jp/data/china/image_1928th/82713805.pdf","82713805")</f>
        <v>82713805</v>
      </c>
      <c r="F1475" s="9" t="s">
        <v>4138</v>
      </c>
      <c r="G1475" s="9" t="s">
        <v>4139</v>
      </c>
      <c r="H1475" s="9" t="s">
        <v>4140</v>
      </c>
      <c r="I1475" s="10">
        <v>45649</v>
      </c>
    </row>
    <row r="1476" spans="1:9" x14ac:dyDescent="0.15">
      <c r="A1476" s="9">
        <v>1475</v>
      </c>
      <c r="B1476" s="9" t="s">
        <v>9</v>
      </c>
      <c r="C1476" s="9">
        <v>1928</v>
      </c>
      <c r="D1476" s="10">
        <v>45736</v>
      </c>
      <c r="E1476" s="11" t="str">
        <f>+HYPERLINK("http://trademark.i-assist.jp/data/china/image_1928th/82713833.pdf","82713833")</f>
        <v>82713833</v>
      </c>
      <c r="F1476" s="12" t="s">
        <v>18</v>
      </c>
      <c r="G1476" s="9" t="s">
        <v>4141</v>
      </c>
      <c r="H1476" s="9" t="s">
        <v>4142</v>
      </c>
      <c r="I1476" s="10">
        <v>45649</v>
      </c>
    </row>
    <row r="1477" spans="1:9" x14ac:dyDescent="0.15">
      <c r="A1477" s="9">
        <v>1476</v>
      </c>
      <c r="B1477" s="9" t="s">
        <v>9</v>
      </c>
      <c r="C1477" s="9">
        <v>1928</v>
      </c>
      <c r="D1477" s="10">
        <v>45736</v>
      </c>
      <c r="E1477" s="11" t="str">
        <f>+HYPERLINK("http://trademark.i-assist.jp/data/china/image_1928th/82713844.pdf","82713844")</f>
        <v>82713844</v>
      </c>
      <c r="F1477" s="12" t="s">
        <v>4143</v>
      </c>
      <c r="G1477" s="12" t="s">
        <v>3736</v>
      </c>
      <c r="H1477" s="9" t="s">
        <v>4144</v>
      </c>
      <c r="I1477" s="10">
        <v>45649</v>
      </c>
    </row>
    <row r="1478" spans="1:9" x14ac:dyDescent="0.15">
      <c r="A1478" s="9">
        <v>1477</v>
      </c>
      <c r="B1478" s="9" t="s">
        <v>9</v>
      </c>
      <c r="C1478" s="9">
        <v>1928</v>
      </c>
      <c r="D1478" s="10">
        <v>45736</v>
      </c>
      <c r="E1478" s="11" t="str">
        <f>+HYPERLINK("http://trademark.i-assist.jp/data/china/image_1928th/82714428.pdf","82714428")</f>
        <v>82714428</v>
      </c>
      <c r="F1478" s="9" t="s">
        <v>4145</v>
      </c>
      <c r="G1478" s="9" t="s">
        <v>4146</v>
      </c>
      <c r="H1478" s="9" t="s">
        <v>4147</v>
      </c>
      <c r="I1478" s="10">
        <v>45649</v>
      </c>
    </row>
    <row r="1479" spans="1:9" x14ac:dyDescent="0.15">
      <c r="A1479" s="9">
        <v>1478</v>
      </c>
      <c r="B1479" s="9" t="s">
        <v>9</v>
      </c>
      <c r="C1479" s="9">
        <v>1928</v>
      </c>
      <c r="D1479" s="10">
        <v>45736</v>
      </c>
      <c r="E1479" s="11" t="str">
        <f>+HYPERLINK("http://trademark.i-assist.jp/data/china/image_1928th/82714536.pdf","82714536")</f>
        <v>82714536</v>
      </c>
      <c r="F1479" s="9" t="s">
        <v>4148</v>
      </c>
      <c r="G1479" s="12" t="s">
        <v>4053</v>
      </c>
      <c r="H1479" s="12" t="s">
        <v>4149</v>
      </c>
      <c r="I1479" s="10">
        <v>45649</v>
      </c>
    </row>
    <row r="1480" spans="1:9" x14ac:dyDescent="0.15">
      <c r="A1480" s="9">
        <v>1479</v>
      </c>
      <c r="B1480" s="9" t="s">
        <v>9</v>
      </c>
      <c r="C1480" s="9">
        <v>1928</v>
      </c>
      <c r="D1480" s="10">
        <v>45736</v>
      </c>
      <c r="E1480" s="11" t="str">
        <f>+HYPERLINK("http://trademark.i-assist.jp/data/china/image_1928th/82714804.pdf","82714804")</f>
        <v>82714804</v>
      </c>
      <c r="F1480" s="9" t="s">
        <v>4150</v>
      </c>
      <c r="G1480" s="9" t="s">
        <v>1905</v>
      </c>
      <c r="H1480" s="9" t="s">
        <v>4151</v>
      </c>
      <c r="I1480" s="10">
        <v>45649</v>
      </c>
    </row>
    <row r="1481" spans="1:9" x14ac:dyDescent="0.15">
      <c r="A1481" s="9">
        <v>1480</v>
      </c>
      <c r="B1481" s="9" t="s">
        <v>9</v>
      </c>
      <c r="C1481" s="9">
        <v>1928</v>
      </c>
      <c r="D1481" s="10">
        <v>45736</v>
      </c>
      <c r="E1481" s="11" t="str">
        <f>+HYPERLINK("http://trademark.i-assist.jp/data/china/image_1928th/82714910.pdf","82714910")</f>
        <v>82714910</v>
      </c>
      <c r="F1481" s="9" t="s">
        <v>4152</v>
      </c>
      <c r="G1481" s="12" t="s">
        <v>4153</v>
      </c>
      <c r="H1481" s="9" t="s">
        <v>4154</v>
      </c>
      <c r="I1481" s="10">
        <v>45649</v>
      </c>
    </row>
    <row r="1482" spans="1:9" x14ac:dyDescent="0.15">
      <c r="A1482" s="9">
        <v>1481</v>
      </c>
      <c r="B1482" s="9" t="s">
        <v>9</v>
      </c>
      <c r="C1482" s="9">
        <v>1928</v>
      </c>
      <c r="D1482" s="10">
        <v>45736</v>
      </c>
      <c r="E1482" s="11" t="str">
        <f>+HYPERLINK("http://trademark.i-assist.jp/data/china/image_1928th/82714990.pdf","82714990")</f>
        <v>82714990</v>
      </c>
      <c r="F1482" s="13" t="s">
        <v>4155</v>
      </c>
      <c r="G1482" s="9" t="s">
        <v>3952</v>
      </c>
      <c r="H1482" s="9" t="s">
        <v>4156</v>
      </c>
      <c r="I1482" s="10">
        <v>45649</v>
      </c>
    </row>
    <row r="1483" spans="1:9" x14ac:dyDescent="0.15">
      <c r="A1483" s="9">
        <v>1482</v>
      </c>
      <c r="B1483" s="9" t="s">
        <v>9</v>
      </c>
      <c r="C1483" s="9">
        <v>1928</v>
      </c>
      <c r="D1483" s="10">
        <v>45736</v>
      </c>
      <c r="E1483" s="11" t="str">
        <f>+HYPERLINK("http://trademark.i-assist.jp/data/china/image_1928th/82715209.pdf","82715209")</f>
        <v>82715209</v>
      </c>
      <c r="F1483" s="12" t="s">
        <v>4157</v>
      </c>
      <c r="G1483" s="9" t="s">
        <v>4158</v>
      </c>
      <c r="H1483" s="12" t="s">
        <v>4159</v>
      </c>
      <c r="I1483" s="10">
        <v>45649</v>
      </c>
    </row>
    <row r="1484" spans="1:9" x14ac:dyDescent="0.15">
      <c r="A1484" s="9">
        <v>1483</v>
      </c>
      <c r="B1484" s="9" t="s">
        <v>9</v>
      </c>
      <c r="C1484" s="9">
        <v>1928</v>
      </c>
      <c r="D1484" s="10">
        <v>45736</v>
      </c>
      <c r="E1484" s="11" t="str">
        <f>+HYPERLINK("http://trademark.i-assist.jp/data/china/image_1928th/82715490.pdf","82715490")</f>
        <v>82715490</v>
      </c>
      <c r="F1484" s="9" t="s">
        <v>4160</v>
      </c>
      <c r="G1484" s="9" t="s">
        <v>3915</v>
      </c>
      <c r="H1484" s="9" t="s">
        <v>4161</v>
      </c>
      <c r="I1484" s="10">
        <v>45649</v>
      </c>
    </row>
    <row r="1485" spans="1:9" x14ac:dyDescent="0.15">
      <c r="A1485" s="9">
        <v>1484</v>
      </c>
      <c r="B1485" s="9" t="s">
        <v>9</v>
      </c>
      <c r="C1485" s="9">
        <v>1928</v>
      </c>
      <c r="D1485" s="10">
        <v>45736</v>
      </c>
      <c r="E1485" s="11" t="str">
        <f>+HYPERLINK("http://trademark.i-assist.jp/data/china/image_1928th/82715772.pdf","82715772")</f>
        <v>82715772</v>
      </c>
      <c r="F1485" s="12" t="s">
        <v>4162</v>
      </c>
      <c r="G1485" s="12" t="s">
        <v>4087</v>
      </c>
      <c r="H1485" s="9" t="s">
        <v>4163</v>
      </c>
      <c r="I1485" s="10">
        <v>45649</v>
      </c>
    </row>
    <row r="1486" spans="1:9" x14ac:dyDescent="0.15">
      <c r="A1486" s="9">
        <v>1485</v>
      </c>
      <c r="B1486" s="9" t="s">
        <v>9</v>
      </c>
      <c r="C1486" s="9">
        <v>1928</v>
      </c>
      <c r="D1486" s="10">
        <v>45736</v>
      </c>
      <c r="E1486" s="11" t="str">
        <f>+HYPERLINK("http://trademark.i-assist.jp/data/china/image_1928th/82716509.pdf","82716509")</f>
        <v>82716509</v>
      </c>
      <c r="F1486" s="12" t="s">
        <v>4164</v>
      </c>
      <c r="G1486" s="9" t="s">
        <v>4165</v>
      </c>
      <c r="H1486" s="9" t="s">
        <v>4166</v>
      </c>
      <c r="I1486" s="10">
        <v>45649</v>
      </c>
    </row>
    <row r="1487" spans="1:9" x14ac:dyDescent="0.15">
      <c r="A1487" s="9">
        <v>1486</v>
      </c>
      <c r="B1487" s="9" t="s">
        <v>9</v>
      </c>
      <c r="C1487" s="9">
        <v>1928</v>
      </c>
      <c r="D1487" s="10">
        <v>45736</v>
      </c>
      <c r="E1487" s="11" t="str">
        <f>+HYPERLINK("http://trademark.i-assist.jp/data/china/image_1928th/82717832.pdf","82717832")</f>
        <v>82717832</v>
      </c>
      <c r="F1487" s="9" t="s">
        <v>4167</v>
      </c>
      <c r="G1487" s="9" t="s">
        <v>1905</v>
      </c>
      <c r="H1487" s="9" t="s">
        <v>4168</v>
      </c>
      <c r="I1487" s="10">
        <v>45649</v>
      </c>
    </row>
    <row r="1488" spans="1:9" x14ac:dyDescent="0.15">
      <c r="A1488" s="9">
        <v>1487</v>
      </c>
      <c r="B1488" s="9" t="s">
        <v>9</v>
      </c>
      <c r="C1488" s="9">
        <v>1928</v>
      </c>
      <c r="D1488" s="10">
        <v>45736</v>
      </c>
      <c r="E1488" s="11" t="str">
        <f>+HYPERLINK("http://trademark.i-assist.jp/data/china/image_1928th/82717876.pdf","82717876")</f>
        <v>82717876</v>
      </c>
      <c r="F1488" s="12" t="s">
        <v>4169</v>
      </c>
      <c r="G1488" s="9" t="s">
        <v>4100</v>
      </c>
      <c r="H1488" s="9" t="s">
        <v>4170</v>
      </c>
      <c r="I1488" s="10">
        <v>45649</v>
      </c>
    </row>
    <row r="1489" spans="1:9" x14ac:dyDescent="0.15">
      <c r="A1489" s="9">
        <v>1488</v>
      </c>
      <c r="B1489" s="9" t="s">
        <v>9</v>
      </c>
      <c r="C1489" s="9">
        <v>1928</v>
      </c>
      <c r="D1489" s="10">
        <v>45736</v>
      </c>
      <c r="E1489" s="11" t="str">
        <f>+HYPERLINK("http://trademark.i-assist.jp/data/china/image_1928th/82717941.pdf","82717941")</f>
        <v>82717941</v>
      </c>
      <c r="F1489" s="12" t="s">
        <v>4171</v>
      </c>
      <c r="G1489" s="9" t="s">
        <v>4172</v>
      </c>
      <c r="H1489" s="9" t="s">
        <v>4173</v>
      </c>
      <c r="I1489" s="10">
        <v>45649</v>
      </c>
    </row>
    <row r="1490" spans="1:9" x14ac:dyDescent="0.15">
      <c r="A1490" s="9">
        <v>1489</v>
      </c>
      <c r="B1490" s="9" t="s">
        <v>9</v>
      </c>
      <c r="C1490" s="9">
        <v>1928</v>
      </c>
      <c r="D1490" s="10">
        <v>45736</v>
      </c>
      <c r="E1490" s="11" t="str">
        <f>+HYPERLINK("http://trademark.i-assist.jp/data/china/image_1928th/82718046.pdf","82718046")</f>
        <v>82718046</v>
      </c>
      <c r="F1490" s="12" t="s">
        <v>4174</v>
      </c>
      <c r="G1490" s="12" t="s">
        <v>4175</v>
      </c>
      <c r="H1490" s="9" t="s">
        <v>4176</v>
      </c>
      <c r="I1490" s="10">
        <v>45649</v>
      </c>
    </row>
    <row r="1491" spans="1:9" x14ac:dyDescent="0.15">
      <c r="A1491" s="9">
        <v>1490</v>
      </c>
      <c r="B1491" s="9" t="s">
        <v>9</v>
      </c>
      <c r="C1491" s="9">
        <v>1928</v>
      </c>
      <c r="D1491" s="10">
        <v>45736</v>
      </c>
      <c r="E1491" s="11" t="str">
        <f>+HYPERLINK("http://trademark.i-assist.jp/data/china/image_1928th/82718463.pdf","82718463")</f>
        <v>82718463</v>
      </c>
      <c r="F1491" s="9" t="s">
        <v>4177</v>
      </c>
      <c r="G1491" s="9" t="s">
        <v>4178</v>
      </c>
      <c r="H1491" s="9" t="s">
        <v>4179</v>
      </c>
      <c r="I1491" s="10">
        <v>45649</v>
      </c>
    </row>
    <row r="1492" spans="1:9" x14ac:dyDescent="0.15">
      <c r="A1492" s="9">
        <v>1491</v>
      </c>
      <c r="B1492" s="9" t="s">
        <v>9</v>
      </c>
      <c r="C1492" s="9">
        <v>1928</v>
      </c>
      <c r="D1492" s="10">
        <v>45736</v>
      </c>
      <c r="E1492" s="11" t="str">
        <f>+HYPERLINK("http://trademark.i-assist.jp/data/china/image_1928th/82718557.pdf","82718557")</f>
        <v>82718557</v>
      </c>
      <c r="F1492" s="9" t="s">
        <v>4180</v>
      </c>
      <c r="G1492" s="9" t="s">
        <v>4181</v>
      </c>
      <c r="H1492" s="9" t="s">
        <v>4182</v>
      </c>
      <c r="I1492" s="10">
        <v>45649</v>
      </c>
    </row>
    <row r="1493" spans="1:9" x14ac:dyDescent="0.15">
      <c r="A1493" s="9">
        <v>1492</v>
      </c>
      <c r="B1493" s="9" t="s">
        <v>9</v>
      </c>
      <c r="C1493" s="9">
        <v>1928</v>
      </c>
      <c r="D1493" s="10">
        <v>45736</v>
      </c>
      <c r="E1493" s="11" t="str">
        <f>+HYPERLINK("http://trademark.i-assist.jp/data/china/image_1928th/82718734.pdf","82718734")</f>
        <v>82718734</v>
      </c>
      <c r="F1493" s="12" t="s">
        <v>18</v>
      </c>
      <c r="G1493" s="12" t="s">
        <v>4183</v>
      </c>
      <c r="H1493" s="9" t="s">
        <v>4184</v>
      </c>
      <c r="I1493" s="10">
        <v>45649</v>
      </c>
    </row>
    <row r="1494" spans="1:9" x14ac:dyDescent="0.15">
      <c r="A1494" s="9">
        <v>1493</v>
      </c>
      <c r="B1494" s="9" t="s">
        <v>9</v>
      </c>
      <c r="C1494" s="9">
        <v>1928</v>
      </c>
      <c r="D1494" s="10">
        <v>45736</v>
      </c>
      <c r="E1494" s="11" t="str">
        <f>+HYPERLINK("http://trademark.i-assist.jp/data/china/image_1928th/82718861.pdf","82718861")</f>
        <v>82718861</v>
      </c>
      <c r="F1494" s="12" t="s">
        <v>4185</v>
      </c>
      <c r="G1494" s="12" t="s">
        <v>4186</v>
      </c>
      <c r="H1494" s="9" t="s">
        <v>4187</v>
      </c>
      <c r="I1494" s="10">
        <v>45649</v>
      </c>
    </row>
    <row r="1495" spans="1:9" x14ac:dyDescent="0.15">
      <c r="A1495" s="9">
        <v>1494</v>
      </c>
      <c r="B1495" s="9" t="s">
        <v>9</v>
      </c>
      <c r="C1495" s="9">
        <v>1928</v>
      </c>
      <c r="D1495" s="10">
        <v>45736</v>
      </c>
      <c r="E1495" s="11" t="str">
        <f>+HYPERLINK("http://trademark.i-assist.jp/data/china/image_1928th/82718996.pdf","82718996")</f>
        <v>82718996</v>
      </c>
      <c r="F1495" s="9" t="s">
        <v>4188</v>
      </c>
      <c r="G1495" s="9" t="s">
        <v>4189</v>
      </c>
      <c r="H1495" s="9" t="s">
        <v>4190</v>
      </c>
      <c r="I1495" s="10">
        <v>45649</v>
      </c>
    </row>
    <row r="1496" spans="1:9" x14ac:dyDescent="0.15">
      <c r="A1496" s="9">
        <v>1495</v>
      </c>
      <c r="B1496" s="9" t="s">
        <v>9</v>
      </c>
      <c r="C1496" s="9">
        <v>1928</v>
      </c>
      <c r="D1496" s="10">
        <v>45736</v>
      </c>
      <c r="E1496" s="11" t="str">
        <f>+HYPERLINK("http://trademark.i-assist.jp/data/china/image_1928th/82719526.pdf","82719526")</f>
        <v>82719526</v>
      </c>
      <c r="F1496" s="9" t="s">
        <v>4191</v>
      </c>
      <c r="G1496" s="9" t="s">
        <v>2057</v>
      </c>
      <c r="H1496" s="9" t="s">
        <v>4192</v>
      </c>
      <c r="I1496" s="10">
        <v>45649</v>
      </c>
    </row>
    <row r="1497" spans="1:9" x14ac:dyDescent="0.15">
      <c r="A1497" s="9">
        <v>1496</v>
      </c>
      <c r="B1497" s="9" t="s">
        <v>9</v>
      </c>
      <c r="C1497" s="9">
        <v>1928</v>
      </c>
      <c r="D1497" s="10">
        <v>45736</v>
      </c>
      <c r="E1497" s="11" t="str">
        <f>+HYPERLINK("http://trademark.i-assist.jp/data/china/image_1928th/82719718.pdf","82719718")</f>
        <v>82719718</v>
      </c>
      <c r="F1497" s="9" t="s">
        <v>4193</v>
      </c>
      <c r="G1497" s="9" t="s">
        <v>4194</v>
      </c>
      <c r="H1497" s="12" t="s">
        <v>4195</v>
      </c>
      <c r="I1497" s="10">
        <v>45649</v>
      </c>
    </row>
    <row r="1498" spans="1:9" x14ac:dyDescent="0.15">
      <c r="A1498" s="9">
        <v>1497</v>
      </c>
      <c r="B1498" s="9" t="s">
        <v>9</v>
      </c>
      <c r="C1498" s="9">
        <v>1928</v>
      </c>
      <c r="D1498" s="10">
        <v>45736</v>
      </c>
      <c r="E1498" s="11" t="str">
        <f>+HYPERLINK("http://trademark.i-assist.jp/data/china/image_1928th/82719741.pdf","82719741")</f>
        <v>82719741</v>
      </c>
      <c r="F1498" s="9" t="s">
        <v>4196</v>
      </c>
      <c r="G1498" s="9" t="s">
        <v>4197</v>
      </c>
      <c r="H1498" s="9" t="s">
        <v>4198</v>
      </c>
      <c r="I1498" s="10">
        <v>45649</v>
      </c>
    </row>
    <row r="1499" spans="1:9" x14ac:dyDescent="0.15">
      <c r="A1499" s="9">
        <v>1498</v>
      </c>
      <c r="B1499" s="9" t="s">
        <v>9</v>
      </c>
      <c r="C1499" s="9">
        <v>1928</v>
      </c>
      <c r="D1499" s="10">
        <v>45736</v>
      </c>
      <c r="E1499" s="11" t="str">
        <f>+HYPERLINK("http://trademark.i-assist.jp/data/china/image_1928th/82719856.pdf","82719856")</f>
        <v>82719856</v>
      </c>
      <c r="F1499" s="9" t="s">
        <v>4199</v>
      </c>
      <c r="G1499" s="9" t="s">
        <v>4200</v>
      </c>
      <c r="H1499" s="12" t="s">
        <v>4201</v>
      </c>
      <c r="I1499" s="10">
        <v>45649</v>
      </c>
    </row>
    <row r="1500" spans="1:9" x14ac:dyDescent="0.15">
      <c r="A1500" s="9">
        <v>1499</v>
      </c>
      <c r="B1500" s="9" t="s">
        <v>9</v>
      </c>
      <c r="C1500" s="9">
        <v>1928</v>
      </c>
      <c r="D1500" s="10">
        <v>45736</v>
      </c>
      <c r="E1500" s="11" t="str">
        <f>+HYPERLINK("http://trademark.i-assist.jp/data/china/image_1928th/82719951.pdf","82719951")</f>
        <v>82719951</v>
      </c>
      <c r="F1500" s="13" t="s">
        <v>4202</v>
      </c>
      <c r="G1500" s="9" t="s">
        <v>3952</v>
      </c>
      <c r="H1500" s="9" t="s">
        <v>4203</v>
      </c>
      <c r="I1500" s="10">
        <v>45649</v>
      </c>
    </row>
    <row r="1501" spans="1:9" x14ac:dyDescent="0.15">
      <c r="A1501" s="9">
        <v>1500</v>
      </c>
      <c r="B1501" s="9" t="s">
        <v>9</v>
      </c>
      <c r="C1501" s="9">
        <v>1928</v>
      </c>
      <c r="D1501" s="10">
        <v>45736</v>
      </c>
      <c r="E1501" s="11" t="str">
        <f>+HYPERLINK("http://trademark.i-assist.jp/data/china/image_1928th/82720034.pdf","82720034")</f>
        <v>82720034</v>
      </c>
      <c r="F1501" s="9" t="s">
        <v>4204</v>
      </c>
      <c r="G1501" s="9" t="s">
        <v>4205</v>
      </c>
      <c r="H1501" s="9" t="s">
        <v>4206</v>
      </c>
      <c r="I1501" s="10">
        <v>45649</v>
      </c>
    </row>
    <row r="1502" spans="1:9" x14ac:dyDescent="0.15">
      <c r="A1502" s="9">
        <v>1501</v>
      </c>
      <c r="B1502" s="9" t="s">
        <v>9</v>
      </c>
      <c r="C1502" s="9">
        <v>1928</v>
      </c>
      <c r="D1502" s="10">
        <v>45736</v>
      </c>
      <c r="E1502" s="11" t="str">
        <f>+HYPERLINK("http://trademark.i-assist.jp/data/china/image_1928th/82720299.pdf","82720299")</f>
        <v>82720299</v>
      </c>
      <c r="F1502" s="12" t="s">
        <v>4207</v>
      </c>
      <c r="G1502" s="9" t="s">
        <v>4208</v>
      </c>
      <c r="H1502" s="9" t="s">
        <v>4209</v>
      </c>
      <c r="I1502" s="10">
        <v>45649</v>
      </c>
    </row>
    <row r="1503" spans="1:9" x14ac:dyDescent="0.15">
      <c r="A1503" s="9">
        <v>1502</v>
      </c>
      <c r="B1503" s="9" t="s">
        <v>9</v>
      </c>
      <c r="C1503" s="9">
        <v>1928</v>
      </c>
      <c r="D1503" s="10">
        <v>45736</v>
      </c>
      <c r="E1503" s="11" t="str">
        <f>+HYPERLINK("http://trademark.i-assist.jp/data/china/image_1928th/82720302.pdf","82720302")</f>
        <v>82720302</v>
      </c>
      <c r="F1503" s="9" t="s">
        <v>4210</v>
      </c>
      <c r="G1503" s="12" t="s">
        <v>4053</v>
      </c>
      <c r="H1503" s="9" t="s">
        <v>4211</v>
      </c>
      <c r="I1503" s="10">
        <v>45649</v>
      </c>
    </row>
    <row r="1504" spans="1:9" x14ac:dyDescent="0.15">
      <c r="A1504" s="9">
        <v>1503</v>
      </c>
      <c r="B1504" s="9" t="s">
        <v>9</v>
      </c>
      <c r="C1504" s="9">
        <v>1928</v>
      </c>
      <c r="D1504" s="10">
        <v>45736</v>
      </c>
      <c r="E1504" s="11" t="str">
        <f>+HYPERLINK("http://trademark.i-assist.jp/data/china/image_1928th/82721519.pdf","82721519")</f>
        <v>82721519</v>
      </c>
      <c r="F1504" s="9" t="s">
        <v>4212</v>
      </c>
      <c r="G1504" s="12" t="s">
        <v>4053</v>
      </c>
      <c r="H1504" s="9" t="s">
        <v>4213</v>
      </c>
      <c r="I1504" s="10">
        <v>45649</v>
      </c>
    </row>
    <row r="1505" spans="1:9" x14ac:dyDescent="0.15">
      <c r="A1505" s="9">
        <v>1504</v>
      </c>
      <c r="B1505" s="9" t="s">
        <v>9</v>
      </c>
      <c r="C1505" s="9">
        <v>1928</v>
      </c>
      <c r="D1505" s="10">
        <v>45736</v>
      </c>
      <c r="E1505" s="11" t="str">
        <f>+HYPERLINK("http://trademark.i-assist.jp/data/china/image_1928th/82721539.pdf","82721539")</f>
        <v>82721539</v>
      </c>
      <c r="F1505" s="9" t="s">
        <v>4214</v>
      </c>
      <c r="G1505" s="9" t="s">
        <v>4215</v>
      </c>
      <c r="H1505" s="9" t="s">
        <v>4216</v>
      </c>
      <c r="I1505" s="10">
        <v>45649</v>
      </c>
    </row>
    <row r="1506" spans="1:9" x14ac:dyDescent="0.15">
      <c r="A1506" s="9">
        <v>1505</v>
      </c>
      <c r="B1506" s="9" t="s">
        <v>9</v>
      </c>
      <c r="C1506" s="9">
        <v>1928</v>
      </c>
      <c r="D1506" s="10">
        <v>45736</v>
      </c>
      <c r="E1506" s="11" t="str">
        <f>+HYPERLINK("http://trademark.i-assist.jp/data/china/image_1928th/82721556.pdf","82721556")</f>
        <v>82721556</v>
      </c>
      <c r="F1506" s="9" t="s">
        <v>4217</v>
      </c>
      <c r="G1506" s="9" t="s">
        <v>4218</v>
      </c>
      <c r="H1506" s="9" t="s">
        <v>4219</v>
      </c>
      <c r="I1506" s="10">
        <v>45649</v>
      </c>
    </row>
    <row r="1507" spans="1:9" x14ac:dyDescent="0.15">
      <c r="A1507" s="9">
        <v>1506</v>
      </c>
      <c r="B1507" s="9" t="s">
        <v>9</v>
      </c>
      <c r="C1507" s="9">
        <v>1928</v>
      </c>
      <c r="D1507" s="10">
        <v>45736</v>
      </c>
      <c r="E1507" s="11" t="str">
        <f>+HYPERLINK("http://trademark.i-assist.jp/data/china/image_1928th/82721996.pdf","82721996")</f>
        <v>82721996</v>
      </c>
      <c r="F1507" s="9" t="s">
        <v>4220</v>
      </c>
      <c r="G1507" s="9" t="s">
        <v>4221</v>
      </c>
      <c r="H1507" s="9" t="s">
        <v>4222</v>
      </c>
      <c r="I1507" s="10">
        <v>45649</v>
      </c>
    </row>
    <row r="1508" spans="1:9" x14ac:dyDescent="0.15">
      <c r="A1508" s="9">
        <v>1507</v>
      </c>
      <c r="B1508" s="9" t="s">
        <v>9</v>
      </c>
      <c r="C1508" s="9">
        <v>1928</v>
      </c>
      <c r="D1508" s="10">
        <v>45736</v>
      </c>
      <c r="E1508" s="11" t="str">
        <f>+HYPERLINK("http://trademark.i-assist.jp/data/china/image_1928th/82722254.pdf","82722254")</f>
        <v>82722254</v>
      </c>
      <c r="F1508" s="9" t="s">
        <v>4223</v>
      </c>
      <c r="G1508" s="9" t="s">
        <v>4084</v>
      </c>
      <c r="H1508" s="12" t="s">
        <v>4224</v>
      </c>
      <c r="I1508" s="10">
        <v>45649</v>
      </c>
    </row>
    <row r="1509" spans="1:9" x14ac:dyDescent="0.15">
      <c r="A1509" s="9">
        <v>1508</v>
      </c>
      <c r="B1509" s="9" t="s">
        <v>9</v>
      </c>
      <c r="C1509" s="9">
        <v>1928</v>
      </c>
      <c r="D1509" s="10">
        <v>45736</v>
      </c>
      <c r="E1509" s="11" t="str">
        <f>+HYPERLINK("http://trademark.i-assist.jp/data/china/image_1928th/82722770.pdf","82722770")</f>
        <v>82722770</v>
      </c>
      <c r="F1509" s="9" t="s">
        <v>4225</v>
      </c>
      <c r="G1509" s="12" t="s">
        <v>4226</v>
      </c>
      <c r="H1509" s="9" t="s">
        <v>4227</v>
      </c>
      <c r="I1509" s="10">
        <v>45650</v>
      </c>
    </row>
    <row r="1510" spans="1:9" x14ac:dyDescent="0.15">
      <c r="A1510" s="9">
        <v>1509</v>
      </c>
      <c r="B1510" s="9" t="s">
        <v>9</v>
      </c>
      <c r="C1510" s="9">
        <v>1928</v>
      </c>
      <c r="D1510" s="10">
        <v>45736</v>
      </c>
      <c r="E1510" s="11" t="str">
        <f>+HYPERLINK("http://trademark.i-assist.jp/data/china/image_1928th/82722809.pdf","82722809")</f>
        <v>82722809</v>
      </c>
      <c r="F1510" s="9" t="s">
        <v>4228</v>
      </c>
      <c r="G1510" s="9" t="s">
        <v>4229</v>
      </c>
      <c r="H1510" s="9" t="s">
        <v>4230</v>
      </c>
      <c r="I1510" s="10">
        <v>45650</v>
      </c>
    </row>
    <row r="1511" spans="1:9" x14ac:dyDescent="0.15">
      <c r="A1511" s="9">
        <v>1510</v>
      </c>
      <c r="B1511" s="9" t="s">
        <v>9</v>
      </c>
      <c r="C1511" s="9">
        <v>1928</v>
      </c>
      <c r="D1511" s="10">
        <v>45736</v>
      </c>
      <c r="E1511" s="11" t="str">
        <f>+HYPERLINK("http://trademark.i-assist.jp/data/china/image_1928th/82722887.pdf","82722887")</f>
        <v>82722887</v>
      </c>
      <c r="F1511" s="9" t="s">
        <v>4231</v>
      </c>
      <c r="G1511" s="9" t="s">
        <v>4232</v>
      </c>
      <c r="H1511" s="9" t="s">
        <v>4233</v>
      </c>
      <c r="I1511" s="10">
        <v>45650</v>
      </c>
    </row>
    <row r="1512" spans="1:9" x14ac:dyDescent="0.15">
      <c r="A1512" s="9">
        <v>1511</v>
      </c>
      <c r="B1512" s="9" t="s">
        <v>9</v>
      </c>
      <c r="C1512" s="9">
        <v>1928</v>
      </c>
      <c r="D1512" s="10">
        <v>45736</v>
      </c>
      <c r="E1512" s="11" t="str">
        <f>+HYPERLINK("http://trademark.i-assist.jp/data/china/image_1928th/82723183.pdf","82723183")</f>
        <v>82723183</v>
      </c>
      <c r="F1512" s="9" t="s">
        <v>4234</v>
      </c>
      <c r="G1512" s="9" t="s">
        <v>4235</v>
      </c>
      <c r="H1512" s="9" t="s">
        <v>4236</v>
      </c>
      <c r="I1512" s="10">
        <v>45650</v>
      </c>
    </row>
    <row r="1513" spans="1:9" x14ac:dyDescent="0.15">
      <c r="A1513" s="9">
        <v>1512</v>
      </c>
      <c r="B1513" s="9" t="s">
        <v>9</v>
      </c>
      <c r="C1513" s="9">
        <v>1928</v>
      </c>
      <c r="D1513" s="10">
        <v>45736</v>
      </c>
      <c r="E1513" s="11" t="str">
        <f>+HYPERLINK("http://trademark.i-assist.jp/data/china/image_1928th/82723481.pdf","82723481")</f>
        <v>82723481</v>
      </c>
      <c r="F1513" s="12" t="s">
        <v>4237</v>
      </c>
      <c r="G1513" s="9" t="s">
        <v>4238</v>
      </c>
      <c r="H1513" s="9" t="s">
        <v>4239</v>
      </c>
      <c r="I1513" s="10">
        <v>45650</v>
      </c>
    </row>
    <row r="1514" spans="1:9" x14ac:dyDescent="0.15">
      <c r="A1514" s="9">
        <v>1513</v>
      </c>
      <c r="B1514" s="9" t="s">
        <v>9</v>
      </c>
      <c r="C1514" s="9">
        <v>1928</v>
      </c>
      <c r="D1514" s="10">
        <v>45736</v>
      </c>
      <c r="E1514" s="11" t="str">
        <f>+HYPERLINK("http://trademark.i-assist.jp/data/china/image_1928th/82723615.pdf","82723615")</f>
        <v>82723615</v>
      </c>
      <c r="F1514" s="9" t="s">
        <v>4240</v>
      </c>
      <c r="G1514" s="9" t="s">
        <v>4241</v>
      </c>
      <c r="H1514" s="9" t="s">
        <v>4242</v>
      </c>
      <c r="I1514" s="10">
        <v>45650</v>
      </c>
    </row>
    <row r="1515" spans="1:9" x14ac:dyDescent="0.15">
      <c r="A1515" s="9">
        <v>1514</v>
      </c>
      <c r="B1515" s="9" t="s">
        <v>9</v>
      </c>
      <c r="C1515" s="9">
        <v>1928</v>
      </c>
      <c r="D1515" s="10">
        <v>45736</v>
      </c>
      <c r="E1515" s="11" t="str">
        <f>+HYPERLINK("http://trademark.i-assist.jp/data/china/image_1928th/82723664.pdf","82723664")</f>
        <v>82723664</v>
      </c>
      <c r="F1515" s="12" t="s">
        <v>4243</v>
      </c>
      <c r="G1515" s="12" t="s">
        <v>3921</v>
      </c>
      <c r="H1515" s="9" t="s">
        <v>4244</v>
      </c>
      <c r="I1515" s="10">
        <v>45650</v>
      </c>
    </row>
    <row r="1516" spans="1:9" x14ac:dyDescent="0.15">
      <c r="A1516" s="9">
        <v>1515</v>
      </c>
      <c r="B1516" s="9" t="s">
        <v>9</v>
      </c>
      <c r="C1516" s="9">
        <v>1928</v>
      </c>
      <c r="D1516" s="10">
        <v>45736</v>
      </c>
      <c r="E1516" s="11" t="str">
        <f>+HYPERLINK("http://trademark.i-assist.jp/data/china/image_1928th/82723914.pdf","82723914")</f>
        <v>82723914</v>
      </c>
      <c r="F1516" s="12" t="s">
        <v>4245</v>
      </c>
      <c r="G1516" s="9" t="s">
        <v>4246</v>
      </c>
      <c r="H1516" s="9" t="s">
        <v>4247</v>
      </c>
      <c r="I1516" s="10">
        <v>45650</v>
      </c>
    </row>
    <row r="1517" spans="1:9" x14ac:dyDescent="0.15">
      <c r="A1517" s="9">
        <v>1516</v>
      </c>
      <c r="B1517" s="9" t="s">
        <v>9</v>
      </c>
      <c r="C1517" s="9">
        <v>1928</v>
      </c>
      <c r="D1517" s="10">
        <v>45736</v>
      </c>
      <c r="E1517" s="11" t="str">
        <f>+HYPERLINK("http://trademark.i-assist.jp/data/china/image_1928th/82724068.pdf","82724068")</f>
        <v>82724068</v>
      </c>
      <c r="F1517" s="9" t="s">
        <v>4248</v>
      </c>
      <c r="G1517" s="9" t="s">
        <v>4249</v>
      </c>
      <c r="H1517" s="9" t="s">
        <v>4250</v>
      </c>
      <c r="I1517" s="10">
        <v>45650</v>
      </c>
    </row>
    <row r="1518" spans="1:9" x14ac:dyDescent="0.15">
      <c r="A1518" s="9">
        <v>1517</v>
      </c>
      <c r="B1518" s="9" t="s">
        <v>9</v>
      </c>
      <c r="C1518" s="9">
        <v>1928</v>
      </c>
      <c r="D1518" s="10">
        <v>45736</v>
      </c>
      <c r="E1518" s="11" t="str">
        <f>+HYPERLINK("http://trademark.i-assist.jp/data/china/image_1928th/82724192.pdf","82724192")</f>
        <v>82724192</v>
      </c>
      <c r="F1518" s="9" t="s">
        <v>4251</v>
      </c>
      <c r="G1518" s="9" t="s">
        <v>4252</v>
      </c>
      <c r="H1518" s="9" t="s">
        <v>4253</v>
      </c>
      <c r="I1518" s="10">
        <v>45650</v>
      </c>
    </row>
    <row r="1519" spans="1:9" x14ac:dyDescent="0.15">
      <c r="A1519" s="9">
        <v>1518</v>
      </c>
      <c r="B1519" s="9" t="s">
        <v>9</v>
      </c>
      <c r="C1519" s="9">
        <v>1928</v>
      </c>
      <c r="D1519" s="10">
        <v>45736</v>
      </c>
      <c r="E1519" s="11" t="str">
        <f>+HYPERLINK("http://trademark.i-assist.jp/data/china/image_1928th/82724847.pdf","82724847")</f>
        <v>82724847</v>
      </c>
      <c r="F1519" s="12" t="s">
        <v>4254</v>
      </c>
      <c r="G1519" s="9" t="s">
        <v>41</v>
      </c>
      <c r="H1519" s="9" t="s">
        <v>4255</v>
      </c>
      <c r="I1519" s="10">
        <v>45650</v>
      </c>
    </row>
    <row r="1520" spans="1:9" x14ac:dyDescent="0.15">
      <c r="A1520" s="9">
        <v>1519</v>
      </c>
      <c r="B1520" s="9" t="s">
        <v>9</v>
      </c>
      <c r="C1520" s="9">
        <v>1928</v>
      </c>
      <c r="D1520" s="10">
        <v>45736</v>
      </c>
      <c r="E1520" s="11" t="str">
        <f>+HYPERLINK("http://trademark.i-assist.jp/data/china/image_1928th/82724971.pdf","82724971")</f>
        <v>82724971</v>
      </c>
      <c r="F1520" s="9" t="s">
        <v>4256</v>
      </c>
      <c r="G1520" s="9" t="s">
        <v>69</v>
      </c>
      <c r="H1520" s="9" t="s">
        <v>4257</v>
      </c>
      <c r="I1520" s="10">
        <v>45650</v>
      </c>
    </row>
    <row r="1521" spans="1:9" x14ac:dyDescent="0.15">
      <c r="A1521" s="9">
        <v>1520</v>
      </c>
      <c r="B1521" s="9" t="s">
        <v>9</v>
      </c>
      <c r="C1521" s="9">
        <v>1928</v>
      </c>
      <c r="D1521" s="10">
        <v>45736</v>
      </c>
      <c r="E1521" s="11" t="str">
        <f>+HYPERLINK("http://trademark.i-assist.jp/data/china/image_1928th/82725013.pdf","82725013")</f>
        <v>82725013</v>
      </c>
      <c r="F1521" s="12" t="s">
        <v>4258</v>
      </c>
      <c r="G1521" s="9" t="s">
        <v>4259</v>
      </c>
      <c r="H1521" s="9" t="s">
        <v>4260</v>
      </c>
      <c r="I1521" s="10">
        <v>45650</v>
      </c>
    </row>
    <row r="1522" spans="1:9" x14ac:dyDescent="0.15">
      <c r="A1522" s="9">
        <v>1521</v>
      </c>
      <c r="B1522" s="9" t="s">
        <v>9</v>
      </c>
      <c r="C1522" s="9">
        <v>1928</v>
      </c>
      <c r="D1522" s="10">
        <v>45736</v>
      </c>
      <c r="E1522" s="11" t="str">
        <f>+HYPERLINK("http://trademark.i-assist.jp/data/china/image_1928th/82725148.pdf","82725148")</f>
        <v>82725148</v>
      </c>
      <c r="F1522" s="9" t="s">
        <v>4261</v>
      </c>
      <c r="G1522" s="9" t="s">
        <v>4262</v>
      </c>
      <c r="H1522" s="9" t="s">
        <v>4263</v>
      </c>
      <c r="I1522" s="10">
        <v>45650</v>
      </c>
    </row>
    <row r="1523" spans="1:9" x14ac:dyDescent="0.15">
      <c r="A1523" s="9">
        <v>1522</v>
      </c>
      <c r="B1523" s="9" t="s">
        <v>9</v>
      </c>
      <c r="C1523" s="9">
        <v>1928</v>
      </c>
      <c r="D1523" s="10">
        <v>45736</v>
      </c>
      <c r="E1523" s="11" t="str">
        <f>+HYPERLINK("http://trademark.i-assist.jp/data/china/image_1928th/82725364.pdf","82725364")</f>
        <v>82725364</v>
      </c>
      <c r="F1523" s="9" t="s">
        <v>4264</v>
      </c>
      <c r="G1523" s="9" t="s">
        <v>4265</v>
      </c>
      <c r="H1523" s="9" t="s">
        <v>4266</v>
      </c>
      <c r="I1523" s="10">
        <v>45650</v>
      </c>
    </row>
    <row r="1524" spans="1:9" x14ac:dyDescent="0.15">
      <c r="A1524" s="9">
        <v>1523</v>
      </c>
      <c r="B1524" s="9" t="s">
        <v>9</v>
      </c>
      <c r="C1524" s="9">
        <v>1928</v>
      </c>
      <c r="D1524" s="10">
        <v>45736</v>
      </c>
      <c r="E1524" s="11" t="str">
        <f>+HYPERLINK("http://trademark.i-assist.jp/data/china/image_1928th/82725416.pdf","82725416")</f>
        <v>82725416</v>
      </c>
      <c r="F1524" s="12" t="s">
        <v>4267</v>
      </c>
      <c r="G1524" s="9" t="s">
        <v>4268</v>
      </c>
      <c r="H1524" s="9" t="s">
        <v>4269</v>
      </c>
      <c r="I1524" s="10">
        <v>45650</v>
      </c>
    </row>
    <row r="1525" spans="1:9" x14ac:dyDescent="0.15">
      <c r="A1525" s="9">
        <v>1524</v>
      </c>
      <c r="B1525" s="9" t="s">
        <v>9</v>
      </c>
      <c r="C1525" s="9">
        <v>1928</v>
      </c>
      <c r="D1525" s="10">
        <v>45736</v>
      </c>
      <c r="E1525" s="11" t="str">
        <f>+HYPERLINK("http://trademark.i-assist.jp/data/china/image_1928th/82725684.pdf","82725684")</f>
        <v>82725684</v>
      </c>
      <c r="F1525" s="9" t="s">
        <v>4270</v>
      </c>
      <c r="G1525" s="9" t="s">
        <v>4249</v>
      </c>
      <c r="H1525" s="9" t="s">
        <v>4271</v>
      </c>
      <c r="I1525" s="10">
        <v>45650</v>
      </c>
    </row>
    <row r="1526" spans="1:9" x14ac:dyDescent="0.15">
      <c r="A1526" s="9">
        <v>1525</v>
      </c>
      <c r="B1526" s="9" t="s">
        <v>9</v>
      </c>
      <c r="C1526" s="9">
        <v>1928</v>
      </c>
      <c r="D1526" s="10">
        <v>45736</v>
      </c>
      <c r="E1526" s="11" t="str">
        <f>+HYPERLINK("http://trademark.i-assist.jp/data/china/image_1928th/82726315.pdf","82726315")</f>
        <v>82726315</v>
      </c>
      <c r="F1526" s="12" t="s">
        <v>4272</v>
      </c>
      <c r="G1526" s="9" t="s">
        <v>4273</v>
      </c>
      <c r="H1526" s="9" t="s">
        <v>4274</v>
      </c>
      <c r="I1526" s="10">
        <v>45650</v>
      </c>
    </row>
    <row r="1527" spans="1:9" x14ac:dyDescent="0.15">
      <c r="A1527" s="9">
        <v>1526</v>
      </c>
      <c r="B1527" s="9" t="s">
        <v>9</v>
      </c>
      <c r="C1527" s="9">
        <v>1928</v>
      </c>
      <c r="D1527" s="10">
        <v>45736</v>
      </c>
      <c r="E1527" s="11" t="str">
        <f>+HYPERLINK("http://trademark.i-assist.jp/data/china/image_1928th/82726425.pdf","82726425")</f>
        <v>82726425</v>
      </c>
      <c r="F1527" s="12" t="s">
        <v>4275</v>
      </c>
      <c r="G1527" s="12" t="s">
        <v>4275</v>
      </c>
      <c r="H1527" s="9" t="s">
        <v>4276</v>
      </c>
      <c r="I1527" s="10">
        <v>45650</v>
      </c>
    </row>
    <row r="1528" spans="1:9" x14ac:dyDescent="0.15">
      <c r="A1528" s="9">
        <v>1527</v>
      </c>
      <c r="B1528" s="9" t="s">
        <v>9</v>
      </c>
      <c r="C1528" s="9">
        <v>1928</v>
      </c>
      <c r="D1528" s="10">
        <v>45736</v>
      </c>
      <c r="E1528" s="11" t="str">
        <f>+HYPERLINK("http://trademark.i-assist.jp/data/china/image_1928th/82726602.pdf","82726602")</f>
        <v>82726602</v>
      </c>
      <c r="F1528" s="12" t="s">
        <v>4277</v>
      </c>
      <c r="G1528" s="9" t="s">
        <v>4278</v>
      </c>
      <c r="H1528" s="9" t="s">
        <v>4279</v>
      </c>
      <c r="I1528" s="10">
        <v>45650</v>
      </c>
    </row>
    <row r="1529" spans="1:9" x14ac:dyDescent="0.15">
      <c r="A1529" s="9">
        <v>1528</v>
      </c>
      <c r="B1529" s="9" t="s">
        <v>9</v>
      </c>
      <c r="C1529" s="9">
        <v>1928</v>
      </c>
      <c r="D1529" s="10">
        <v>45736</v>
      </c>
      <c r="E1529" s="11" t="str">
        <f>+HYPERLINK("http://trademark.i-assist.jp/data/china/image_1928th/82726686.pdf","82726686")</f>
        <v>82726686</v>
      </c>
      <c r="F1529" s="9" t="s">
        <v>4280</v>
      </c>
      <c r="G1529" s="12" t="s">
        <v>4281</v>
      </c>
      <c r="H1529" s="9" t="s">
        <v>4282</v>
      </c>
      <c r="I1529" s="10">
        <v>45650</v>
      </c>
    </row>
    <row r="1530" spans="1:9" x14ac:dyDescent="0.15">
      <c r="A1530" s="9">
        <v>1529</v>
      </c>
      <c r="B1530" s="9" t="s">
        <v>9</v>
      </c>
      <c r="C1530" s="9">
        <v>1928</v>
      </c>
      <c r="D1530" s="10">
        <v>45736</v>
      </c>
      <c r="E1530" s="11" t="str">
        <f>+HYPERLINK("http://trademark.i-assist.jp/data/china/image_1928th/82726786.pdf","82726786")</f>
        <v>82726786</v>
      </c>
      <c r="F1530" s="9" t="s">
        <v>4283</v>
      </c>
      <c r="G1530" s="12" t="s">
        <v>4284</v>
      </c>
      <c r="H1530" s="9" t="s">
        <v>4285</v>
      </c>
      <c r="I1530" s="10">
        <v>45650</v>
      </c>
    </row>
    <row r="1531" spans="1:9" x14ac:dyDescent="0.15">
      <c r="A1531" s="9">
        <v>1530</v>
      </c>
      <c r="B1531" s="9" t="s">
        <v>9</v>
      </c>
      <c r="C1531" s="9">
        <v>1928</v>
      </c>
      <c r="D1531" s="10">
        <v>45736</v>
      </c>
      <c r="E1531" s="11" t="str">
        <f>+HYPERLINK("http://trademark.i-assist.jp/data/china/image_1928th/82726907.pdf","82726907")</f>
        <v>82726907</v>
      </c>
      <c r="F1531" s="12" t="s">
        <v>4286</v>
      </c>
      <c r="G1531" s="9" t="s">
        <v>4287</v>
      </c>
      <c r="H1531" s="9" t="s">
        <v>4288</v>
      </c>
      <c r="I1531" s="10">
        <v>45650</v>
      </c>
    </row>
    <row r="1532" spans="1:9" x14ac:dyDescent="0.15">
      <c r="A1532" s="9">
        <v>1531</v>
      </c>
      <c r="B1532" s="9" t="s">
        <v>9</v>
      </c>
      <c r="C1532" s="9">
        <v>1928</v>
      </c>
      <c r="D1532" s="10">
        <v>45736</v>
      </c>
      <c r="E1532" s="11" t="str">
        <f>+HYPERLINK("http://trademark.i-assist.jp/data/china/image_1928th/82726996.pdf","82726996")</f>
        <v>82726996</v>
      </c>
      <c r="F1532" s="12" t="s">
        <v>4289</v>
      </c>
      <c r="G1532" s="9" t="s">
        <v>4290</v>
      </c>
      <c r="H1532" s="9" t="s">
        <v>4291</v>
      </c>
      <c r="I1532" s="10">
        <v>45650</v>
      </c>
    </row>
    <row r="1533" spans="1:9" x14ac:dyDescent="0.15">
      <c r="A1533" s="9">
        <v>1532</v>
      </c>
      <c r="B1533" s="9" t="s">
        <v>9</v>
      </c>
      <c r="C1533" s="9">
        <v>1928</v>
      </c>
      <c r="D1533" s="10">
        <v>45736</v>
      </c>
      <c r="E1533" s="11" t="str">
        <f>+HYPERLINK("http://trademark.i-assist.jp/data/china/image_1928th/82727337.pdf","82727337")</f>
        <v>82727337</v>
      </c>
      <c r="F1533" s="9" t="s">
        <v>4292</v>
      </c>
      <c r="G1533" s="9" t="s">
        <v>4293</v>
      </c>
      <c r="H1533" s="9" t="s">
        <v>4294</v>
      </c>
      <c r="I1533" s="10">
        <v>45650</v>
      </c>
    </row>
    <row r="1534" spans="1:9" x14ac:dyDescent="0.15">
      <c r="A1534" s="9">
        <v>1533</v>
      </c>
      <c r="B1534" s="9" t="s">
        <v>9</v>
      </c>
      <c r="C1534" s="9">
        <v>1928</v>
      </c>
      <c r="D1534" s="10">
        <v>45736</v>
      </c>
      <c r="E1534" s="11" t="str">
        <f>+HYPERLINK("http://trademark.i-assist.jp/data/china/image_1928th/82727339.pdf","82727339")</f>
        <v>82727339</v>
      </c>
      <c r="F1534" s="9" t="s">
        <v>4295</v>
      </c>
      <c r="G1534" s="9" t="s">
        <v>42</v>
      </c>
      <c r="H1534" s="9" t="s">
        <v>4296</v>
      </c>
      <c r="I1534" s="10">
        <v>45650</v>
      </c>
    </row>
    <row r="1535" spans="1:9" x14ac:dyDescent="0.15">
      <c r="A1535" s="9">
        <v>1534</v>
      </c>
      <c r="B1535" s="9" t="s">
        <v>9</v>
      </c>
      <c r="C1535" s="9">
        <v>1928</v>
      </c>
      <c r="D1535" s="10">
        <v>45736</v>
      </c>
      <c r="E1535" s="11" t="str">
        <f>+HYPERLINK("http://trademark.i-assist.jp/data/china/image_1928th/82727431.pdf","82727431")</f>
        <v>82727431</v>
      </c>
      <c r="F1535" s="12" t="s">
        <v>4297</v>
      </c>
      <c r="G1535" s="12" t="s">
        <v>4298</v>
      </c>
      <c r="H1535" s="9" t="s">
        <v>4299</v>
      </c>
      <c r="I1535" s="10">
        <v>45650</v>
      </c>
    </row>
    <row r="1536" spans="1:9" x14ac:dyDescent="0.15">
      <c r="A1536" s="9">
        <v>1535</v>
      </c>
      <c r="B1536" s="9" t="s">
        <v>9</v>
      </c>
      <c r="C1536" s="9">
        <v>1928</v>
      </c>
      <c r="D1536" s="10">
        <v>45736</v>
      </c>
      <c r="E1536" s="11" t="str">
        <f>+HYPERLINK("http://trademark.i-assist.jp/data/china/image_1928th/82727693.pdf","82727693")</f>
        <v>82727693</v>
      </c>
      <c r="F1536" s="9" t="s">
        <v>4300</v>
      </c>
      <c r="G1536" s="12" t="s">
        <v>4301</v>
      </c>
      <c r="H1536" s="9" t="s">
        <v>4302</v>
      </c>
      <c r="I1536" s="10">
        <v>45650</v>
      </c>
    </row>
    <row r="1537" spans="1:9" x14ac:dyDescent="0.15">
      <c r="A1537" s="9">
        <v>1536</v>
      </c>
      <c r="B1537" s="9" t="s">
        <v>9</v>
      </c>
      <c r="C1537" s="9">
        <v>1928</v>
      </c>
      <c r="D1537" s="10">
        <v>45736</v>
      </c>
      <c r="E1537" s="11" t="str">
        <f>+HYPERLINK("http://trademark.i-assist.jp/data/china/image_1928th/82727786.pdf","82727786")</f>
        <v>82727786</v>
      </c>
      <c r="F1537" s="9" t="s">
        <v>4303</v>
      </c>
      <c r="G1537" s="9" t="s">
        <v>4304</v>
      </c>
      <c r="H1537" s="9" t="s">
        <v>4305</v>
      </c>
      <c r="I1537" s="10">
        <v>45650</v>
      </c>
    </row>
    <row r="1538" spans="1:9" x14ac:dyDescent="0.15">
      <c r="A1538" s="9">
        <v>1537</v>
      </c>
      <c r="B1538" s="9" t="s">
        <v>9</v>
      </c>
      <c r="C1538" s="9">
        <v>1928</v>
      </c>
      <c r="D1538" s="10">
        <v>45736</v>
      </c>
      <c r="E1538" s="11" t="str">
        <f>+HYPERLINK("http://trademark.i-assist.jp/data/china/image_1928th/82727807.pdf","82727807")</f>
        <v>82727807</v>
      </c>
      <c r="F1538" s="12" t="s">
        <v>4306</v>
      </c>
      <c r="G1538" s="9" t="s">
        <v>4232</v>
      </c>
      <c r="H1538" s="9" t="s">
        <v>4307</v>
      </c>
      <c r="I1538" s="10">
        <v>45650</v>
      </c>
    </row>
    <row r="1539" spans="1:9" x14ac:dyDescent="0.15">
      <c r="A1539" s="9">
        <v>1538</v>
      </c>
      <c r="B1539" s="9" t="s">
        <v>9</v>
      </c>
      <c r="C1539" s="9">
        <v>1928</v>
      </c>
      <c r="D1539" s="10">
        <v>45736</v>
      </c>
      <c r="E1539" s="11" t="str">
        <f>+HYPERLINK("http://trademark.i-assist.jp/data/china/image_1928th/82727983.pdf","82727983")</f>
        <v>82727983</v>
      </c>
      <c r="F1539" s="9" t="s">
        <v>4308</v>
      </c>
      <c r="G1539" s="9" t="s">
        <v>39</v>
      </c>
      <c r="H1539" s="9" t="s">
        <v>4309</v>
      </c>
      <c r="I1539" s="10">
        <v>45650</v>
      </c>
    </row>
    <row r="1540" spans="1:9" x14ac:dyDescent="0.15">
      <c r="A1540" s="9">
        <v>1539</v>
      </c>
      <c r="B1540" s="9" t="s">
        <v>9</v>
      </c>
      <c r="C1540" s="9">
        <v>1928</v>
      </c>
      <c r="D1540" s="10">
        <v>45736</v>
      </c>
      <c r="E1540" s="11" t="str">
        <f>+HYPERLINK("http://trademark.i-assist.jp/data/china/image_1928th/82728611.pdf","82728611")</f>
        <v>82728611</v>
      </c>
      <c r="F1540" s="9" t="s">
        <v>4310</v>
      </c>
      <c r="G1540" s="9" t="s">
        <v>4311</v>
      </c>
      <c r="H1540" s="12" t="s">
        <v>4312</v>
      </c>
      <c r="I1540" s="10">
        <v>45650</v>
      </c>
    </row>
    <row r="1541" spans="1:9" x14ac:dyDescent="0.15">
      <c r="A1541" s="9">
        <v>1540</v>
      </c>
      <c r="B1541" s="9" t="s">
        <v>9</v>
      </c>
      <c r="C1541" s="9">
        <v>1928</v>
      </c>
      <c r="D1541" s="10">
        <v>45736</v>
      </c>
      <c r="E1541" s="11" t="str">
        <f>+HYPERLINK("http://trademark.i-assist.jp/data/china/image_1928th/82728766.pdf","82728766")</f>
        <v>82728766</v>
      </c>
      <c r="F1541" s="9" t="s">
        <v>4313</v>
      </c>
      <c r="G1541" s="9" t="s">
        <v>84</v>
      </c>
      <c r="H1541" s="9" t="s">
        <v>4314</v>
      </c>
      <c r="I1541" s="10">
        <v>45650</v>
      </c>
    </row>
    <row r="1542" spans="1:9" x14ac:dyDescent="0.15">
      <c r="A1542" s="9">
        <v>1541</v>
      </c>
      <c r="B1542" s="9" t="s">
        <v>9</v>
      </c>
      <c r="C1542" s="9">
        <v>1928</v>
      </c>
      <c r="D1542" s="10">
        <v>45736</v>
      </c>
      <c r="E1542" s="11" t="str">
        <f>+HYPERLINK("http://trademark.i-assist.jp/data/china/image_1928th/82728819.pdf","82728819")</f>
        <v>82728819</v>
      </c>
      <c r="F1542" s="9" t="s">
        <v>4315</v>
      </c>
      <c r="G1542" s="9" t="s">
        <v>41</v>
      </c>
      <c r="H1542" s="9" t="s">
        <v>4316</v>
      </c>
      <c r="I1542" s="10">
        <v>45650</v>
      </c>
    </row>
    <row r="1543" spans="1:9" x14ac:dyDescent="0.15">
      <c r="A1543" s="9">
        <v>1542</v>
      </c>
      <c r="B1543" s="9" t="s">
        <v>9</v>
      </c>
      <c r="C1543" s="9">
        <v>1928</v>
      </c>
      <c r="D1543" s="10">
        <v>45736</v>
      </c>
      <c r="E1543" s="11" t="str">
        <f>+HYPERLINK("http://trademark.i-assist.jp/data/china/image_1928th/82728930.pdf","82728930")</f>
        <v>82728930</v>
      </c>
      <c r="F1543" s="9" t="s">
        <v>4317</v>
      </c>
      <c r="G1543" s="9" t="s">
        <v>4318</v>
      </c>
      <c r="H1543" s="12" t="s">
        <v>4319</v>
      </c>
      <c r="I1543" s="10">
        <v>45650</v>
      </c>
    </row>
    <row r="1544" spans="1:9" x14ac:dyDescent="0.15">
      <c r="A1544" s="9">
        <v>1543</v>
      </c>
      <c r="B1544" s="9" t="s">
        <v>9</v>
      </c>
      <c r="C1544" s="9">
        <v>1928</v>
      </c>
      <c r="D1544" s="10">
        <v>45736</v>
      </c>
      <c r="E1544" s="11" t="str">
        <f>+HYPERLINK("http://trademark.i-assist.jp/data/china/image_1928th/82728952.pdf","82728952")</f>
        <v>82728952</v>
      </c>
      <c r="F1544" s="9" t="s">
        <v>4320</v>
      </c>
      <c r="G1544" s="9" t="s">
        <v>4321</v>
      </c>
      <c r="H1544" s="9" t="s">
        <v>4322</v>
      </c>
      <c r="I1544" s="10">
        <v>45650</v>
      </c>
    </row>
    <row r="1545" spans="1:9" x14ac:dyDescent="0.15">
      <c r="A1545" s="9">
        <v>1544</v>
      </c>
      <c r="B1545" s="9" t="s">
        <v>9</v>
      </c>
      <c r="C1545" s="9">
        <v>1928</v>
      </c>
      <c r="D1545" s="10">
        <v>45736</v>
      </c>
      <c r="E1545" s="11" t="str">
        <f>+HYPERLINK("http://trademark.i-assist.jp/data/china/image_1928th/82729042.pdf","82729042")</f>
        <v>82729042</v>
      </c>
      <c r="F1545" s="9" t="s">
        <v>4323</v>
      </c>
      <c r="G1545" s="9" t="s">
        <v>84</v>
      </c>
      <c r="H1545" s="9" t="s">
        <v>4324</v>
      </c>
      <c r="I1545" s="10">
        <v>45650</v>
      </c>
    </row>
    <row r="1546" spans="1:9" x14ac:dyDescent="0.15">
      <c r="A1546" s="9">
        <v>1545</v>
      </c>
      <c r="B1546" s="9" t="s">
        <v>9</v>
      </c>
      <c r="C1546" s="9">
        <v>1928</v>
      </c>
      <c r="D1546" s="10">
        <v>45736</v>
      </c>
      <c r="E1546" s="11" t="str">
        <f>+HYPERLINK("http://trademark.i-assist.jp/data/china/image_1928th/82729186.pdf","82729186")</f>
        <v>82729186</v>
      </c>
      <c r="F1546" s="12" t="s">
        <v>4325</v>
      </c>
      <c r="G1546" s="9" t="s">
        <v>4326</v>
      </c>
      <c r="H1546" s="9" t="s">
        <v>4327</v>
      </c>
      <c r="I1546" s="10">
        <v>45650</v>
      </c>
    </row>
    <row r="1547" spans="1:9" x14ac:dyDescent="0.15">
      <c r="A1547" s="9">
        <v>1546</v>
      </c>
      <c r="B1547" s="9" t="s">
        <v>9</v>
      </c>
      <c r="C1547" s="9">
        <v>1928</v>
      </c>
      <c r="D1547" s="10">
        <v>45736</v>
      </c>
      <c r="E1547" s="11" t="str">
        <f>+HYPERLINK("http://trademark.i-assist.jp/data/china/image_1928th/82729521.pdf","82729521")</f>
        <v>82729521</v>
      </c>
      <c r="F1547" s="9" t="s">
        <v>4328</v>
      </c>
      <c r="G1547" s="9" t="s">
        <v>4329</v>
      </c>
      <c r="H1547" s="12" t="s">
        <v>4330</v>
      </c>
      <c r="I1547" s="10">
        <v>45650</v>
      </c>
    </row>
    <row r="1548" spans="1:9" x14ac:dyDescent="0.15">
      <c r="A1548" s="9">
        <v>1547</v>
      </c>
      <c r="B1548" s="9" t="s">
        <v>9</v>
      </c>
      <c r="C1548" s="9">
        <v>1928</v>
      </c>
      <c r="D1548" s="10">
        <v>45736</v>
      </c>
      <c r="E1548" s="11" t="str">
        <f>+HYPERLINK("http://trademark.i-assist.jp/data/china/image_1928th/82729682.pdf","82729682")</f>
        <v>82729682</v>
      </c>
      <c r="F1548" s="12" t="s">
        <v>4331</v>
      </c>
      <c r="G1548" s="12" t="s">
        <v>4332</v>
      </c>
      <c r="H1548" s="9" t="s">
        <v>4333</v>
      </c>
      <c r="I1548" s="10">
        <v>45650</v>
      </c>
    </row>
    <row r="1549" spans="1:9" x14ac:dyDescent="0.15">
      <c r="A1549" s="9">
        <v>1548</v>
      </c>
      <c r="B1549" s="9" t="s">
        <v>9</v>
      </c>
      <c r="C1549" s="9">
        <v>1928</v>
      </c>
      <c r="D1549" s="10">
        <v>45736</v>
      </c>
      <c r="E1549" s="11" t="str">
        <f>+HYPERLINK("http://trademark.i-assist.jp/data/china/image_1928th/82730635.pdf","82730635")</f>
        <v>82730635</v>
      </c>
      <c r="F1549" s="9" t="s">
        <v>4334</v>
      </c>
      <c r="G1549" s="9" t="s">
        <v>84</v>
      </c>
      <c r="H1549" s="9" t="s">
        <v>4335</v>
      </c>
      <c r="I1549" s="10">
        <v>45650</v>
      </c>
    </row>
    <row r="1550" spans="1:9" x14ac:dyDescent="0.15">
      <c r="A1550" s="9">
        <v>1549</v>
      </c>
      <c r="B1550" s="9" t="s">
        <v>9</v>
      </c>
      <c r="C1550" s="9">
        <v>1928</v>
      </c>
      <c r="D1550" s="10">
        <v>45736</v>
      </c>
      <c r="E1550" s="11" t="str">
        <f>+HYPERLINK("http://trademark.i-assist.jp/data/china/image_1928th/82730752.pdf","82730752")</f>
        <v>82730752</v>
      </c>
      <c r="F1550" s="12" t="s">
        <v>4336</v>
      </c>
      <c r="G1550" s="9" t="s">
        <v>4337</v>
      </c>
      <c r="H1550" s="9" t="s">
        <v>4338</v>
      </c>
      <c r="I1550" s="10">
        <v>45650</v>
      </c>
    </row>
    <row r="1551" spans="1:9" x14ac:dyDescent="0.15">
      <c r="A1551" s="9">
        <v>1550</v>
      </c>
      <c r="B1551" s="9" t="s">
        <v>9</v>
      </c>
      <c r="C1551" s="9">
        <v>1928</v>
      </c>
      <c r="D1551" s="10">
        <v>45736</v>
      </c>
      <c r="E1551" s="11" t="str">
        <f>+HYPERLINK("http://trademark.i-assist.jp/data/china/image_1928th/82730845.pdf","82730845")</f>
        <v>82730845</v>
      </c>
      <c r="F1551" s="9" t="s">
        <v>4339</v>
      </c>
      <c r="G1551" s="12" t="s">
        <v>4340</v>
      </c>
      <c r="H1551" s="12" t="s">
        <v>4341</v>
      </c>
      <c r="I1551" s="10">
        <v>45650</v>
      </c>
    </row>
    <row r="1552" spans="1:9" x14ac:dyDescent="0.15">
      <c r="A1552" s="9">
        <v>1551</v>
      </c>
      <c r="B1552" s="9" t="s">
        <v>9</v>
      </c>
      <c r="C1552" s="9">
        <v>1928</v>
      </c>
      <c r="D1552" s="10">
        <v>45736</v>
      </c>
      <c r="E1552" s="11" t="str">
        <f>+HYPERLINK("http://trademark.i-assist.jp/data/china/image_1928th/82731155.pdf","82731155")</f>
        <v>82731155</v>
      </c>
      <c r="F1552" s="12" t="s">
        <v>4342</v>
      </c>
      <c r="G1552" s="12" t="s">
        <v>4343</v>
      </c>
      <c r="H1552" s="9" t="s">
        <v>4344</v>
      </c>
      <c r="I1552" s="10">
        <v>45650</v>
      </c>
    </row>
    <row r="1553" spans="1:9" x14ac:dyDescent="0.15">
      <c r="A1553" s="9">
        <v>1552</v>
      </c>
      <c r="B1553" s="9" t="s">
        <v>9</v>
      </c>
      <c r="C1553" s="9">
        <v>1928</v>
      </c>
      <c r="D1553" s="10">
        <v>45736</v>
      </c>
      <c r="E1553" s="11" t="str">
        <f>+HYPERLINK("http://trademark.i-assist.jp/data/china/image_1928th/82731157.pdf","82731157")</f>
        <v>82731157</v>
      </c>
      <c r="F1553" s="12" t="s">
        <v>4345</v>
      </c>
      <c r="G1553" s="9" t="s">
        <v>4346</v>
      </c>
      <c r="H1553" s="12" t="s">
        <v>4347</v>
      </c>
      <c r="I1553" s="10">
        <v>45650</v>
      </c>
    </row>
    <row r="1554" spans="1:9" x14ac:dyDescent="0.15">
      <c r="A1554" s="9">
        <v>1553</v>
      </c>
      <c r="B1554" s="9" t="s">
        <v>9</v>
      </c>
      <c r="C1554" s="9">
        <v>1928</v>
      </c>
      <c r="D1554" s="10">
        <v>45736</v>
      </c>
      <c r="E1554" s="11" t="str">
        <f>+HYPERLINK("http://trademark.i-assist.jp/data/china/image_1928th/82731160.pdf","82731160")</f>
        <v>82731160</v>
      </c>
      <c r="F1554" s="9" t="s">
        <v>4348</v>
      </c>
      <c r="G1554" s="9" t="s">
        <v>4349</v>
      </c>
      <c r="H1554" s="9" t="s">
        <v>4350</v>
      </c>
      <c r="I1554" s="10">
        <v>45650</v>
      </c>
    </row>
    <row r="1555" spans="1:9" x14ac:dyDescent="0.15">
      <c r="A1555" s="9">
        <v>1554</v>
      </c>
      <c r="B1555" s="9" t="s">
        <v>9</v>
      </c>
      <c r="C1555" s="9">
        <v>1928</v>
      </c>
      <c r="D1555" s="10">
        <v>45736</v>
      </c>
      <c r="E1555" s="11" t="str">
        <f>+HYPERLINK("http://trademark.i-assist.jp/data/china/image_1928th/82731227.pdf","82731227")</f>
        <v>82731227</v>
      </c>
      <c r="F1555" s="12" t="s">
        <v>4351</v>
      </c>
      <c r="G1555" s="12" t="s">
        <v>4343</v>
      </c>
      <c r="H1555" s="9" t="s">
        <v>4352</v>
      </c>
      <c r="I1555" s="10">
        <v>45650</v>
      </c>
    </row>
    <row r="1556" spans="1:9" x14ac:dyDescent="0.15">
      <c r="A1556" s="9">
        <v>1555</v>
      </c>
      <c r="B1556" s="9" t="s">
        <v>9</v>
      </c>
      <c r="C1556" s="9">
        <v>1928</v>
      </c>
      <c r="D1556" s="10">
        <v>45736</v>
      </c>
      <c r="E1556" s="11" t="str">
        <f>+HYPERLINK("http://trademark.i-assist.jp/data/china/image_1928th/82731267.pdf","82731267")</f>
        <v>82731267</v>
      </c>
      <c r="F1556" s="9" t="s">
        <v>4353</v>
      </c>
      <c r="G1556" s="12" t="s">
        <v>4354</v>
      </c>
      <c r="H1556" s="12" t="s">
        <v>4355</v>
      </c>
      <c r="I1556" s="10">
        <v>45650</v>
      </c>
    </row>
    <row r="1557" spans="1:9" x14ac:dyDescent="0.15">
      <c r="A1557" s="9">
        <v>1556</v>
      </c>
      <c r="B1557" s="9" t="s">
        <v>9</v>
      </c>
      <c r="C1557" s="9">
        <v>1928</v>
      </c>
      <c r="D1557" s="10">
        <v>45736</v>
      </c>
      <c r="E1557" s="11" t="str">
        <f>+HYPERLINK("http://trademark.i-assist.jp/data/china/image_1928th/82731544.pdf","82731544")</f>
        <v>82731544</v>
      </c>
      <c r="F1557" s="12" t="s">
        <v>4356</v>
      </c>
      <c r="G1557" s="9" t="s">
        <v>100</v>
      </c>
      <c r="H1557" s="9" t="s">
        <v>4357</v>
      </c>
      <c r="I1557" s="10">
        <v>45650</v>
      </c>
    </row>
    <row r="1558" spans="1:9" x14ac:dyDescent="0.15">
      <c r="A1558" s="9">
        <v>1557</v>
      </c>
      <c r="B1558" s="9" t="s">
        <v>9</v>
      </c>
      <c r="C1558" s="9">
        <v>1928</v>
      </c>
      <c r="D1558" s="10">
        <v>45736</v>
      </c>
      <c r="E1558" s="11" t="str">
        <f>+HYPERLINK("http://trademark.i-assist.jp/data/china/image_1928th/82731585.pdf","82731585")</f>
        <v>82731585</v>
      </c>
      <c r="F1558" s="9" t="s">
        <v>4358</v>
      </c>
      <c r="G1558" s="12" t="s">
        <v>4359</v>
      </c>
      <c r="H1558" s="9" t="s">
        <v>4360</v>
      </c>
      <c r="I1558" s="10">
        <v>45650</v>
      </c>
    </row>
    <row r="1559" spans="1:9" x14ac:dyDescent="0.15">
      <c r="A1559" s="9">
        <v>1558</v>
      </c>
      <c r="B1559" s="9" t="s">
        <v>9</v>
      </c>
      <c r="C1559" s="9">
        <v>1928</v>
      </c>
      <c r="D1559" s="10">
        <v>45736</v>
      </c>
      <c r="E1559" s="11" t="str">
        <f>+HYPERLINK("http://trademark.i-assist.jp/data/china/image_1928th/82732333.pdf","82732333")</f>
        <v>82732333</v>
      </c>
      <c r="F1559" s="9" t="s">
        <v>4361</v>
      </c>
      <c r="G1559" s="9" t="s">
        <v>2683</v>
      </c>
      <c r="H1559" s="12" t="s">
        <v>4362</v>
      </c>
      <c r="I1559" s="10">
        <v>45650</v>
      </c>
    </row>
    <row r="1560" spans="1:9" x14ac:dyDescent="0.15">
      <c r="A1560" s="9">
        <v>1559</v>
      </c>
      <c r="B1560" s="9" t="s">
        <v>9</v>
      </c>
      <c r="C1560" s="9">
        <v>1928</v>
      </c>
      <c r="D1560" s="10">
        <v>45736</v>
      </c>
      <c r="E1560" s="11" t="str">
        <f>+HYPERLINK("http://trademark.i-assist.jp/data/china/image_1928th/82732372.pdf","82732372")</f>
        <v>82732372</v>
      </c>
      <c r="F1560" s="9" t="s">
        <v>4363</v>
      </c>
      <c r="G1560" s="9" t="s">
        <v>4364</v>
      </c>
      <c r="H1560" s="9" t="s">
        <v>4365</v>
      </c>
      <c r="I1560" s="10">
        <v>45650</v>
      </c>
    </row>
    <row r="1561" spans="1:9" x14ac:dyDescent="0.15">
      <c r="A1561" s="9">
        <v>1560</v>
      </c>
      <c r="B1561" s="9" t="s">
        <v>9</v>
      </c>
      <c r="C1561" s="9">
        <v>1928</v>
      </c>
      <c r="D1561" s="10">
        <v>45736</v>
      </c>
      <c r="E1561" s="11" t="str">
        <f>+HYPERLINK("http://trademark.i-assist.jp/data/china/image_1928th/82732570.pdf","82732570")</f>
        <v>82732570</v>
      </c>
      <c r="F1561" s="9" t="s">
        <v>4366</v>
      </c>
      <c r="G1561" s="9" t="s">
        <v>4367</v>
      </c>
      <c r="H1561" s="9" t="s">
        <v>4368</v>
      </c>
      <c r="I1561" s="10">
        <v>45650</v>
      </c>
    </row>
    <row r="1562" spans="1:9" x14ac:dyDescent="0.15">
      <c r="A1562" s="9">
        <v>1561</v>
      </c>
      <c r="B1562" s="9" t="s">
        <v>9</v>
      </c>
      <c r="C1562" s="9">
        <v>1928</v>
      </c>
      <c r="D1562" s="10">
        <v>45736</v>
      </c>
      <c r="E1562" s="11" t="str">
        <f>+HYPERLINK("http://trademark.i-assist.jp/data/china/image_1928th/82732739.pdf","82732739")</f>
        <v>82732739</v>
      </c>
      <c r="F1562" s="9" t="s">
        <v>4369</v>
      </c>
      <c r="G1562" s="9" t="s">
        <v>4370</v>
      </c>
      <c r="H1562" s="9" t="s">
        <v>4371</v>
      </c>
      <c r="I1562" s="10">
        <v>45650</v>
      </c>
    </row>
    <row r="1563" spans="1:9" x14ac:dyDescent="0.15">
      <c r="A1563" s="9">
        <v>1562</v>
      </c>
      <c r="B1563" s="9" t="s">
        <v>9</v>
      </c>
      <c r="C1563" s="9">
        <v>1928</v>
      </c>
      <c r="D1563" s="10">
        <v>45736</v>
      </c>
      <c r="E1563" s="11" t="str">
        <f>+HYPERLINK("http://trademark.i-assist.jp/data/china/image_1928th/82732756.pdf","82732756")</f>
        <v>82732756</v>
      </c>
      <c r="F1563" s="9" t="s">
        <v>4372</v>
      </c>
      <c r="G1563" s="12" t="s">
        <v>4281</v>
      </c>
      <c r="H1563" s="9" t="s">
        <v>4373</v>
      </c>
      <c r="I1563" s="10">
        <v>45650</v>
      </c>
    </row>
    <row r="1564" spans="1:9" x14ac:dyDescent="0.15">
      <c r="A1564" s="9">
        <v>1563</v>
      </c>
      <c r="B1564" s="9" t="s">
        <v>9</v>
      </c>
      <c r="C1564" s="9">
        <v>1928</v>
      </c>
      <c r="D1564" s="10">
        <v>45736</v>
      </c>
      <c r="E1564" s="11" t="str">
        <f>+HYPERLINK("http://trademark.i-assist.jp/data/china/image_1928th/82733244.pdf","82733244")</f>
        <v>82733244</v>
      </c>
      <c r="F1564" s="9" t="s">
        <v>4374</v>
      </c>
      <c r="G1564" s="9" t="s">
        <v>4375</v>
      </c>
      <c r="H1564" s="9" t="s">
        <v>4376</v>
      </c>
      <c r="I1564" s="10">
        <v>45650</v>
      </c>
    </row>
    <row r="1565" spans="1:9" x14ac:dyDescent="0.15">
      <c r="A1565" s="9">
        <v>1564</v>
      </c>
      <c r="B1565" s="9" t="s">
        <v>9</v>
      </c>
      <c r="C1565" s="9">
        <v>1928</v>
      </c>
      <c r="D1565" s="10">
        <v>45736</v>
      </c>
      <c r="E1565" s="11" t="str">
        <f>+HYPERLINK("http://trademark.i-assist.jp/data/china/image_1928th/82733335.pdf","82733335")</f>
        <v>82733335</v>
      </c>
      <c r="F1565" s="9" t="s">
        <v>4377</v>
      </c>
      <c r="G1565" s="9" t="s">
        <v>4378</v>
      </c>
      <c r="H1565" s="9" t="s">
        <v>4379</v>
      </c>
      <c r="I1565" s="10">
        <v>45650</v>
      </c>
    </row>
    <row r="1566" spans="1:9" x14ac:dyDescent="0.15">
      <c r="A1566" s="9">
        <v>1565</v>
      </c>
      <c r="B1566" s="9" t="s">
        <v>9</v>
      </c>
      <c r="C1566" s="9">
        <v>1928</v>
      </c>
      <c r="D1566" s="10">
        <v>45736</v>
      </c>
      <c r="E1566" s="11" t="str">
        <f>+HYPERLINK("http://trademark.i-assist.jp/data/china/image_1928th/82733476.pdf","82733476")</f>
        <v>82733476</v>
      </c>
      <c r="F1566" s="9" t="s">
        <v>4380</v>
      </c>
      <c r="G1566" s="9" t="s">
        <v>4381</v>
      </c>
      <c r="H1566" s="9" t="s">
        <v>4382</v>
      </c>
      <c r="I1566" s="10">
        <v>45650</v>
      </c>
    </row>
    <row r="1567" spans="1:9" x14ac:dyDescent="0.15">
      <c r="A1567" s="9">
        <v>1566</v>
      </c>
      <c r="B1567" s="9" t="s">
        <v>9</v>
      </c>
      <c r="C1567" s="9">
        <v>1928</v>
      </c>
      <c r="D1567" s="10">
        <v>45736</v>
      </c>
      <c r="E1567" s="11" t="str">
        <f>+HYPERLINK("http://trademark.i-assist.jp/data/china/image_1928th/82734375.pdf","82734375")</f>
        <v>82734375</v>
      </c>
      <c r="F1567" s="9" t="s">
        <v>4383</v>
      </c>
      <c r="G1567" s="12" t="s">
        <v>4332</v>
      </c>
      <c r="H1567" s="9" t="s">
        <v>4384</v>
      </c>
      <c r="I1567" s="10">
        <v>45650</v>
      </c>
    </row>
    <row r="1568" spans="1:9" x14ac:dyDescent="0.15">
      <c r="A1568" s="9">
        <v>1567</v>
      </c>
      <c r="B1568" s="9" t="s">
        <v>9</v>
      </c>
      <c r="C1568" s="9">
        <v>1928</v>
      </c>
      <c r="D1568" s="10">
        <v>45736</v>
      </c>
      <c r="E1568" s="11" t="str">
        <f>+HYPERLINK("http://trademark.i-assist.jp/data/china/image_1928th/82734817.pdf","82734817")</f>
        <v>82734817</v>
      </c>
      <c r="F1568" s="9" t="s">
        <v>4385</v>
      </c>
      <c r="G1568" s="9" t="s">
        <v>4329</v>
      </c>
      <c r="H1568" s="9" t="s">
        <v>4386</v>
      </c>
      <c r="I1568" s="10">
        <v>45650</v>
      </c>
    </row>
    <row r="1569" spans="1:9" x14ac:dyDescent="0.15">
      <c r="A1569" s="9">
        <v>1568</v>
      </c>
      <c r="B1569" s="9" t="s">
        <v>9</v>
      </c>
      <c r="C1569" s="9">
        <v>1928</v>
      </c>
      <c r="D1569" s="10">
        <v>45736</v>
      </c>
      <c r="E1569" s="11" t="str">
        <f>+HYPERLINK("http://trademark.i-assist.jp/data/china/image_1928th/82735029.pdf","82735029")</f>
        <v>82735029</v>
      </c>
      <c r="F1569" s="9" t="s">
        <v>4387</v>
      </c>
      <c r="G1569" s="9" t="s">
        <v>4388</v>
      </c>
      <c r="H1569" s="9" t="s">
        <v>4389</v>
      </c>
      <c r="I1569" s="10">
        <v>45650</v>
      </c>
    </row>
    <row r="1570" spans="1:9" x14ac:dyDescent="0.15">
      <c r="A1570" s="9">
        <v>1569</v>
      </c>
      <c r="B1570" s="9" t="s">
        <v>9</v>
      </c>
      <c r="C1570" s="9">
        <v>1928</v>
      </c>
      <c r="D1570" s="10">
        <v>45736</v>
      </c>
      <c r="E1570" s="11" t="str">
        <f>+HYPERLINK("http://trademark.i-assist.jp/data/china/image_1928th/82735129.pdf","82735129")</f>
        <v>82735129</v>
      </c>
      <c r="F1570" s="9" t="s">
        <v>4390</v>
      </c>
      <c r="G1570" s="9" t="s">
        <v>69</v>
      </c>
      <c r="H1570" s="9" t="s">
        <v>4391</v>
      </c>
      <c r="I1570" s="10">
        <v>45650</v>
      </c>
    </row>
    <row r="1571" spans="1:9" x14ac:dyDescent="0.15">
      <c r="A1571" s="9">
        <v>1570</v>
      </c>
      <c r="B1571" s="9" t="s">
        <v>9</v>
      </c>
      <c r="C1571" s="9">
        <v>1928</v>
      </c>
      <c r="D1571" s="10">
        <v>45736</v>
      </c>
      <c r="E1571" s="11" t="str">
        <f>+HYPERLINK("http://trademark.i-assist.jp/data/china/image_1928th/82735344.pdf","82735344")</f>
        <v>82735344</v>
      </c>
      <c r="F1571" s="9" t="s">
        <v>4392</v>
      </c>
      <c r="G1571" s="9" t="s">
        <v>2653</v>
      </c>
      <c r="H1571" s="9" t="s">
        <v>4393</v>
      </c>
      <c r="I1571" s="10">
        <v>45650</v>
      </c>
    </row>
    <row r="1572" spans="1:9" x14ac:dyDescent="0.15">
      <c r="A1572" s="9">
        <v>1571</v>
      </c>
      <c r="B1572" s="9" t="s">
        <v>9</v>
      </c>
      <c r="C1572" s="9">
        <v>1928</v>
      </c>
      <c r="D1572" s="10">
        <v>45736</v>
      </c>
      <c r="E1572" s="11" t="str">
        <f>+HYPERLINK("http://trademark.i-assist.jp/data/china/image_1928th/82735411.pdf","82735411")</f>
        <v>82735411</v>
      </c>
      <c r="F1572" s="9" t="s">
        <v>4394</v>
      </c>
      <c r="G1572" s="9" t="s">
        <v>4370</v>
      </c>
      <c r="H1572" s="12" t="s">
        <v>4395</v>
      </c>
      <c r="I1572" s="10">
        <v>45650</v>
      </c>
    </row>
    <row r="1573" spans="1:9" x14ac:dyDescent="0.15">
      <c r="A1573" s="9">
        <v>1572</v>
      </c>
      <c r="B1573" s="9" t="s">
        <v>9</v>
      </c>
      <c r="C1573" s="9">
        <v>1928</v>
      </c>
      <c r="D1573" s="10">
        <v>45736</v>
      </c>
      <c r="E1573" s="11" t="str">
        <f>+HYPERLINK("http://trademark.i-assist.jp/data/china/image_1928th/82735742.pdf","82735742")</f>
        <v>82735742</v>
      </c>
      <c r="F1573" s="9" t="s">
        <v>4396</v>
      </c>
      <c r="G1573" s="9" t="s">
        <v>100</v>
      </c>
      <c r="H1573" s="9" t="s">
        <v>4397</v>
      </c>
      <c r="I1573" s="10">
        <v>45650</v>
      </c>
    </row>
    <row r="1574" spans="1:9" x14ac:dyDescent="0.15">
      <c r="A1574" s="9">
        <v>1573</v>
      </c>
      <c r="B1574" s="9" t="s">
        <v>9</v>
      </c>
      <c r="C1574" s="9">
        <v>1928</v>
      </c>
      <c r="D1574" s="10">
        <v>45736</v>
      </c>
      <c r="E1574" s="11" t="str">
        <f>+HYPERLINK("http://trademark.i-assist.jp/data/china/image_1928th/82736129.pdf","82736129")</f>
        <v>82736129</v>
      </c>
      <c r="F1574" s="9" t="s">
        <v>4398</v>
      </c>
      <c r="G1574" s="9" t="s">
        <v>84</v>
      </c>
      <c r="H1574" s="9" t="s">
        <v>4399</v>
      </c>
      <c r="I1574" s="10">
        <v>45650</v>
      </c>
    </row>
    <row r="1575" spans="1:9" x14ac:dyDescent="0.15">
      <c r="A1575" s="9">
        <v>1574</v>
      </c>
      <c r="B1575" s="9" t="s">
        <v>9</v>
      </c>
      <c r="C1575" s="9">
        <v>1928</v>
      </c>
      <c r="D1575" s="10">
        <v>45736</v>
      </c>
      <c r="E1575" s="11" t="str">
        <f>+HYPERLINK("http://trademark.i-assist.jp/data/china/image_1928th/82736269.pdf","82736269")</f>
        <v>82736269</v>
      </c>
      <c r="F1575" s="9" t="s">
        <v>4400</v>
      </c>
      <c r="G1575" s="9" t="s">
        <v>4401</v>
      </c>
      <c r="H1575" s="9" t="s">
        <v>4402</v>
      </c>
      <c r="I1575" s="10">
        <v>45650</v>
      </c>
    </row>
    <row r="1576" spans="1:9" x14ac:dyDescent="0.15">
      <c r="A1576" s="9">
        <v>1575</v>
      </c>
      <c r="B1576" s="9" t="s">
        <v>9</v>
      </c>
      <c r="C1576" s="9">
        <v>1928</v>
      </c>
      <c r="D1576" s="10">
        <v>45736</v>
      </c>
      <c r="E1576" s="11" t="str">
        <f>+HYPERLINK("http://trademark.i-assist.jp/data/china/image_1928th/82736739.pdf","82736739")</f>
        <v>82736739</v>
      </c>
      <c r="F1576" s="9" t="s">
        <v>4403</v>
      </c>
      <c r="G1576" s="9" t="s">
        <v>4404</v>
      </c>
      <c r="H1576" s="9" t="s">
        <v>4405</v>
      </c>
      <c r="I1576" s="10">
        <v>45650</v>
      </c>
    </row>
    <row r="1577" spans="1:9" x14ac:dyDescent="0.15">
      <c r="A1577" s="9">
        <v>1576</v>
      </c>
      <c r="B1577" s="9" t="s">
        <v>9</v>
      </c>
      <c r="C1577" s="9">
        <v>1928</v>
      </c>
      <c r="D1577" s="10">
        <v>45736</v>
      </c>
      <c r="E1577" s="11" t="str">
        <f>+HYPERLINK("http://trademark.i-assist.jp/data/china/image_1928th/82737156.pdf","82737156")</f>
        <v>82737156</v>
      </c>
      <c r="F1577" s="9" t="s">
        <v>4406</v>
      </c>
      <c r="G1577" s="12" t="s">
        <v>3921</v>
      </c>
      <c r="H1577" s="9" t="s">
        <v>4407</v>
      </c>
      <c r="I1577" s="10">
        <v>45650</v>
      </c>
    </row>
    <row r="1578" spans="1:9" x14ac:dyDescent="0.15">
      <c r="A1578" s="9">
        <v>1577</v>
      </c>
      <c r="B1578" s="9" t="s">
        <v>9</v>
      </c>
      <c r="C1578" s="9">
        <v>1928</v>
      </c>
      <c r="D1578" s="10">
        <v>45736</v>
      </c>
      <c r="E1578" s="11" t="str">
        <f>+HYPERLINK("http://trademark.i-assist.jp/data/china/image_1928th/82737209.pdf","82737209")</f>
        <v>82737209</v>
      </c>
      <c r="F1578" s="9" t="s">
        <v>4408</v>
      </c>
      <c r="G1578" s="9" t="s">
        <v>4409</v>
      </c>
      <c r="H1578" s="9" t="s">
        <v>4410</v>
      </c>
      <c r="I1578" s="10">
        <v>45650</v>
      </c>
    </row>
    <row r="1579" spans="1:9" x14ac:dyDescent="0.15">
      <c r="A1579" s="9">
        <v>1578</v>
      </c>
      <c r="B1579" s="9" t="s">
        <v>9</v>
      </c>
      <c r="C1579" s="9">
        <v>1928</v>
      </c>
      <c r="D1579" s="10">
        <v>45736</v>
      </c>
      <c r="E1579" s="11" t="str">
        <f>+HYPERLINK("http://trademark.i-assist.jp/data/china/image_1928th/82737260.pdf","82737260")</f>
        <v>82737260</v>
      </c>
      <c r="F1579" s="9" t="s">
        <v>4411</v>
      </c>
      <c r="G1579" s="9" t="s">
        <v>4370</v>
      </c>
      <c r="H1579" s="9" t="s">
        <v>4412</v>
      </c>
      <c r="I1579" s="10">
        <v>45650</v>
      </c>
    </row>
    <row r="1580" spans="1:9" x14ac:dyDescent="0.15">
      <c r="A1580" s="9">
        <v>1579</v>
      </c>
      <c r="B1580" s="9" t="s">
        <v>9</v>
      </c>
      <c r="C1580" s="9">
        <v>1928</v>
      </c>
      <c r="D1580" s="10">
        <v>45736</v>
      </c>
      <c r="E1580" s="11" t="str">
        <f>+HYPERLINK("http://trademark.i-assist.jp/data/china/image_1928th/82737518.pdf","82737518")</f>
        <v>82737518</v>
      </c>
      <c r="F1580" s="9" t="s">
        <v>4413</v>
      </c>
      <c r="G1580" s="9" t="s">
        <v>4414</v>
      </c>
      <c r="H1580" s="9" t="s">
        <v>4415</v>
      </c>
      <c r="I1580" s="10">
        <v>45650</v>
      </c>
    </row>
    <row r="1581" spans="1:9" x14ac:dyDescent="0.15">
      <c r="A1581" s="9">
        <v>1580</v>
      </c>
      <c r="B1581" s="9" t="s">
        <v>9</v>
      </c>
      <c r="C1581" s="9">
        <v>1928</v>
      </c>
      <c r="D1581" s="10">
        <v>45736</v>
      </c>
      <c r="E1581" s="11" t="str">
        <f>+HYPERLINK("http://trademark.i-assist.jp/data/china/image_1928th/82737698.pdf","82737698")</f>
        <v>82737698</v>
      </c>
      <c r="F1581" s="9" t="s">
        <v>4416</v>
      </c>
      <c r="G1581" s="9" t="s">
        <v>4417</v>
      </c>
      <c r="H1581" s="9" t="s">
        <v>4418</v>
      </c>
      <c r="I1581" s="10">
        <v>45650</v>
      </c>
    </row>
    <row r="1582" spans="1:9" x14ac:dyDescent="0.15">
      <c r="A1582" s="9">
        <v>1581</v>
      </c>
      <c r="B1582" s="9" t="s">
        <v>9</v>
      </c>
      <c r="C1582" s="9">
        <v>1928</v>
      </c>
      <c r="D1582" s="10">
        <v>45736</v>
      </c>
      <c r="E1582" s="11" t="str">
        <f>+HYPERLINK("http://trademark.i-assist.jp/data/china/image_1928th/82737709.pdf","82737709")</f>
        <v>82737709</v>
      </c>
      <c r="F1582" s="12" t="s">
        <v>4419</v>
      </c>
      <c r="G1582" s="9" t="s">
        <v>4420</v>
      </c>
      <c r="H1582" s="9" t="s">
        <v>4421</v>
      </c>
      <c r="I1582" s="10">
        <v>45650</v>
      </c>
    </row>
    <row r="1583" spans="1:9" x14ac:dyDescent="0.15">
      <c r="A1583" s="9">
        <v>1582</v>
      </c>
      <c r="B1583" s="9" t="s">
        <v>9</v>
      </c>
      <c r="C1583" s="9">
        <v>1928</v>
      </c>
      <c r="D1583" s="10">
        <v>45736</v>
      </c>
      <c r="E1583" s="11" t="str">
        <f>+HYPERLINK("http://trademark.i-assist.jp/data/china/image_1928th/82737712.pdf","82737712")</f>
        <v>82737712</v>
      </c>
      <c r="F1583" s="9" t="s">
        <v>4422</v>
      </c>
      <c r="G1583" s="9" t="s">
        <v>4423</v>
      </c>
      <c r="H1583" s="9" t="s">
        <v>4424</v>
      </c>
      <c r="I1583" s="10">
        <v>45650</v>
      </c>
    </row>
    <row r="1584" spans="1:9" x14ac:dyDescent="0.15">
      <c r="A1584" s="9">
        <v>1583</v>
      </c>
      <c r="B1584" s="9" t="s">
        <v>9</v>
      </c>
      <c r="C1584" s="9">
        <v>1928</v>
      </c>
      <c r="D1584" s="10">
        <v>45736</v>
      </c>
      <c r="E1584" s="11" t="str">
        <f>+HYPERLINK("http://trademark.i-assist.jp/data/china/image_1928th/82738067.pdf","82738067")</f>
        <v>82738067</v>
      </c>
      <c r="F1584" s="12" t="s">
        <v>4425</v>
      </c>
      <c r="G1584" s="12" t="s">
        <v>4281</v>
      </c>
      <c r="H1584" s="9" t="s">
        <v>4426</v>
      </c>
      <c r="I1584" s="10">
        <v>45650</v>
      </c>
    </row>
    <row r="1585" spans="1:9" x14ac:dyDescent="0.15">
      <c r="A1585" s="9">
        <v>1584</v>
      </c>
      <c r="B1585" s="9" t="s">
        <v>9</v>
      </c>
      <c r="C1585" s="9">
        <v>1928</v>
      </c>
      <c r="D1585" s="10">
        <v>45736</v>
      </c>
      <c r="E1585" s="11" t="str">
        <f>+HYPERLINK("http://trademark.i-assist.jp/data/china/image_1928th/82738097.pdf","82738097")</f>
        <v>82738097</v>
      </c>
      <c r="F1585" s="9" t="s">
        <v>4427</v>
      </c>
      <c r="G1585" s="12" t="s">
        <v>4281</v>
      </c>
      <c r="H1585" s="12" t="s">
        <v>4428</v>
      </c>
      <c r="I1585" s="10">
        <v>45650</v>
      </c>
    </row>
    <row r="1586" spans="1:9" x14ac:dyDescent="0.15">
      <c r="A1586" s="9">
        <v>1585</v>
      </c>
      <c r="B1586" s="9" t="s">
        <v>9</v>
      </c>
      <c r="C1586" s="9">
        <v>1928</v>
      </c>
      <c r="D1586" s="10">
        <v>45736</v>
      </c>
      <c r="E1586" s="11" t="str">
        <f>+HYPERLINK("http://trademark.i-assist.jp/data/china/image_1928th/82738121.pdf","82738121")</f>
        <v>82738121</v>
      </c>
      <c r="F1586" s="9" t="s">
        <v>4429</v>
      </c>
      <c r="G1586" s="9" t="s">
        <v>39</v>
      </c>
      <c r="H1586" s="9" t="s">
        <v>4430</v>
      </c>
      <c r="I1586" s="10">
        <v>45650</v>
      </c>
    </row>
    <row r="1587" spans="1:9" x14ac:dyDescent="0.15">
      <c r="A1587" s="9">
        <v>1586</v>
      </c>
      <c r="B1587" s="9" t="s">
        <v>9</v>
      </c>
      <c r="C1587" s="9">
        <v>1928</v>
      </c>
      <c r="D1587" s="10">
        <v>45736</v>
      </c>
      <c r="E1587" s="11" t="str">
        <f>+HYPERLINK("http://trademark.i-assist.jp/data/china/image_1928th/82738353.pdf","82738353")</f>
        <v>82738353</v>
      </c>
      <c r="F1587" s="9" t="s">
        <v>4431</v>
      </c>
      <c r="G1587" s="9" t="s">
        <v>4388</v>
      </c>
      <c r="H1587" s="9" t="s">
        <v>4432</v>
      </c>
      <c r="I1587" s="10">
        <v>45650</v>
      </c>
    </row>
    <row r="1588" spans="1:9" x14ac:dyDescent="0.15">
      <c r="A1588" s="9">
        <v>1587</v>
      </c>
      <c r="B1588" s="9" t="s">
        <v>9</v>
      </c>
      <c r="C1588" s="9">
        <v>1928</v>
      </c>
      <c r="D1588" s="10">
        <v>45736</v>
      </c>
      <c r="E1588" s="11" t="str">
        <f>+HYPERLINK("http://trademark.i-assist.jp/data/china/image_1928th/82738462.pdf","82738462")</f>
        <v>82738462</v>
      </c>
      <c r="F1588" s="13" t="s">
        <v>4433</v>
      </c>
      <c r="G1588" s="9" t="s">
        <v>3952</v>
      </c>
      <c r="H1588" s="9" t="s">
        <v>4434</v>
      </c>
      <c r="I1588" s="10">
        <v>45650</v>
      </c>
    </row>
    <row r="1589" spans="1:9" x14ac:dyDescent="0.15">
      <c r="A1589" s="9">
        <v>1588</v>
      </c>
      <c r="B1589" s="9" t="s">
        <v>9</v>
      </c>
      <c r="C1589" s="9">
        <v>1928</v>
      </c>
      <c r="D1589" s="10">
        <v>45736</v>
      </c>
      <c r="E1589" s="11" t="str">
        <f>+HYPERLINK("http://trademark.i-assist.jp/data/china/image_1928th/82738475.pdf","82738475")</f>
        <v>82738475</v>
      </c>
      <c r="F1589" s="9" t="s">
        <v>4435</v>
      </c>
      <c r="G1589" s="9" t="s">
        <v>4436</v>
      </c>
      <c r="H1589" s="9" t="s">
        <v>4437</v>
      </c>
      <c r="I1589" s="10">
        <v>45650</v>
      </c>
    </row>
    <row r="1590" spans="1:9" x14ac:dyDescent="0.15">
      <c r="A1590" s="9">
        <v>1589</v>
      </c>
      <c r="B1590" s="9" t="s">
        <v>9</v>
      </c>
      <c r="C1590" s="9">
        <v>1928</v>
      </c>
      <c r="D1590" s="10">
        <v>45736</v>
      </c>
      <c r="E1590" s="11" t="str">
        <f>+HYPERLINK("http://trademark.i-assist.jp/data/china/image_1928th/82738506.pdf","82738506")</f>
        <v>82738506</v>
      </c>
      <c r="F1590" s="9" t="s">
        <v>4438</v>
      </c>
      <c r="G1590" s="9" t="s">
        <v>4439</v>
      </c>
      <c r="H1590" s="9" t="s">
        <v>4440</v>
      </c>
      <c r="I1590" s="10">
        <v>45650</v>
      </c>
    </row>
    <row r="1591" spans="1:9" x14ac:dyDescent="0.15">
      <c r="A1591" s="9">
        <v>1590</v>
      </c>
      <c r="B1591" s="9" t="s">
        <v>9</v>
      </c>
      <c r="C1591" s="9">
        <v>1928</v>
      </c>
      <c r="D1591" s="10">
        <v>45736</v>
      </c>
      <c r="E1591" s="11" t="str">
        <f>+HYPERLINK("http://trademark.i-assist.jp/data/china/image_1928th/82739490.pdf","82739490")</f>
        <v>82739490</v>
      </c>
      <c r="F1591" s="9" t="s">
        <v>4441</v>
      </c>
      <c r="G1591" s="9" t="s">
        <v>4442</v>
      </c>
      <c r="H1591" s="9" t="s">
        <v>4443</v>
      </c>
      <c r="I1591" s="10">
        <v>45650</v>
      </c>
    </row>
    <row r="1592" spans="1:9" x14ac:dyDescent="0.15">
      <c r="A1592" s="9">
        <v>1591</v>
      </c>
      <c r="B1592" s="9" t="s">
        <v>9</v>
      </c>
      <c r="C1592" s="9">
        <v>1928</v>
      </c>
      <c r="D1592" s="10">
        <v>45736</v>
      </c>
      <c r="E1592" s="11" t="str">
        <f>+HYPERLINK("http://trademark.i-assist.jp/data/china/image_1928th/82739828.pdf","82739828")</f>
        <v>82739828</v>
      </c>
      <c r="F1592" s="9" t="s">
        <v>4444</v>
      </c>
      <c r="G1592" s="9" t="s">
        <v>4445</v>
      </c>
      <c r="H1592" s="9" t="s">
        <v>4446</v>
      </c>
      <c r="I1592" s="10">
        <v>45650</v>
      </c>
    </row>
    <row r="1593" spans="1:9" x14ac:dyDescent="0.15">
      <c r="A1593" s="9">
        <v>1592</v>
      </c>
      <c r="B1593" s="9" t="s">
        <v>9</v>
      </c>
      <c r="C1593" s="9">
        <v>1928</v>
      </c>
      <c r="D1593" s="10">
        <v>45736</v>
      </c>
      <c r="E1593" s="11" t="str">
        <f>+HYPERLINK("http://trademark.i-assist.jp/data/china/image_1928th/82740115.pdf","82740115")</f>
        <v>82740115</v>
      </c>
      <c r="F1593" s="9" t="s">
        <v>4447</v>
      </c>
      <c r="G1593" s="9" t="s">
        <v>1925</v>
      </c>
      <c r="H1593" s="9" t="s">
        <v>4448</v>
      </c>
      <c r="I1593" s="10">
        <v>45650</v>
      </c>
    </row>
    <row r="1594" spans="1:9" x14ac:dyDescent="0.15">
      <c r="A1594" s="9">
        <v>1593</v>
      </c>
      <c r="B1594" s="9" t="s">
        <v>9</v>
      </c>
      <c r="C1594" s="9">
        <v>1928</v>
      </c>
      <c r="D1594" s="10">
        <v>45736</v>
      </c>
      <c r="E1594" s="11" t="str">
        <f>+HYPERLINK("http://trademark.i-assist.jp/data/china/image_1928th/82740415.pdf","82740415")</f>
        <v>82740415</v>
      </c>
      <c r="F1594" s="9" t="s">
        <v>4449</v>
      </c>
      <c r="G1594" s="9" t="s">
        <v>1728</v>
      </c>
      <c r="H1594" s="9" t="s">
        <v>4450</v>
      </c>
      <c r="I1594" s="10">
        <v>45650</v>
      </c>
    </row>
    <row r="1595" spans="1:9" x14ac:dyDescent="0.15">
      <c r="A1595" s="9">
        <v>1594</v>
      </c>
      <c r="B1595" s="9" t="s">
        <v>9</v>
      </c>
      <c r="C1595" s="9">
        <v>1928</v>
      </c>
      <c r="D1595" s="10">
        <v>45736</v>
      </c>
      <c r="E1595" s="11" t="str">
        <f>+HYPERLINK("http://trademark.i-assist.jp/data/china/image_1928th/82740486.pdf","82740486")</f>
        <v>82740486</v>
      </c>
      <c r="F1595" s="12" t="s">
        <v>4451</v>
      </c>
      <c r="G1595" s="9" t="s">
        <v>4249</v>
      </c>
      <c r="H1595" s="9" t="s">
        <v>4452</v>
      </c>
      <c r="I1595" s="10">
        <v>45650</v>
      </c>
    </row>
    <row r="1596" spans="1:9" x14ac:dyDescent="0.15">
      <c r="A1596" s="9">
        <v>1595</v>
      </c>
      <c r="B1596" s="9" t="s">
        <v>9</v>
      </c>
      <c r="C1596" s="9">
        <v>1928</v>
      </c>
      <c r="D1596" s="10">
        <v>45736</v>
      </c>
      <c r="E1596" s="11" t="str">
        <f>+HYPERLINK("http://trademark.i-assist.jp/data/china/image_1928th/82741164.pdf","82741164")</f>
        <v>82741164</v>
      </c>
      <c r="F1596" s="9" t="s">
        <v>4453</v>
      </c>
      <c r="G1596" s="9" t="s">
        <v>4454</v>
      </c>
      <c r="H1596" s="9" t="s">
        <v>4455</v>
      </c>
      <c r="I1596" s="10">
        <v>45650</v>
      </c>
    </row>
    <row r="1597" spans="1:9" x14ac:dyDescent="0.15">
      <c r="A1597" s="9">
        <v>1596</v>
      </c>
      <c r="B1597" s="9" t="s">
        <v>9</v>
      </c>
      <c r="C1597" s="9">
        <v>1928</v>
      </c>
      <c r="D1597" s="10">
        <v>45736</v>
      </c>
      <c r="E1597" s="11" t="str">
        <f>+HYPERLINK("http://trademark.i-assist.jp/data/china/image_1928th/82741279.pdf","82741279")</f>
        <v>82741279</v>
      </c>
      <c r="F1597" s="9" t="s">
        <v>4456</v>
      </c>
      <c r="G1597" s="9" t="s">
        <v>4457</v>
      </c>
      <c r="H1597" s="9" t="s">
        <v>4458</v>
      </c>
      <c r="I1597" s="10">
        <v>45650</v>
      </c>
    </row>
    <row r="1598" spans="1:9" x14ac:dyDescent="0.15">
      <c r="A1598" s="9">
        <v>1597</v>
      </c>
      <c r="B1598" s="9" t="s">
        <v>9</v>
      </c>
      <c r="C1598" s="9">
        <v>1928</v>
      </c>
      <c r="D1598" s="10">
        <v>45736</v>
      </c>
      <c r="E1598" s="11" t="str">
        <f>+HYPERLINK("http://trademark.i-assist.jp/data/china/image_1928th/82741517.pdf","82741517")</f>
        <v>82741517</v>
      </c>
      <c r="F1598" s="9" t="s">
        <v>4459</v>
      </c>
      <c r="G1598" s="9" t="s">
        <v>22</v>
      </c>
      <c r="H1598" s="12" t="s">
        <v>4460</v>
      </c>
      <c r="I1598" s="10">
        <v>45650</v>
      </c>
    </row>
    <row r="1599" spans="1:9" x14ac:dyDescent="0.15">
      <c r="A1599" s="9">
        <v>1598</v>
      </c>
      <c r="B1599" s="9" t="s">
        <v>9</v>
      </c>
      <c r="C1599" s="9">
        <v>1928</v>
      </c>
      <c r="D1599" s="10">
        <v>45736</v>
      </c>
      <c r="E1599" s="11" t="str">
        <f>+HYPERLINK("http://trademark.i-assist.jp/data/china/image_1928th/82741588.pdf","82741588")</f>
        <v>82741588</v>
      </c>
      <c r="F1599" s="9" t="s">
        <v>4461</v>
      </c>
      <c r="G1599" s="9" t="s">
        <v>4462</v>
      </c>
      <c r="H1599" s="9" t="s">
        <v>4463</v>
      </c>
      <c r="I1599" s="10">
        <v>45650</v>
      </c>
    </row>
    <row r="1600" spans="1:9" x14ac:dyDescent="0.15">
      <c r="A1600" s="9">
        <v>1599</v>
      </c>
      <c r="B1600" s="9" t="s">
        <v>9</v>
      </c>
      <c r="C1600" s="9">
        <v>1928</v>
      </c>
      <c r="D1600" s="10">
        <v>45736</v>
      </c>
      <c r="E1600" s="11" t="str">
        <f>+HYPERLINK("http://trademark.i-assist.jp/data/china/image_1928th/82741866.pdf","82741866")</f>
        <v>82741866</v>
      </c>
      <c r="F1600" s="9" t="s">
        <v>4464</v>
      </c>
      <c r="G1600" s="12" t="s">
        <v>3921</v>
      </c>
      <c r="H1600" s="9" t="s">
        <v>4465</v>
      </c>
      <c r="I1600" s="10">
        <v>45650</v>
      </c>
    </row>
    <row r="1601" spans="1:9" x14ac:dyDescent="0.15">
      <c r="A1601" s="9">
        <v>1600</v>
      </c>
      <c r="B1601" s="9" t="s">
        <v>9</v>
      </c>
      <c r="C1601" s="9">
        <v>1928</v>
      </c>
      <c r="D1601" s="10">
        <v>45736</v>
      </c>
      <c r="E1601" s="11" t="str">
        <f>+HYPERLINK("http://trademark.i-assist.jp/data/china/image_1928th/82741907.pdf","82741907")</f>
        <v>82741907</v>
      </c>
      <c r="F1601" s="9" t="s">
        <v>4466</v>
      </c>
      <c r="G1601" s="9" t="s">
        <v>4467</v>
      </c>
      <c r="H1601" s="9" t="s">
        <v>4468</v>
      </c>
      <c r="I1601" s="10">
        <v>45650</v>
      </c>
    </row>
    <row r="1602" spans="1:9" x14ac:dyDescent="0.15">
      <c r="A1602" s="9">
        <v>1601</v>
      </c>
      <c r="B1602" s="9" t="s">
        <v>9</v>
      </c>
      <c r="C1602" s="9">
        <v>1928</v>
      </c>
      <c r="D1602" s="10">
        <v>45736</v>
      </c>
      <c r="E1602" s="11" t="str">
        <f>+HYPERLINK("http://trademark.i-assist.jp/data/china/image_1928th/82742243.pdf","82742243")</f>
        <v>82742243</v>
      </c>
      <c r="F1602" s="9" t="s">
        <v>4469</v>
      </c>
      <c r="G1602" s="9" t="s">
        <v>4470</v>
      </c>
      <c r="H1602" s="12" t="s">
        <v>4471</v>
      </c>
      <c r="I1602" s="10">
        <v>45650</v>
      </c>
    </row>
    <row r="1603" spans="1:9" x14ac:dyDescent="0.15">
      <c r="A1603" s="9">
        <v>1602</v>
      </c>
      <c r="B1603" s="9" t="s">
        <v>9</v>
      </c>
      <c r="C1603" s="9">
        <v>1928</v>
      </c>
      <c r="D1603" s="10">
        <v>45736</v>
      </c>
      <c r="E1603" s="11" t="str">
        <f>+HYPERLINK("http://trademark.i-assist.jp/data/china/image_1928th/82742324.pdf","82742324")</f>
        <v>82742324</v>
      </c>
      <c r="F1603" s="12" t="s">
        <v>18</v>
      </c>
      <c r="G1603" s="9" t="s">
        <v>4472</v>
      </c>
      <c r="H1603" s="9" t="s">
        <v>4473</v>
      </c>
      <c r="I1603" s="10">
        <v>45650</v>
      </c>
    </row>
    <row r="1604" spans="1:9" x14ac:dyDescent="0.15">
      <c r="A1604" s="9">
        <v>1603</v>
      </c>
      <c r="B1604" s="9" t="s">
        <v>9</v>
      </c>
      <c r="C1604" s="9">
        <v>1928</v>
      </c>
      <c r="D1604" s="10">
        <v>45736</v>
      </c>
      <c r="E1604" s="11" t="str">
        <f>+HYPERLINK("http://trademark.i-assist.jp/data/china/image_1928th/82742445.pdf","82742445")</f>
        <v>82742445</v>
      </c>
      <c r="F1604" s="9" t="s">
        <v>4474</v>
      </c>
      <c r="G1604" s="9" t="s">
        <v>12</v>
      </c>
      <c r="H1604" s="9" t="s">
        <v>4475</v>
      </c>
      <c r="I1604" s="10">
        <v>45650</v>
      </c>
    </row>
    <row r="1605" spans="1:9" x14ac:dyDescent="0.15">
      <c r="A1605" s="9">
        <v>1604</v>
      </c>
      <c r="B1605" s="9" t="s">
        <v>9</v>
      </c>
      <c r="C1605" s="9">
        <v>1928</v>
      </c>
      <c r="D1605" s="10">
        <v>45736</v>
      </c>
      <c r="E1605" s="11" t="str">
        <f>+HYPERLINK("http://trademark.i-assist.jp/data/china/image_1928th/82742479.pdf","82742479")</f>
        <v>82742479</v>
      </c>
      <c r="F1605" s="12" t="s">
        <v>4476</v>
      </c>
      <c r="G1605" s="12" t="s">
        <v>4477</v>
      </c>
      <c r="H1605" s="9" t="s">
        <v>4478</v>
      </c>
      <c r="I1605" s="10">
        <v>45650</v>
      </c>
    </row>
    <row r="1606" spans="1:9" x14ac:dyDescent="0.15">
      <c r="A1606" s="9">
        <v>1605</v>
      </c>
      <c r="B1606" s="9" t="s">
        <v>9</v>
      </c>
      <c r="C1606" s="9">
        <v>1928</v>
      </c>
      <c r="D1606" s="10">
        <v>45736</v>
      </c>
      <c r="E1606" s="11" t="str">
        <f>+HYPERLINK("http://trademark.i-assist.jp/data/china/image_1928th/82742529.pdf","82742529")</f>
        <v>82742529</v>
      </c>
      <c r="F1606" s="9" t="s">
        <v>4479</v>
      </c>
      <c r="G1606" s="9" t="s">
        <v>4480</v>
      </c>
      <c r="H1606" s="9" t="s">
        <v>4481</v>
      </c>
      <c r="I1606" s="10">
        <v>45650</v>
      </c>
    </row>
    <row r="1607" spans="1:9" x14ac:dyDescent="0.15">
      <c r="A1607" s="9">
        <v>1606</v>
      </c>
      <c r="B1607" s="9" t="s">
        <v>9</v>
      </c>
      <c r="C1607" s="9">
        <v>1928</v>
      </c>
      <c r="D1607" s="10">
        <v>45736</v>
      </c>
      <c r="E1607" s="11" t="str">
        <f>+HYPERLINK("http://trademark.i-assist.jp/data/china/image_1928th/82742536.pdf","82742536")</f>
        <v>82742536</v>
      </c>
      <c r="F1607" s="9" t="s">
        <v>4482</v>
      </c>
      <c r="G1607" s="9" t="s">
        <v>84</v>
      </c>
      <c r="H1607" s="12" t="s">
        <v>4483</v>
      </c>
      <c r="I1607" s="10">
        <v>45650</v>
      </c>
    </row>
    <row r="1608" spans="1:9" x14ac:dyDescent="0.15">
      <c r="A1608" s="9">
        <v>1607</v>
      </c>
      <c r="B1608" s="9" t="s">
        <v>9</v>
      </c>
      <c r="C1608" s="9">
        <v>1928</v>
      </c>
      <c r="D1608" s="10">
        <v>45736</v>
      </c>
      <c r="E1608" s="11" t="str">
        <f>+HYPERLINK("http://trademark.i-assist.jp/data/china/image_1928th/82742584.pdf","82742584")</f>
        <v>82742584</v>
      </c>
      <c r="F1608" s="9" t="s">
        <v>4484</v>
      </c>
      <c r="G1608" s="9" t="s">
        <v>41</v>
      </c>
      <c r="H1608" s="9" t="s">
        <v>4485</v>
      </c>
      <c r="I1608" s="10">
        <v>45650</v>
      </c>
    </row>
    <row r="1609" spans="1:9" x14ac:dyDescent="0.15">
      <c r="A1609" s="9">
        <v>1608</v>
      </c>
      <c r="B1609" s="9" t="s">
        <v>9</v>
      </c>
      <c r="C1609" s="9">
        <v>1928</v>
      </c>
      <c r="D1609" s="10">
        <v>45736</v>
      </c>
      <c r="E1609" s="11" t="str">
        <f>+HYPERLINK("http://trademark.i-assist.jp/data/china/image_1928th/82742663.pdf","82742663")</f>
        <v>82742663</v>
      </c>
      <c r="F1609" s="9" t="s">
        <v>4486</v>
      </c>
      <c r="G1609" s="9" t="s">
        <v>4487</v>
      </c>
      <c r="H1609" s="9" t="s">
        <v>4488</v>
      </c>
      <c r="I1609" s="10">
        <v>45650</v>
      </c>
    </row>
    <row r="1610" spans="1:9" x14ac:dyDescent="0.15">
      <c r="A1610" s="9">
        <v>1609</v>
      </c>
      <c r="B1610" s="9" t="s">
        <v>9</v>
      </c>
      <c r="C1610" s="9">
        <v>1928</v>
      </c>
      <c r="D1610" s="10">
        <v>45736</v>
      </c>
      <c r="E1610" s="11" t="str">
        <f>+HYPERLINK("http://trademark.i-assist.jp/data/china/image_1928th/82742812.pdf","82742812")</f>
        <v>82742812</v>
      </c>
      <c r="F1610" s="12" t="s">
        <v>4489</v>
      </c>
      <c r="G1610" s="9" t="s">
        <v>4490</v>
      </c>
      <c r="H1610" s="9" t="s">
        <v>4491</v>
      </c>
      <c r="I1610" s="10">
        <v>45650</v>
      </c>
    </row>
    <row r="1611" spans="1:9" x14ac:dyDescent="0.15">
      <c r="A1611" s="9">
        <v>1610</v>
      </c>
      <c r="B1611" s="9" t="s">
        <v>9</v>
      </c>
      <c r="C1611" s="9">
        <v>1928</v>
      </c>
      <c r="D1611" s="10">
        <v>45736</v>
      </c>
      <c r="E1611" s="11" t="str">
        <f>+HYPERLINK("http://trademark.i-assist.jp/data/china/image_1928th/82743162.pdf","82743162")</f>
        <v>82743162</v>
      </c>
      <c r="F1611" s="9" t="s">
        <v>4492</v>
      </c>
      <c r="G1611" s="9" t="s">
        <v>4442</v>
      </c>
      <c r="H1611" s="9" t="s">
        <v>4493</v>
      </c>
      <c r="I1611" s="10">
        <v>45650</v>
      </c>
    </row>
    <row r="1612" spans="1:9" x14ac:dyDescent="0.15">
      <c r="A1612" s="9">
        <v>1611</v>
      </c>
      <c r="B1612" s="9" t="s">
        <v>9</v>
      </c>
      <c r="C1612" s="9">
        <v>1928</v>
      </c>
      <c r="D1612" s="10">
        <v>45736</v>
      </c>
      <c r="E1612" s="11" t="str">
        <f>+HYPERLINK("http://trademark.i-assist.jp/data/china/image_1928th/82743293.pdf","82743293")</f>
        <v>82743293</v>
      </c>
      <c r="F1612" s="9" t="s">
        <v>4494</v>
      </c>
      <c r="G1612" s="12" t="s">
        <v>4495</v>
      </c>
      <c r="H1612" s="9" t="s">
        <v>4496</v>
      </c>
      <c r="I1612" s="10">
        <v>45650</v>
      </c>
    </row>
    <row r="1613" spans="1:9" x14ac:dyDescent="0.15">
      <c r="A1613" s="9">
        <v>1612</v>
      </c>
      <c r="B1613" s="9" t="s">
        <v>9</v>
      </c>
      <c r="C1613" s="9">
        <v>1928</v>
      </c>
      <c r="D1613" s="10">
        <v>45736</v>
      </c>
      <c r="E1613" s="11" t="str">
        <f>+HYPERLINK("http://trademark.i-assist.jp/data/china/image_1928th/82744502.pdf","82744502")</f>
        <v>82744502</v>
      </c>
      <c r="F1613" s="9" t="s">
        <v>4497</v>
      </c>
      <c r="G1613" s="9" t="s">
        <v>4498</v>
      </c>
      <c r="H1613" s="9" t="s">
        <v>4499</v>
      </c>
      <c r="I1613" s="10">
        <v>45650</v>
      </c>
    </row>
    <row r="1614" spans="1:9" x14ac:dyDescent="0.15">
      <c r="A1614" s="9">
        <v>1613</v>
      </c>
      <c r="B1614" s="9" t="s">
        <v>9</v>
      </c>
      <c r="C1614" s="9">
        <v>1928</v>
      </c>
      <c r="D1614" s="10">
        <v>45736</v>
      </c>
      <c r="E1614" s="11" t="str">
        <f>+HYPERLINK("http://trademark.i-assist.jp/data/china/image_1928th/82744510.pdf","82744510")</f>
        <v>82744510</v>
      </c>
      <c r="F1614" s="12" t="s">
        <v>4500</v>
      </c>
      <c r="G1614" s="9" t="s">
        <v>4498</v>
      </c>
      <c r="H1614" s="9" t="s">
        <v>4501</v>
      </c>
      <c r="I1614" s="10">
        <v>45650</v>
      </c>
    </row>
    <row r="1615" spans="1:9" x14ac:dyDescent="0.15">
      <c r="A1615" s="9">
        <v>1614</v>
      </c>
      <c r="B1615" s="9" t="s">
        <v>9</v>
      </c>
      <c r="C1615" s="9">
        <v>1928</v>
      </c>
      <c r="D1615" s="10">
        <v>45736</v>
      </c>
      <c r="E1615" s="11" t="str">
        <f>+HYPERLINK("http://trademark.i-assist.jp/data/china/image_1928th/82744740.pdf","82744740")</f>
        <v>82744740</v>
      </c>
      <c r="F1615" s="9" t="s">
        <v>4502</v>
      </c>
      <c r="G1615" s="12" t="s">
        <v>4503</v>
      </c>
      <c r="H1615" s="9" t="s">
        <v>4504</v>
      </c>
      <c r="I1615" s="10">
        <v>45650</v>
      </c>
    </row>
    <row r="1616" spans="1:9" x14ac:dyDescent="0.15">
      <c r="A1616" s="9">
        <v>1615</v>
      </c>
      <c r="B1616" s="9" t="s">
        <v>9</v>
      </c>
      <c r="C1616" s="9">
        <v>1928</v>
      </c>
      <c r="D1616" s="10">
        <v>45736</v>
      </c>
      <c r="E1616" s="11" t="str">
        <f>+HYPERLINK("http://trademark.i-assist.jp/data/china/image_1928th/82745111.pdf","82745111")</f>
        <v>82745111</v>
      </c>
      <c r="F1616" s="12" t="s">
        <v>4505</v>
      </c>
      <c r="G1616" s="9" t="s">
        <v>4506</v>
      </c>
      <c r="H1616" s="9" t="s">
        <v>4507</v>
      </c>
      <c r="I1616" s="10">
        <v>45650</v>
      </c>
    </row>
    <row r="1617" spans="1:9" x14ac:dyDescent="0.15">
      <c r="A1617" s="9">
        <v>1616</v>
      </c>
      <c r="B1617" s="9" t="s">
        <v>9</v>
      </c>
      <c r="C1617" s="9">
        <v>1928</v>
      </c>
      <c r="D1617" s="10">
        <v>45736</v>
      </c>
      <c r="E1617" s="11" t="str">
        <f>+HYPERLINK("http://trademark.i-assist.jp/data/china/image_1928th/82745369.pdf","82745369")</f>
        <v>82745369</v>
      </c>
      <c r="F1617" s="9" t="s">
        <v>4508</v>
      </c>
      <c r="G1617" s="9" t="s">
        <v>4509</v>
      </c>
      <c r="H1617" s="9" t="s">
        <v>4510</v>
      </c>
      <c r="I1617" s="10">
        <v>45650</v>
      </c>
    </row>
    <row r="1618" spans="1:9" x14ac:dyDescent="0.15">
      <c r="A1618" s="9">
        <v>1617</v>
      </c>
      <c r="B1618" s="9" t="s">
        <v>9</v>
      </c>
      <c r="C1618" s="9">
        <v>1928</v>
      </c>
      <c r="D1618" s="10">
        <v>45736</v>
      </c>
      <c r="E1618" s="11" t="str">
        <f>+HYPERLINK("http://trademark.i-assist.jp/data/china/image_1928th/82745870.pdf","82745870")</f>
        <v>82745870</v>
      </c>
      <c r="F1618" s="9" t="s">
        <v>4511</v>
      </c>
      <c r="G1618" s="9" t="s">
        <v>4512</v>
      </c>
      <c r="H1618" s="9" t="s">
        <v>4513</v>
      </c>
      <c r="I1618" s="10">
        <v>45650</v>
      </c>
    </row>
    <row r="1619" spans="1:9" x14ac:dyDescent="0.15">
      <c r="A1619" s="9">
        <v>1618</v>
      </c>
      <c r="B1619" s="9" t="s">
        <v>9</v>
      </c>
      <c r="C1619" s="9">
        <v>1928</v>
      </c>
      <c r="D1619" s="10">
        <v>45736</v>
      </c>
      <c r="E1619" s="11" t="str">
        <f>+HYPERLINK("http://trademark.i-assist.jp/data/china/image_1928th/82745916.pdf","82745916")</f>
        <v>82745916</v>
      </c>
      <c r="F1619" s="13" t="s">
        <v>4514</v>
      </c>
      <c r="G1619" s="9" t="s">
        <v>3952</v>
      </c>
      <c r="H1619" s="9" t="s">
        <v>4515</v>
      </c>
      <c r="I1619" s="10">
        <v>45650</v>
      </c>
    </row>
    <row r="1620" spans="1:9" x14ac:dyDescent="0.15">
      <c r="A1620" s="9">
        <v>1619</v>
      </c>
      <c r="B1620" s="9" t="s">
        <v>9</v>
      </c>
      <c r="C1620" s="9">
        <v>1928</v>
      </c>
      <c r="D1620" s="10">
        <v>45736</v>
      </c>
      <c r="E1620" s="11" t="str">
        <f>+HYPERLINK("http://trademark.i-assist.jp/data/china/image_1928th/82745985.pdf","82745985")</f>
        <v>82745985</v>
      </c>
      <c r="F1620" s="9" t="s">
        <v>4516</v>
      </c>
      <c r="G1620" s="9" t="s">
        <v>4517</v>
      </c>
      <c r="H1620" s="9" t="s">
        <v>4518</v>
      </c>
      <c r="I1620" s="10">
        <v>45650</v>
      </c>
    </row>
    <row r="1621" spans="1:9" x14ac:dyDescent="0.15">
      <c r="A1621" s="9">
        <v>1620</v>
      </c>
      <c r="B1621" s="9" t="s">
        <v>9</v>
      </c>
      <c r="C1621" s="9">
        <v>1928</v>
      </c>
      <c r="D1621" s="10">
        <v>45736</v>
      </c>
      <c r="E1621" s="11" t="str">
        <f>+HYPERLINK("http://trademark.i-assist.jp/data/china/image_1928th/82746038.pdf","82746038")</f>
        <v>82746038</v>
      </c>
      <c r="F1621" s="9" t="s">
        <v>4519</v>
      </c>
      <c r="G1621" s="9" t="s">
        <v>4520</v>
      </c>
      <c r="H1621" s="9" t="s">
        <v>4521</v>
      </c>
      <c r="I1621" s="10">
        <v>45650</v>
      </c>
    </row>
    <row r="1622" spans="1:9" x14ac:dyDescent="0.15">
      <c r="A1622" s="9">
        <v>1621</v>
      </c>
      <c r="B1622" s="9" t="s">
        <v>9</v>
      </c>
      <c r="C1622" s="9">
        <v>1928</v>
      </c>
      <c r="D1622" s="10">
        <v>45736</v>
      </c>
      <c r="E1622" s="11" t="str">
        <f>+HYPERLINK("http://trademark.i-assist.jp/data/china/image_1928th/82746351.pdf","82746351")</f>
        <v>82746351</v>
      </c>
      <c r="F1622" s="9" t="s">
        <v>4522</v>
      </c>
      <c r="G1622" s="9" t="s">
        <v>4487</v>
      </c>
      <c r="H1622" s="9" t="s">
        <v>4523</v>
      </c>
      <c r="I1622" s="10">
        <v>45650</v>
      </c>
    </row>
    <row r="1623" spans="1:9" x14ac:dyDescent="0.15">
      <c r="A1623" s="9">
        <v>1622</v>
      </c>
      <c r="B1623" s="9" t="s">
        <v>9</v>
      </c>
      <c r="C1623" s="9">
        <v>1928</v>
      </c>
      <c r="D1623" s="10">
        <v>45736</v>
      </c>
      <c r="E1623" s="11" t="str">
        <f>+HYPERLINK("http://trademark.i-assist.jp/data/china/image_1928th/82746716.pdf","82746716")</f>
        <v>82746716</v>
      </c>
      <c r="F1623" s="9" t="s">
        <v>4524</v>
      </c>
      <c r="G1623" s="9" t="s">
        <v>4520</v>
      </c>
      <c r="H1623" s="9" t="s">
        <v>4525</v>
      </c>
      <c r="I1623" s="10">
        <v>45650</v>
      </c>
    </row>
    <row r="1624" spans="1:9" x14ac:dyDescent="0.15">
      <c r="A1624" s="9">
        <v>1623</v>
      </c>
      <c r="B1624" s="9" t="s">
        <v>9</v>
      </c>
      <c r="C1624" s="9">
        <v>1928</v>
      </c>
      <c r="D1624" s="10">
        <v>45736</v>
      </c>
      <c r="E1624" s="11" t="str">
        <f>+HYPERLINK("http://trademark.i-assist.jp/data/china/image_1928th/82746817.pdf","82746817")</f>
        <v>82746817</v>
      </c>
      <c r="F1624" s="9" t="s">
        <v>4526</v>
      </c>
      <c r="G1624" s="12" t="s">
        <v>4527</v>
      </c>
      <c r="H1624" s="9" t="s">
        <v>4528</v>
      </c>
      <c r="I1624" s="10">
        <v>45650</v>
      </c>
    </row>
    <row r="1625" spans="1:9" x14ac:dyDescent="0.15">
      <c r="A1625" s="9">
        <v>1624</v>
      </c>
      <c r="B1625" s="9" t="s">
        <v>9</v>
      </c>
      <c r="C1625" s="9">
        <v>1928</v>
      </c>
      <c r="D1625" s="10">
        <v>45736</v>
      </c>
      <c r="E1625" s="11" t="str">
        <f>+HYPERLINK("http://trademark.i-assist.jp/data/china/image_1928th/82747307.pdf","82747307")</f>
        <v>82747307</v>
      </c>
      <c r="F1625" s="9" t="s">
        <v>4529</v>
      </c>
      <c r="G1625" s="9" t="s">
        <v>4530</v>
      </c>
      <c r="H1625" s="9" t="s">
        <v>4531</v>
      </c>
      <c r="I1625" s="10">
        <v>45650</v>
      </c>
    </row>
    <row r="1626" spans="1:9" x14ac:dyDescent="0.15">
      <c r="A1626" s="9">
        <v>1625</v>
      </c>
      <c r="B1626" s="9" t="s">
        <v>9</v>
      </c>
      <c r="C1626" s="9">
        <v>1928</v>
      </c>
      <c r="D1626" s="10">
        <v>45736</v>
      </c>
      <c r="E1626" s="11" t="str">
        <f>+HYPERLINK("http://trademark.i-assist.jp/data/china/image_1928th/82747421.pdf","82747421")</f>
        <v>82747421</v>
      </c>
      <c r="F1626" s="9" t="s">
        <v>4532</v>
      </c>
      <c r="G1626" s="9" t="s">
        <v>4442</v>
      </c>
      <c r="H1626" s="9" t="s">
        <v>4533</v>
      </c>
      <c r="I1626" s="10">
        <v>45650</v>
      </c>
    </row>
    <row r="1627" spans="1:9" x14ac:dyDescent="0.15">
      <c r="A1627" s="9">
        <v>1626</v>
      </c>
      <c r="B1627" s="9" t="s">
        <v>9</v>
      </c>
      <c r="C1627" s="9">
        <v>1928</v>
      </c>
      <c r="D1627" s="10">
        <v>45736</v>
      </c>
      <c r="E1627" s="11" t="str">
        <f>+HYPERLINK("http://trademark.i-assist.jp/data/china/image_1928th/82747652.pdf","82747652")</f>
        <v>82747652</v>
      </c>
      <c r="F1627" s="9" t="s">
        <v>4534</v>
      </c>
      <c r="G1627" s="9" t="s">
        <v>4535</v>
      </c>
      <c r="H1627" s="9" t="s">
        <v>4536</v>
      </c>
      <c r="I1627" s="10">
        <v>45650</v>
      </c>
    </row>
    <row r="1628" spans="1:9" x14ac:dyDescent="0.15">
      <c r="A1628" s="9">
        <v>1627</v>
      </c>
      <c r="B1628" s="9" t="s">
        <v>9</v>
      </c>
      <c r="C1628" s="9">
        <v>1928</v>
      </c>
      <c r="D1628" s="10">
        <v>45736</v>
      </c>
      <c r="E1628" s="11" t="str">
        <f>+HYPERLINK("http://trademark.i-assist.jp/data/china/image_1928th/82747961.pdf","82747961")</f>
        <v>82747961</v>
      </c>
      <c r="F1628" s="9" t="s">
        <v>4537</v>
      </c>
      <c r="G1628" s="9" t="s">
        <v>2531</v>
      </c>
      <c r="H1628" s="12" t="s">
        <v>4538</v>
      </c>
      <c r="I1628" s="10">
        <v>45651</v>
      </c>
    </row>
    <row r="1629" spans="1:9" x14ac:dyDescent="0.15">
      <c r="A1629" s="9">
        <v>1628</v>
      </c>
      <c r="B1629" s="9" t="s">
        <v>9</v>
      </c>
      <c r="C1629" s="9">
        <v>1928</v>
      </c>
      <c r="D1629" s="10">
        <v>45736</v>
      </c>
      <c r="E1629" s="11" t="str">
        <f>+HYPERLINK("http://trademark.i-assist.jp/data/china/image_1928th/82747995.pdf","82747995")</f>
        <v>82747995</v>
      </c>
      <c r="F1629" s="9" t="s">
        <v>4539</v>
      </c>
      <c r="G1629" s="9" t="s">
        <v>4540</v>
      </c>
      <c r="H1629" s="12" t="s">
        <v>4541</v>
      </c>
      <c r="I1629" s="10">
        <v>45651</v>
      </c>
    </row>
    <row r="1630" spans="1:9" x14ac:dyDescent="0.15">
      <c r="A1630" s="9">
        <v>1629</v>
      </c>
      <c r="B1630" s="9" t="s">
        <v>9</v>
      </c>
      <c r="C1630" s="9">
        <v>1928</v>
      </c>
      <c r="D1630" s="10">
        <v>45736</v>
      </c>
      <c r="E1630" s="11" t="str">
        <f>+HYPERLINK("http://trademark.i-assist.jp/data/china/image_1928th/82748311.pdf","82748311")</f>
        <v>82748311</v>
      </c>
      <c r="F1630" s="9" t="s">
        <v>4542</v>
      </c>
      <c r="G1630" s="9" t="s">
        <v>4543</v>
      </c>
      <c r="H1630" s="9" t="s">
        <v>4544</v>
      </c>
      <c r="I1630" s="10">
        <v>45651</v>
      </c>
    </row>
    <row r="1631" spans="1:9" x14ac:dyDescent="0.15">
      <c r="A1631" s="9">
        <v>1630</v>
      </c>
      <c r="B1631" s="9" t="s">
        <v>9</v>
      </c>
      <c r="C1631" s="9">
        <v>1928</v>
      </c>
      <c r="D1631" s="10">
        <v>45736</v>
      </c>
      <c r="E1631" s="11" t="str">
        <f>+HYPERLINK("http://trademark.i-assist.jp/data/china/image_1928th/82748316.pdf","82748316")</f>
        <v>82748316</v>
      </c>
      <c r="F1631" s="9" t="s">
        <v>4545</v>
      </c>
      <c r="G1631" s="9" t="s">
        <v>4546</v>
      </c>
      <c r="H1631" s="9" t="s">
        <v>4547</v>
      </c>
      <c r="I1631" s="10">
        <v>45651</v>
      </c>
    </row>
    <row r="1632" spans="1:9" x14ac:dyDescent="0.15">
      <c r="A1632" s="9">
        <v>1631</v>
      </c>
      <c r="B1632" s="9" t="s">
        <v>9</v>
      </c>
      <c r="C1632" s="9">
        <v>1928</v>
      </c>
      <c r="D1632" s="10">
        <v>45736</v>
      </c>
      <c r="E1632" s="11" t="str">
        <f>+HYPERLINK("http://trademark.i-assist.jp/data/china/image_1928th/82748853.pdf","82748853")</f>
        <v>82748853</v>
      </c>
      <c r="F1632" s="9" t="s">
        <v>4548</v>
      </c>
      <c r="G1632" s="9" t="s">
        <v>45</v>
      </c>
      <c r="H1632" s="9" t="s">
        <v>4549</v>
      </c>
      <c r="I1632" s="10">
        <v>45651</v>
      </c>
    </row>
    <row r="1633" spans="1:9" x14ac:dyDescent="0.15">
      <c r="A1633" s="9">
        <v>1632</v>
      </c>
      <c r="B1633" s="9" t="s">
        <v>9</v>
      </c>
      <c r="C1633" s="9">
        <v>1928</v>
      </c>
      <c r="D1633" s="10">
        <v>45736</v>
      </c>
      <c r="E1633" s="11" t="str">
        <f>+HYPERLINK("http://trademark.i-assist.jp/data/china/image_1928th/82748956.pdf","82748956")</f>
        <v>82748956</v>
      </c>
      <c r="F1633" s="12" t="s">
        <v>18</v>
      </c>
      <c r="G1633" s="9" t="s">
        <v>1180</v>
      </c>
      <c r="H1633" s="9" t="s">
        <v>4550</v>
      </c>
      <c r="I1633" s="10">
        <v>45651</v>
      </c>
    </row>
    <row r="1634" spans="1:9" x14ac:dyDescent="0.15">
      <c r="A1634" s="9">
        <v>1633</v>
      </c>
      <c r="B1634" s="9" t="s">
        <v>9</v>
      </c>
      <c r="C1634" s="9">
        <v>1928</v>
      </c>
      <c r="D1634" s="10">
        <v>45736</v>
      </c>
      <c r="E1634" s="11" t="str">
        <f>+HYPERLINK("http://trademark.i-assist.jp/data/china/image_1928th/82748971.pdf","82748971")</f>
        <v>82748971</v>
      </c>
      <c r="F1634" s="12" t="s">
        <v>18</v>
      </c>
      <c r="G1634" s="9" t="s">
        <v>1180</v>
      </c>
      <c r="H1634" s="9" t="s">
        <v>4551</v>
      </c>
      <c r="I1634" s="10">
        <v>45651</v>
      </c>
    </row>
    <row r="1635" spans="1:9" x14ac:dyDescent="0.15">
      <c r="A1635" s="9">
        <v>1634</v>
      </c>
      <c r="B1635" s="9" t="s">
        <v>9</v>
      </c>
      <c r="C1635" s="9">
        <v>1928</v>
      </c>
      <c r="D1635" s="10">
        <v>45736</v>
      </c>
      <c r="E1635" s="11" t="str">
        <f>+HYPERLINK("http://trademark.i-assist.jp/data/china/image_1928th/82749009.pdf","82749009")</f>
        <v>82749009</v>
      </c>
      <c r="F1635" s="12" t="s">
        <v>18</v>
      </c>
      <c r="G1635" s="9" t="s">
        <v>1180</v>
      </c>
      <c r="H1635" s="9" t="s">
        <v>4552</v>
      </c>
      <c r="I1635" s="10">
        <v>45651</v>
      </c>
    </row>
    <row r="1636" spans="1:9" x14ac:dyDescent="0.15">
      <c r="A1636" s="9">
        <v>1635</v>
      </c>
      <c r="B1636" s="9" t="s">
        <v>9</v>
      </c>
      <c r="C1636" s="9">
        <v>1928</v>
      </c>
      <c r="D1636" s="10">
        <v>45736</v>
      </c>
      <c r="E1636" s="11" t="str">
        <f>+HYPERLINK("http://trademark.i-assist.jp/data/china/image_1928th/82749203.pdf","82749203")</f>
        <v>82749203</v>
      </c>
      <c r="F1636" s="12" t="s">
        <v>4553</v>
      </c>
      <c r="G1636" s="9" t="s">
        <v>4554</v>
      </c>
      <c r="H1636" s="9" t="s">
        <v>4555</v>
      </c>
      <c r="I1636" s="10">
        <v>45651</v>
      </c>
    </row>
    <row r="1637" spans="1:9" x14ac:dyDescent="0.15">
      <c r="A1637" s="9">
        <v>1636</v>
      </c>
      <c r="B1637" s="9" t="s">
        <v>9</v>
      </c>
      <c r="C1637" s="9">
        <v>1928</v>
      </c>
      <c r="D1637" s="10">
        <v>45736</v>
      </c>
      <c r="E1637" s="11" t="str">
        <f>+HYPERLINK("http://trademark.i-assist.jp/data/china/image_1928th/82749242.pdf","82749242")</f>
        <v>82749242</v>
      </c>
      <c r="F1637" s="9" t="s">
        <v>4556</v>
      </c>
      <c r="G1637" s="9" t="s">
        <v>4557</v>
      </c>
      <c r="H1637" s="9" t="s">
        <v>4558</v>
      </c>
      <c r="I1637" s="10">
        <v>45651</v>
      </c>
    </row>
    <row r="1638" spans="1:9" x14ac:dyDescent="0.15">
      <c r="A1638" s="9">
        <v>1637</v>
      </c>
      <c r="B1638" s="9" t="s">
        <v>9</v>
      </c>
      <c r="C1638" s="9">
        <v>1928</v>
      </c>
      <c r="D1638" s="10">
        <v>45736</v>
      </c>
      <c r="E1638" s="11" t="str">
        <f>+HYPERLINK("http://trademark.i-assist.jp/data/china/image_1928th/82749403.pdf","82749403")</f>
        <v>82749403</v>
      </c>
      <c r="F1638" s="9" t="s">
        <v>4559</v>
      </c>
      <c r="G1638" s="9" t="s">
        <v>4560</v>
      </c>
      <c r="H1638" s="9" t="s">
        <v>4561</v>
      </c>
      <c r="I1638" s="10">
        <v>45651</v>
      </c>
    </row>
    <row r="1639" spans="1:9" x14ac:dyDescent="0.15">
      <c r="A1639" s="9">
        <v>1638</v>
      </c>
      <c r="B1639" s="9" t="s">
        <v>9</v>
      </c>
      <c r="C1639" s="9">
        <v>1928</v>
      </c>
      <c r="D1639" s="10">
        <v>45736</v>
      </c>
      <c r="E1639" s="11" t="str">
        <f>+HYPERLINK("http://trademark.i-assist.jp/data/china/image_1928th/82749945.pdf","82749945")</f>
        <v>82749945</v>
      </c>
      <c r="F1639" s="9" t="s">
        <v>4562</v>
      </c>
      <c r="G1639" s="9" t="s">
        <v>4563</v>
      </c>
      <c r="H1639" s="12" t="s">
        <v>4564</v>
      </c>
      <c r="I1639" s="10">
        <v>45651</v>
      </c>
    </row>
    <row r="1640" spans="1:9" x14ac:dyDescent="0.15">
      <c r="A1640" s="9">
        <v>1639</v>
      </c>
      <c r="B1640" s="9" t="s">
        <v>9</v>
      </c>
      <c r="C1640" s="9">
        <v>1928</v>
      </c>
      <c r="D1640" s="10">
        <v>45736</v>
      </c>
      <c r="E1640" s="11" t="str">
        <f>+HYPERLINK("http://trademark.i-assist.jp/data/china/image_1928th/82750246.pdf","82750246")</f>
        <v>82750246</v>
      </c>
      <c r="F1640" s="12" t="s">
        <v>18</v>
      </c>
      <c r="G1640" s="12" t="s">
        <v>4565</v>
      </c>
      <c r="H1640" s="9" t="s">
        <v>4566</v>
      </c>
      <c r="I1640" s="10">
        <v>45651</v>
      </c>
    </row>
    <row r="1641" spans="1:9" x14ac:dyDescent="0.15">
      <c r="A1641" s="9">
        <v>1640</v>
      </c>
      <c r="B1641" s="9" t="s">
        <v>9</v>
      </c>
      <c r="C1641" s="9">
        <v>1928</v>
      </c>
      <c r="D1641" s="10">
        <v>45736</v>
      </c>
      <c r="E1641" s="11" t="str">
        <f>+HYPERLINK("http://trademark.i-assist.jp/data/china/image_1928th/82750446.pdf","82750446")</f>
        <v>82750446</v>
      </c>
      <c r="F1641" s="12" t="s">
        <v>18</v>
      </c>
      <c r="G1641" s="12" t="s">
        <v>4567</v>
      </c>
      <c r="H1641" s="9" t="s">
        <v>4568</v>
      </c>
      <c r="I1641" s="10">
        <v>45651</v>
      </c>
    </row>
    <row r="1642" spans="1:9" x14ac:dyDescent="0.15">
      <c r="A1642" s="9">
        <v>1641</v>
      </c>
      <c r="B1642" s="9" t="s">
        <v>9</v>
      </c>
      <c r="C1642" s="9">
        <v>1928</v>
      </c>
      <c r="D1642" s="10">
        <v>45736</v>
      </c>
      <c r="E1642" s="11" t="str">
        <f>+HYPERLINK("http://trademark.i-assist.jp/data/china/image_1928th/82750454.pdf","82750454")</f>
        <v>82750454</v>
      </c>
      <c r="F1642" s="9" t="s">
        <v>4569</v>
      </c>
      <c r="G1642" s="9" t="s">
        <v>4570</v>
      </c>
      <c r="H1642" s="9" t="s">
        <v>4571</v>
      </c>
      <c r="I1642" s="10">
        <v>45651</v>
      </c>
    </row>
    <row r="1643" spans="1:9" x14ac:dyDescent="0.15">
      <c r="A1643" s="9">
        <v>1642</v>
      </c>
      <c r="B1643" s="9" t="s">
        <v>9</v>
      </c>
      <c r="C1643" s="9">
        <v>1928</v>
      </c>
      <c r="D1643" s="10">
        <v>45736</v>
      </c>
      <c r="E1643" s="11" t="str">
        <f>+HYPERLINK("http://trademark.i-assist.jp/data/china/image_1928th/82750530.pdf","82750530")</f>
        <v>82750530</v>
      </c>
      <c r="F1643" s="9" t="s">
        <v>4572</v>
      </c>
      <c r="G1643" s="9" t="s">
        <v>4573</v>
      </c>
      <c r="H1643" s="9" t="s">
        <v>4574</v>
      </c>
      <c r="I1643" s="10">
        <v>45651</v>
      </c>
    </row>
    <row r="1644" spans="1:9" x14ac:dyDescent="0.15">
      <c r="A1644" s="9">
        <v>1643</v>
      </c>
      <c r="B1644" s="9" t="s">
        <v>9</v>
      </c>
      <c r="C1644" s="9">
        <v>1928</v>
      </c>
      <c r="D1644" s="10">
        <v>45736</v>
      </c>
      <c r="E1644" s="11" t="str">
        <f>+HYPERLINK("http://trademark.i-assist.jp/data/china/image_1928th/82750589.pdf","82750589")</f>
        <v>82750589</v>
      </c>
      <c r="F1644" s="9" t="s">
        <v>4575</v>
      </c>
      <c r="G1644" s="9" t="s">
        <v>4576</v>
      </c>
      <c r="H1644" s="9" t="s">
        <v>4577</v>
      </c>
      <c r="I1644" s="10">
        <v>45651</v>
      </c>
    </row>
    <row r="1645" spans="1:9" x14ac:dyDescent="0.15">
      <c r="A1645" s="9">
        <v>1644</v>
      </c>
      <c r="B1645" s="9" t="s">
        <v>9</v>
      </c>
      <c r="C1645" s="9">
        <v>1928</v>
      </c>
      <c r="D1645" s="10">
        <v>45736</v>
      </c>
      <c r="E1645" s="11" t="str">
        <f>+HYPERLINK("http://trademark.i-assist.jp/data/china/image_1928th/82750630.pdf","82750630")</f>
        <v>82750630</v>
      </c>
      <c r="F1645" s="12" t="s">
        <v>18</v>
      </c>
      <c r="G1645" s="9" t="s">
        <v>1180</v>
      </c>
      <c r="H1645" s="9" t="s">
        <v>4578</v>
      </c>
      <c r="I1645" s="10">
        <v>45651</v>
      </c>
    </row>
    <row r="1646" spans="1:9" x14ac:dyDescent="0.15">
      <c r="A1646" s="9">
        <v>1645</v>
      </c>
      <c r="B1646" s="9" t="s">
        <v>9</v>
      </c>
      <c r="C1646" s="9">
        <v>1928</v>
      </c>
      <c r="D1646" s="10">
        <v>45736</v>
      </c>
      <c r="E1646" s="11" t="str">
        <f>+HYPERLINK("http://trademark.i-assist.jp/data/china/image_1928th/82751091.pdf","82751091")</f>
        <v>82751091</v>
      </c>
      <c r="F1646" s="9" t="s">
        <v>4579</v>
      </c>
      <c r="G1646" s="9" t="s">
        <v>4543</v>
      </c>
      <c r="H1646" s="9" t="s">
        <v>4580</v>
      </c>
      <c r="I1646" s="10">
        <v>45651</v>
      </c>
    </row>
    <row r="1647" spans="1:9" x14ac:dyDescent="0.15">
      <c r="A1647" s="9">
        <v>1646</v>
      </c>
      <c r="B1647" s="9" t="s">
        <v>9</v>
      </c>
      <c r="C1647" s="9">
        <v>1928</v>
      </c>
      <c r="D1647" s="10">
        <v>45736</v>
      </c>
      <c r="E1647" s="11" t="str">
        <f>+HYPERLINK("http://trademark.i-assist.jp/data/china/image_1928th/82751168.pdf","82751168")</f>
        <v>82751168</v>
      </c>
      <c r="F1647" s="9" t="s">
        <v>4581</v>
      </c>
      <c r="G1647" s="12" t="s">
        <v>4582</v>
      </c>
      <c r="H1647" s="9" t="s">
        <v>4583</v>
      </c>
      <c r="I1647" s="10">
        <v>45651</v>
      </c>
    </row>
    <row r="1648" spans="1:9" x14ac:dyDescent="0.15">
      <c r="A1648" s="9">
        <v>1647</v>
      </c>
      <c r="B1648" s="9" t="s">
        <v>9</v>
      </c>
      <c r="C1648" s="9">
        <v>1928</v>
      </c>
      <c r="D1648" s="10">
        <v>45736</v>
      </c>
      <c r="E1648" s="11" t="str">
        <f>+HYPERLINK("http://trademark.i-assist.jp/data/china/image_1928th/82751176.pdf","82751176")</f>
        <v>82751176</v>
      </c>
      <c r="F1648" s="9" t="s">
        <v>4584</v>
      </c>
      <c r="G1648" s="12" t="s">
        <v>4582</v>
      </c>
      <c r="H1648" s="9" t="s">
        <v>4585</v>
      </c>
      <c r="I1648" s="10">
        <v>45651</v>
      </c>
    </row>
    <row r="1649" spans="1:9" x14ac:dyDescent="0.15">
      <c r="A1649" s="9">
        <v>1648</v>
      </c>
      <c r="B1649" s="9" t="s">
        <v>9</v>
      </c>
      <c r="C1649" s="9">
        <v>1928</v>
      </c>
      <c r="D1649" s="10">
        <v>45736</v>
      </c>
      <c r="E1649" s="11" t="str">
        <f>+HYPERLINK("http://trademark.i-assist.jp/data/china/image_1928th/82751225.pdf","82751225")</f>
        <v>82751225</v>
      </c>
      <c r="F1649" s="12" t="s">
        <v>4586</v>
      </c>
      <c r="G1649" s="9" t="s">
        <v>4587</v>
      </c>
      <c r="H1649" s="9" t="s">
        <v>4588</v>
      </c>
      <c r="I1649" s="10">
        <v>45651</v>
      </c>
    </row>
    <row r="1650" spans="1:9" x14ac:dyDescent="0.15">
      <c r="A1650" s="9">
        <v>1649</v>
      </c>
      <c r="B1650" s="9" t="s">
        <v>9</v>
      </c>
      <c r="C1650" s="9">
        <v>1928</v>
      </c>
      <c r="D1650" s="10">
        <v>45736</v>
      </c>
      <c r="E1650" s="11" t="str">
        <f>+HYPERLINK("http://trademark.i-assist.jp/data/china/image_1928th/82751379.pdf","82751379")</f>
        <v>82751379</v>
      </c>
      <c r="F1650" s="9" t="s">
        <v>4589</v>
      </c>
      <c r="G1650" s="12" t="s">
        <v>4590</v>
      </c>
      <c r="H1650" s="9" t="s">
        <v>4591</v>
      </c>
      <c r="I1650" s="10">
        <v>45651</v>
      </c>
    </row>
    <row r="1651" spans="1:9" x14ac:dyDescent="0.15">
      <c r="A1651" s="9">
        <v>1650</v>
      </c>
      <c r="B1651" s="9" t="s">
        <v>9</v>
      </c>
      <c r="C1651" s="9">
        <v>1928</v>
      </c>
      <c r="D1651" s="10">
        <v>45736</v>
      </c>
      <c r="E1651" s="11" t="str">
        <f>+HYPERLINK("http://trademark.i-assist.jp/data/china/image_1928th/82751404.pdf","82751404")</f>
        <v>82751404</v>
      </c>
      <c r="F1651" s="9" t="s">
        <v>4592</v>
      </c>
      <c r="G1651" s="12" t="s">
        <v>4593</v>
      </c>
      <c r="H1651" s="9" t="s">
        <v>4594</v>
      </c>
      <c r="I1651" s="10">
        <v>45651</v>
      </c>
    </row>
    <row r="1652" spans="1:9" x14ac:dyDescent="0.15">
      <c r="A1652" s="9">
        <v>1651</v>
      </c>
      <c r="B1652" s="9" t="s">
        <v>9</v>
      </c>
      <c r="C1652" s="9">
        <v>1928</v>
      </c>
      <c r="D1652" s="10">
        <v>45736</v>
      </c>
      <c r="E1652" s="11" t="str">
        <f>+HYPERLINK("http://trademark.i-assist.jp/data/china/image_1928th/82751712.pdf","82751712")</f>
        <v>82751712</v>
      </c>
      <c r="F1652" s="9" t="s">
        <v>4595</v>
      </c>
      <c r="G1652" s="9" t="s">
        <v>4596</v>
      </c>
      <c r="H1652" s="9" t="s">
        <v>4597</v>
      </c>
      <c r="I1652" s="10">
        <v>45651</v>
      </c>
    </row>
    <row r="1653" spans="1:9" x14ac:dyDescent="0.15">
      <c r="A1653" s="9">
        <v>1652</v>
      </c>
      <c r="B1653" s="9" t="s">
        <v>9</v>
      </c>
      <c r="C1653" s="9">
        <v>1928</v>
      </c>
      <c r="D1653" s="10">
        <v>45736</v>
      </c>
      <c r="E1653" s="11" t="str">
        <f>+HYPERLINK("http://trademark.i-assist.jp/data/china/image_1928th/82752415.pdf","82752415")</f>
        <v>82752415</v>
      </c>
      <c r="F1653" s="9" t="s">
        <v>4598</v>
      </c>
      <c r="G1653" s="9" t="s">
        <v>4599</v>
      </c>
      <c r="H1653" s="9" t="s">
        <v>4600</v>
      </c>
      <c r="I1653" s="10">
        <v>45651</v>
      </c>
    </row>
    <row r="1654" spans="1:9" x14ac:dyDescent="0.15">
      <c r="A1654" s="9">
        <v>1653</v>
      </c>
      <c r="B1654" s="9" t="s">
        <v>9</v>
      </c>
      <c r="C1654" s="9">
        <v>1928</v>
      </c>
      <c r="D1654" s="10">
        <v>45736</v>
      </c>
      <c r="E1654" s="11" t="str">
        <f>+HYPERLINK("http://trademark.i-assist.jp/data/china/image_1928th/82752497.pdf","82752497")</f>
        <v>82752497</v>
      </c>
      <c r="F1654" s="12" t="s">
        <v>4601</v>
      </c>
      <c r="G1654" s="9" t="s">
        <v>4602</v>
      </c>
      <c r="H1654" s="9" t="s">
        <v>4603</v>
      </c>
      <c r="I1654" s="10">
        <v>45651</v>
      </c>
    </row>
    <row r="1655" spans="1:9" x14ac:dyDescent="0.15">
      <c r="A1655" s="9">
        <v>1654</v>
      </c>
      <c r="B1655" s="9" t="s">
        <v>9</v>
      </c>
      <c r="C1655" s="9">
        <v>1928</v>
      </c>
      <c r="D1655" s="10">
        <v>45736</v>
      </c>
      <c r="E1655" s="11" t="str">
        <f>+HYPERLINK("http://trademark.i-assist.jp/data/china/image_1928th/82752546.pdf","82752546")</f>
        <v>82752546</v>
      </c>
      <c r="F1655" s="9" t="s">
        <v>4604</v>
      </c>
      <c r="G1655" s="9" t="s">
        <v>4605</v>
      </c>
      <c r="H1655" s="9" t="s">
        <v>4606</v>
      </c>
      <c r="I1655" s="10">
        <v>45651</v>
      </c>
    </row>
    <row r="1656" spans="1:9" x14ac:dyDescent="0.15">
      <c r="A1656" s="9">
        <v>1655</v>
      </c>
      <c r="B1656" s="9" t="s">
        <v>9</v>
      </c>
      <c r="C1656" s="9">
        <v>1928</v>
      </c>
      <c r="D1656" s="10">
        <v>45736</v>
      </c>
      <c r="E1656" s="11" t="str">
        <f>+HYPERLINK("http://trademark.i-assist.jp/data/china/image_1928th/82752678.pdf","82752678")</f>
        <v>82752678</v>
      </c>
      <c r="F1656" s="9" t="s">
        <v>4607</v>
      </c>
      <c r="G1656" s="12" t="s">
        <v>4608</v>
      </c>
      <c r="H1656" s="9" t="s">
        <v>4609</v>
      </c>
      <c r="I1656" s="10">
        <v>45651</v>
      </c>
    </row>
    <row r="1657" spans="1:9" x14ac:dyDescent="0.15">
      <c r="A1657" s="9">
        <v>1656</v>
      </c>
      <c r="B1657" s="9" t="s">
        <v>9</v>
      </c>
      <c r="C1657" s="9">
        <v>1928</v>
      </c>
      <c r="D1657" s="10">
        <v>45736</v>
      </c>
      <c r="E1657" s="11" t="str">
        <f>+HYPERLINK("http://trademark.i-assist.jp/data/china/image_1928th/82753016.pdf","82753016")</f>
        <v>82753016</v>
      </c>
      <c r="F1657" s="9" t="s">
        <v>4610</v>
      </c>
      <c r="G1657" s="9" t="s">
        <v>4611</v>
      </c>
      <c r="H1657" s="9" t="s">
        <v>4612</v>
      </c>
      <c r="I1657" s="10">
        <v>45651</v>
      </c>
    </row>
    <row r="1658" spans="1:9" x14ac:dyDescent="0.15">
      <c r="A1658" s="9">
        <v>1657</v>
      </c>
      <c r="B1658" s="9" t="s">
        <v>9</v>
      </c>
      <c r="C1658" s="9">
        <v>1928</v>
      </c>
      <c r="D1658" s="10">
        <v>45736</v>
      </c>
      <c r="E1658" s="11" t="str">
        <f>+HYPERLINK("http://trademark.i-assist.jp/data/china/image_1928th/82753299.pdf","82753299")</f>
        <v>82753299</v>
      </c>
      <c r="F1658" s="12" t="s">
        <v>18</v>
      </c>
      <c r="G1658" s="12" t="s">
        <v>4613</v>
      </c>
      <c r="H1658" s="9" t="s">
        <v>4614</v>
      </c>
      <c r="I1658" s="10">
        <v>45651</v>
      </c>
    </row>
    <row r="1659" spans="1:9" x14ac:dyDescent="0.15">
      <c r="A1659" s="9">
        <v>1658</v>
      </c>
      <c r="B1659" s="9" t="s">
        <v>9</v>
      </c>
      <c r="C1659" s="9">
        <v>1928</v>
      </c>
      <c r="D1659" s="10">
        <v>45736</v>
      </c>
      <c r="E1659" s="11" t="str">
        <f>+HYPERLINK("http://trademark.i-assist.jp/data/china/image_1928th/82753572.pdf","82753572")</f>
        <v>82753572</v>
      </c>
      <c r="F1659" s="9" t="s">
        <v>4615</v>
      </c>
      <c r="G1659" s="9" t="s">
        <v>4616</v>
      </c>
      <c r="H1659" s="9" t="s">
        <v>4617</v>
      </c>
      <c r="I1659" s="10">
        <v>45651</v>
      </c>
    </row>
    <row r="1660" spans="1:9" x14ac:dyDescent="0.15">
      <c r="A1660" s="9">
        <v>1659</v>
      </c>
      <c r="B1660" s="9" t="s">
        <v>9</v>
      </c>
      <c r="C1660" s="9">
        <v>1928</v>
      </c>
      <c r="D1660" s="10">
        <v>45736</v>
      </c>
      <c r="E1660" s="11" t="str">
        <f>+HYPERLINK("http://trademark.i-assist.jp/data/china/image_1928th/82754131.pdf","82754131")</f>
        <v>82754131</v>
      </c>
      <c r="F1660" s="9" t="s">
        <v>4618</v>
      </c>
      <c r="G1660" s="9" t="s">
        <v>28</v>
      </c>
      <c r="H1660" s="9" t="s">
        <v>4619</v>
      </c>
      <c r="I1660" s="10">
        <v>45651</v>
      </c>
    </row>
    <row r="1661" spans="1:9" x14ac:dyDescent="0.15">
      <c r="A1661" s="9">
        <v>1660</v>
      </c>
      <c r="B1661" s="9" t="s">
        <v>9</v>
      </c>
      <c r="C1661" s="9">
        <v>1928</v>
      </c>
      <c r="D1661" s="10">
        <v>45736</v>
      </c>
      <c r="E1661" s="11" t="str">
        <f>+HYPERLINK("http://trademark.i-assist.jp/data/china/image_1928th/82754241.pdf","82754241")</f>
        <v>82754241</v>
      </c>
      <c r="F1661" s="9" t="s">
        <v>4620</v>
      </c>
      <c r="G1661" s="12" t="s">
        <v>4582</v>
      </c>
      <c r="H1661" s="9" t="s">
        <v>4621</v>
      </c>
      <c r="I1661" s="10">
        <v>45651</v>
      </c>
    </row>
    <row r="1662" spans="1:9" x14ac:dyDescent="0.15">
      <c r="A1662" s="9">
        <v>1661</v>
      </c>
      <c r="B1662" s="9" t="s">
        <v>9</v>
      </c>
      <c r="C1662" s="9">
        <v>1928</v>
      </c>
      <c r="D1662" s="10">
        <v>45736</v>
      </c>
      <c r="E1662" s="11" t="str">
        <f>+HYPERLINK("http://trademark.i-assist.jp/data/china/image_1928th/82754386.pdf","82754386")</f>
        <v>82754386</v>
      </c>
      <c r="F1662" s="9" t="s">
        <v>4622</v>
      </c>
      <c r="G1662" s="9" t="s">
        <v>4623</v>
      </c>
      <c r="H1662" s="9" t="s">
        <v>4624</v>
      </c>
      <c r="I1662" s="10">
        <v>45651</v>
      </c>
    </row>
    <row r="1663" spans="1:9" x14ac:dyDescent="0.15">
      <c r="A1663" s="9">
        <v>1662</v>
      </c>
      <c r="B1663" s="9" t="s">
        <v>9</v>
      </c>
      <c r="C1663" s="9">
        <v>1928</v>
      </c>
      <c r="D1663" s="10">
        <v>45736</v>
      </c>
      <c r="E1663" s="11" t="str">
        <f>+HYPERLINK("http://trademark.i-assist.jp/data/china/image_1928th/82754555.pdf","82754555")</f>
        <v>82754555</v>
      </c>
      <c r="F1663" s="9" t="s">
        <v>4625</v>
      </c>
      <c r="G1663" s="9" t="s">
        <v>4626</v>
      </c>
      <c r="H1663" s="9" t="s">
        <v>4627</v>
      </c>
      <c r="I1663" s="10">
        <v>45651</v>
      </c>
    </row>
    <row r="1664" spans="1:9" x14ac:dyDescent="0.15">
      <c r="A1664" s="9">
        <v>1663</v>
      </c>
      <c r="B1664" s="9" t="s">
        <v>9</v>
      </c>
      <c r="C1664" s="9">
        <v>1928</v>
      </c>
      <c r="D1664" s="10">
        <v>45736</v>
      </c>
      <c r="E1664" s="11" t="str">
        <f>+HYPERLINK("http://trademark.i-assist.jp/data/china/image_1928th/82754779.pdf","82754779")</f>
        <v>82754779</v>
      </c>
      <c r="F1664" s="9" t="s">
        <v>4628</v>
      </c>
      <c r="G1664" s="9" t="s">
        <v>4543</v>
      </c>
      <c r="H1664" s="9" t="s">
        <v>4629</v>
      </c>
      <c r="I1664" s="10">
        <v>45651</v>
      </c>
    </row>
    <row r="1665" spans="1:9" x14ac:dyDescent="0.15">
      <c r="A1665" s="9">
        <v>1664</v>
      </c>
      <c r="B1665" s="9" t="s">
        <v>9</v>
      </c>
      <c r="C1665" s="9">
        <v>1928</v>
      </c>
      <c r="D1665" s="10">
        <v>45736</v>
      </c>
      <c r="E1665" s="11" t="str">
        <f>+HYPERLINK("http://trademark.i-assist.jp/data/china/image_1928th/82755207.pdf","82755207")</f>
        <v>82755207</v>
      </c>
      <c r="F1665" s="12" t="s">
        <v>4630</v>
      </c>
      <c r="G1665" s="12" t="s">
        <v>4631</v>
      </c>
      <c r="H1665" s="9" t="s">
        <v>4632</v>
      </c>
      <c r="I1665" s="10">
        <v>45651</v>
      </c>
    </row>
    <row r="1666" spans="1:9" x14ac:dyDescent="0.15">
      <c r="A1666" s="9">
        <v>1665</v>
      </c>
      <c r="B1666" s="9" t="s">
        <v>9</v>
      </c>
      <c r="C1666" s="9">
        <v>1928</v>
      </c>
      <c r="D1666" s="10">
        <v>45736</v>
      </c>
      <c r="E1666" s="11" t="str">
        <f>+HYPERLINK("http://trademark.i-assist.jp/data/china/image_1928th/82755511.pdf","82755511")</f>
        <v>82755511</v>
      </c>
      <c r="F1666" s="9" t="s">
        <v>4633</v>
      </c>
      <c r="G1666" s="9" t="s">
        <v>4634</v>
      </c>
      <c r="H1666" s="9" t="s">
        <v>4635</v>
      </c>
      <c r="I1666" s="10">
        <v>45651</v>
      </c>
    </row>
    <row r="1667" spans="1:9" x14ac:dyDescent="0.15">
      <c r="A1667" s="9">
        <v>1666</v>
      </c>
      <c r="B1667" s="9" t="s">
        <v>9</v>
      </c>
      <c r="C1667" s="9">
        <v>1928</v>
      </c>
      <c r="D1667" s="10">
        <v>45736</v>
      </c>
      <c r="E1667" s="11" t="str">
        <f>+HYPERLINK("http://trademark.i-assist.jp/data/china/image_1928th/82755878.pdf","82755878")</f>
        <v>82755878</v>
      </c>
      <c r="F1667" s="9" t="s">
        <v>4636</v>
      </c>
      <c r="G1667" s="9" t="s">
        <v>4637</v>
      </c>
      <c r="H1667" s="9" t="s">
        <v>4638</v>
      </c>
      <c r="I1667" s="10">
        <v>45651</v>
      </c>
    </row>
    <row r="1668" spans="1:9" x14ac:dyDescent="0.15">
      <c r="A1668" s="9">
        <v>1667</v>
      </c>
      <c r="B1668" s="9" t="s">
        <v>9</v>
      </c>
      <c r="C1668" s="9">
        <v>1928</v>
      </c>
      <c r="D1668" s="10">
        <v>45736</v>
      </c>
      <c r="E1668" s="11" t="str">
        <f>+HYPERLINK("http://trademark.i-assist.jp/data/china/image_1928th/82755964.pdf","82755964")</f>
        <v>82755964</v>
      </c>
      <c r="F1668" s="9" t="s">
        <v>4639</v>
      </c>
      <c r="G1668" s="9" t="s">
        <v>4640</v>
      </c>
      <c r="H1668" s="9" t="s">
        <v>4641</v>
      </c>
      <c r="I1668" s="10">
        <v>45651</v>
      </c>
    </row>
    <row r="1669" spans="1:9" x14ac:dyDescent="0.15">
      <c r="A1669" s="9">
        <v>1668</v>
      </c>
      <c r="B1669" s="9" t="s">
        <v>9</v>
      </c>
      <c r="C1669" s="9">
        <v>1928</v>
      </c>
      <c r="D1669" s="10">
        <v>45736</v>
      </c>
      <c r="E1669" s="11" t="str">
        <f>+HYPERLINK("http://trademark.i-assist.jp/data/china/image_1928th/82755988.pdf","82755988")</f>
        <v>82755988</v>
      </c>
      <c r="F1669" s="9" t="s">
        <v>4642</v>
      </c>
      <c r="G1669" s="9" t="s">
        <v>4643</v>
      </c>
      <c r="H1669" s="9" t="s">
        <v>4644</v>
      </c>
      <c r="I1669" s="10">
        <v>45651</v>
      </c>
    </row>
    <row r="1670" spans="1:9" x14ac:dyDescent="0.15">
      <c r="A1670" s="9">
        <v>1669</v>
      </c>
      <c r="B1670" s="9" t="s">
        <v>9</v>
      </c>
      <c r="C1670" s="9">
        <v>1928</v>
      </c>
      <c r="D1670" s="10">
        <v>45736</v>
      </c>
      <c r="E1670" s="11" t="str">
        <f>+HYPERLINK("http://trademark.i-assist.jp/data/china/image_1928th/82756042.pdf","82756042")</f>
        <v>82756042</v>
      </c>
      <c r="F1670" s="9" t="s">
        <v>4645</v>
      </c>
      <c r="G1670" s="9" t="s">
        <v>4646</v>
      </c>
      <c r="H1670" s="9" t="s">
        <v>4647</v>
      </c>
      <c r="I1670" s="10">
        <v>45651</v>
      </c>
    </row>
    <row r="1671" spans="1:9" x14ac:dyDescent="0.15">
      <c r="A1671" s="9">
        <v>1670</v>
      </c>
      <c r="B1671" s="9" t="s">
        <v>9</v>
      </c>
      <c r="C1671" s="9">
        <v>1928</v>
      </c>
      <c r="D1671" s="10">
        <v>45736</v>
      </c>
      <c r="E1671" s="11" t="str">
        <f>+HYPERLINK("http://trademark.i-assist.jp/data/china/image_1928th/82756411.pdf","82756411")</f>
        <v>82756411</v>
      </c>
      <c r="F1671" s="9" t="s">
        <v>4648</v>
      </c>
      <c r="G1671" s="12" t="s">
        <v>4649</v>
      </c>
      <c r="H1671" s="9" t="s">
        <v>4650</v>
      </c>
      <c r="I1671" s="10">
        <v>45651</v>
      </c>
    </row>
    <row r="1672" spans="1:9" x14ac:dyDescent="0.15">
      <c r="A1672" s="9">
        <v>1671</v>
      </c>
      <c r="B1672" s="9" t="s">
        <v>9</v>
      </c>
      <c r="C1672" s="9">
        <v>1928</v>
      </c>
      <c r="D1672" s="10">
        <v>45736</v>
      </c>
      <c r="E1672" s="11" t="str">
        <f>+HYPERLINK("http://trademark.i-assist.jp/data/china/image_1928th/82756471.pdf","82756471")</f>
        <v>82756471</v>
      </c>
      <c r="F1672" s="9" t="s">
        <v>4651</v>
      </c>
      <c r="G1672" s="9" t="s">
        <v>4652</v>
      </c>
      <c r="H1672" s="9" t="s">
        <v>4653</v>
      </c>
      <c r="I1672" s="10">
        <v>45651</v>
      </c>
    </row>
    <row r="1673" spans="1:9" x14ac:dyDescent="0.15">
      <c r="A1673" s="9">
        <v>1672</v>
      </c>
      <c r="B1673" s="9" t="s">
        <v>9</v>
      </c>
      <c r="C1673" s="9">
        <v>1928</v>
      </c>
      <c r="D1673" s="10">
        <v>45736</v>
      </c>
      <c r="E1673" s="11" t="str">
        <f>+HYPERLINK("http://trademark.i-assist.jp/data/china/image_1928th/82756585.pdf","82756585")</f>
        <v>82756585</v>
      </c>
      <c r="F1673" s="9" t="s">
        <v>4654</v>
      </c>
      <c r="G1673" s="9" t="s">
        <v>4655</v>
      </c>
      <c r="H1673" s="9" t="s">
        <v>4656</v>
      </c>
      <c r="I1673" s="10">
        <v>45651</v>
      </c>
    </row>
    <row r="1674" spans="1:9" x14ac:dyDescent="0.15">
      <c r="A1674" s="9">
        <v>1673</v>
      </c>
      <c r="B1674" s="9" t="s">
        <v>9</v>
      </c>
      <c r="C1674" s="9">
        <v>1928</v>
      </c>
      <c r="D1674" s="10">
        <v>45736</v>
      </c>
      <c r="E1674" s="11" t="str">
        <f>+HYPERLINK("http://trademark.i-assist.jp/data/china/image_1928th/82756729.pdf","82756729")</f>
        <v>82756729</v>
      </c>
      <c r="F1674" s="12" t="s">
        <v>18</v>
      </c>
      <c r="G1674" s="9" t="s">
        <v>4657</v>
      </c>
      <c r="H1674" s="9" t="s">
        <v>4658</v>
      </c>
      <c r="I1674" s="10">
        <v>45651</v>
      </c>
    </row>
    <row r="1675" spans="1:9" x14ac:dyDescent="0.15">
      <c r="A1675" s="9">
        <v>1674</v>
      </c>
      <c r="B1675" s="9" t="s">
        <v>9</v>
      </c>
      <c r="C1675" s="9">
        <v>1928</v>
      </c>
      <c r="D1675" s="10">
        <v>45736</v>
      </c>
      <c r="E1675" s="11" t="str">
        <f>+HYPERLINK("http://trademark.i-assist.jp/data/china/image_1928th/82756832.pdf","82756832")</f>
        <v>82756832</v>
      </c>
      <c r="F1675" s="9" t="s">
        <v>4659</v>
      </c>
      <c r="G1675" s="9" t="s">
        <v>4660</v>
      </c>
      <c r="H1675" s="9" t="s">
        <v>4661</v>
      </c>
      <c r="I1675" s="10">
        <v>45651</v>
      </c>
    </row>
    <row r="1676" spans="1:9" x14ac:dyDescent="0.15">
      <c r="A1676" s="9">
        <v>1675</v>
      </c>
      <c r="B1676" s="9" t="s">
        <v>9</v>
      </c>
      <c r="C1676" s="9">
        <v>1928</v>
      </c>
      <c r="D1676" s="10">
        <v>45736</v>
      </c>
      <c r="E1676" s="11" t="str">
        <f>+HYPERLINK("http://trademark.i-assist.jp/data/china/image_1928th/82756839.pdf","82756839")</f>
        <v>82756839</v>
      </c>
      <c r="F1676" s="9" t="s">
        <v>4662</v>
      </c>
      <c r="G1676" s="9" t="s">
        <v>4663</v>
      </c>
      <c r="H1676" s="9" t="s">
        <v>4664</v>
      </c>
      <c r="I1676" s="10">
        <v>45651</v>
      </c>
    </row>
    <row r="1677" spans="1:9" x14ac:dyDescent="0.15">
      <c r="A1677" s="9">
        <v>1676</v>
      </c>
      <c r="B1677" s="9" t="s">
        <v>9</v>
      </c>
      <c r="C1677" s="9">
        <v>1928</v>
      </c>
      <c r="D1677" s="10">
        <v>45736</v>
      </c>
      <c r="E1677" s="11" t="str">
        <f>+HYPERLINK("http://trademark.i-assist.jp/data/china/image_1928th/82757230.pdf","82757230")</f>
        <v>82757230</v>
      </c>
      <c r="F1677" s="12" t="s">
        <v>4665</v>
      </c>
      <c r="G1677" s="12" t="s">
        <v>4666</v>
      </c>
      <c r="H1677" s="9" t="s">
        <v>4667</v>
      </c>
      <c r="I1677" s="10">
        <v>45651</v>
      </c>
    </row>
    <row r="1678" spans="1:9" x14ac:dyDescent="0.15">
      <c r="A1678" s="9">
        <v>1677</v>
      </c>
      <c r="B1678" s="9" t="s">
        <v>9</v>
      </c>
      <c r="C1678" s="9">
        <v>1928</v>
      </c>
      <c r="D1678" s="10">
        <v>45736</v>
      </c>
      <c r="E1678" s="11" t="str">
        <f>+HYPERLINK("http://trademark.i-assist.jp/data/china/image_1928th/82757246.pdf","82757246")</f>
        <v>82757246</v>
      </c>
      <c r="F1678" s="12" t="s">
        <v>18</v>
      </c>
      <c r="G1678" s="9" t="s">
        <v>4668</v>
      </c>
      <c r="H1678" s="9" t="s">
        <v>4669</v>
      </c>
      <c r="I1678" s="10">
        <v>45651</v>
      </c>
    </row>
    <row r="1679" spans="1:9" x14ac:dyDescent="0.15">
      <c r="A1679" s="9">
        <v>1678</v>
      </c>
      <c r="B1679" s="9" t="s">
        <v>9</v>
      </c>
      <c r="C1679" s="9">
        <v>1928</v>
      </c>
      <c r="D1679" s="10">
        <v>45736</v>
      </c>
      <c r="E1679" s="11" t="str">
        <f>+HYPERLINK("http://trademark.i-assist.jp/data/china/image_1928th/82757843.pdf","82757843")</f>
        <v>82757843</v>
      </c>
      <c r="F1679" s="9" t="s">
        <v>4670</v>
      </c>
      <c r="G1679" s="9" t="s">
        <v>4671</v>
      </c>
      <c r="H1679" s="9" t="s">
        <v>4672</v>
      </c>
      <c r="I1679" s="10">
        <v>45651</v>
      </c>
    </row>
    <row r="1680" spans="1:9" x14ac:dyDescent="0.15">
      <c r="A1680" s="9">
        <v>1679</v>
      </c>
      <c r="B1680" s="9" t="s">
        <v>9</v>
      </c>
      <c r="C1680" s="9">
        <v>1928</v>
      </c>
      <c r="D1680" s="10">
        <v>45736</v>
      </c>
      <c r="E1680" s="11" t="str">
        <f>+HYPERLINK("http://trademark.i-assist.jp/data/china/image_1928th/82758134.pdf","82758134")</f>
        <v>82758134</v>
      </c>
      <c r="F1680" s="9" t="s">
        <v>4673</v>
      </c>
      <c r="G1680" s="9" t="s">
        <v>4674</v>
      </c>
      <c r="H1680" s="9" t="s">
        <v>4675</v>
      </c>
      <c r="I1680" s="10">
        <v>45651</v>
      </c>
    </row>
    <row r="1681" spans="1:9" x14ac:dyDescent="0.15">
      <c r="A1681" s="9">
        <v>1680</v>
      </c>
      <c r="B1681" s="9" t="s">
        <v>9</v>
      </c>
      <c r="C1681" s="9">
        <v>1928</v>
      </c>
      <c r="D1681" s="10">
        <v>45736</v>
      </c>
      <c r="E1681" s="11" t="str">
        <f>+HYPERLINK("http://trademark.i-assist.jp/data/china/image_1928th/82758238.pdf","82758238")</f>
        <v>82758238</v>
      </c>
      <c r="F1681" s="9" t="s">
        <v>4676</v>
      </c>
      <c r="G1681" s="9" t="s">
        <v>4677</v>
      </c>
      <c r="H1681" s="12" t="s">
        <v>4678</v>
      </c>
      <c r="I1681" s="10">
        <v>45651</v>
      </c>
    </row>
    <row r="1682" spans="1:9" x14ac:dyDescent="0.15">
      <c r="A1682" s="9">
        <v>1681</v>
      </c>
      <c r="B1682" s="9" t="s">
        <v>9</v>
      </c>
      <c r="C1682" s="9">
        <v>1928</v>
      </c>
      <c r="D1682" s="10">
        <v>45736</v>
      </c>
      <c r="E1682" s="11" t="str">
        <f>+HYPERLINK("http://trademark.i-assist.jp/data/china/image_1928th/82758260.pdf","82758260")</f>
        <v>82758260</v>
      </c>
      <c r="F1682" s="9" t="s">
        <v>4679</v>
      </c>
      <c r="G1682" s="9" t="s">
        <v>4680</v>
      </c>
      <c r="H1682" s="9" t="s">
        <v>4681</v>
      </c>
      <c r="I1682" s="10">
        <v>45651</v>
      </c>
    </row>
    <row r="1683" spans="1:9" x14ac:dyDescent="0.15">
      <c r="A1683" s="9">
        <v>1682</v>
      </c>
      <c r="B1683" s="9" t="s">
        <v>9</v>
      </c>
      <c r="C1683" s="9">
        <v>1928</v>
      </c>
      <c r="D1683" s="10">
        <v>45736</v>
      </c>
      <c r="E1683" s="11" t="str">
        <f>+HYPERLINK("http://trademark.i-assist.jp/data/china/image_1928th/82758349.pdf","82758349")</f>
        <v>82758349</v>
      </c>
      <c r="F1683" s="9" t="s">
        <v>4682</v>
      </c>
      <c r="G1683" s="9" t="s">
        <v>4543</v>
      </c>
      <c r="H1683" s="9" t="s">
        <v>4683</v>
      </c>
      <c r="I1683" s="10">
        <v>45651</v>
      </c>
    </row>
    <row r="1684" spans="1:9" x14ac:dyDescent="0.15">
      <c r="A1684" s="9">
        <v>1683</v>
      </c>
      <c r="B1684" s="9" t="s">
        <v>9</v>
      </c>
      <c r="C1684" s="9">
        <v>1928</v>
      </c>
      <c r="D1684" s="10">
        <v>45736</v>
      </c>
      <c r="E1684" s="11" t="str">
        <f>+HYPERLINK("http://trademark.i-assist.jp/data/china/image_1928th/82758369.pdf","82758369")</f>
        <v>82758369</v>
      </c>
      <c r="F1684" s="9" t="s">
        <v>4684</v>
      </c>
      <c r="G1684" s="9" t="s">
        <v>4543</v>
      </c>
      <c r="H1684" s="12" t="s">
        <v>4685</v>
      </c>
      <c r="I1684" s="10">
        <v>45651</v>
      </c>
    </row>
    <row r="1685" spans="1:9" x14ac:dyDescent="0.15">
      <c r="A1685" s="9">
        <v>1684</v>
      </c>
      <c r="B1685" s="9" t="s">
        <v>9</v>
      </c>
      <c r="C1685" s="9">
        <v>1928</v>
      </c>
      <c r="D1685" s="10">
        <v>45736</v>
      </c>
      <c r="E1685" s="11" t="str">
        <f>+HYPERLINK("http://trademark.i-assist.jp/data/china/image_1928th/82758409.pdf","82758409")</f>
        <v>82758409</v>
      </c>
      <c r="F1685" s="9" t="s">
        <v>4686</v>
      </c>
      <c r="G1685" s="9" t="s">
        <v>4687</v>
      </c>
      <c r="H1685" s="9" t="s">
        <v>4688</v>
      </c>
      <c r="I1685" s="10">
        <v>45651</v>
      </c>
    </row>
    <row r="1686" spans="1:9" x14ac:dyDescent="0.15">
      <c r="A1686" s="9">
        <v>1685</v>
      </c>
      <c r="B1686" s="9" t="s">
        <v>9</v>
      </c>
      <c r="C1686" s="9">
        <v>1928</v>
      </c>
      <c r="D1686" s="10">
        <v>45736</v>
      </c>
      <c r="E1686" s="11" t="str">
        <f>+HYPERLINK("http://trademark.i-assist.jp/data/china/image_1928th/82758686.pdf","82758686")</f>
        <v>82758686</v>
      </c>
      <c r="F1686" s="9" t="s">
        <v>4689</v>
      </c>
      <c r="G1686" s="12" t="s">
        <v>4690</v>
      </c>
      <c r="H1686" s="9" t="s">
        <v>4691</v>
      </c>
      <c r="I1686" s="10">
        <v>45651</v>
      </c>
    </row>
    <row r="1687" spans="1:9" x14ac:dyDescent="0.15">
      <c r="A1687" s="9">
        <v>1686</v>
      </c>
      <c r="B1687" s="9" t="s">
        <v>9</v>
      </c>
      <c r="C1687" s="9">
        <v>1928</v>
      </c>
      <c r="D1687" s="10">
        <v>45736</v>
      </c>
      <c r="E1687" s="11" t="str">
        <f>+HYPERLINK("http://trademark.i-assist.jp/data/china/image_1928th/82758907.pdf","82758907")</f>
        <v>82758907</v>
      </c>
      <c r="F1687" s="9" t="s">
        <v>4692</v>
      </c>
      <c r="G1687" s="12" t="s">
        <v>4690</v>
      </c>
      <c r="H1687" s="9" t="s">
        <v>4693</v>
      </c>
      <c r="I1687" s="10">
        <v>45651</v>
      </c>
    </row>
    <row r="1688" spans="1:9" x14ac:dyDescent="0.15">
      <c r="A1688" s="9">
        <v>1687</v>
      </c>
      <c r="B1688" s="9" t="s">
        <v>9</v>
      </c>
      <c r="C1688" s="9">
        <v>1928</v>
      </c>
      <c r="D1688" s="10">
        <v>45736</v>
      </c>
      <c r="E1688" s="11" t="str">
        <f>+HYPERLINK("http://trademark.i-assist.jp/data/china/image_1928th/82759054.pdf","82759054")</f>
        <v>82759054</v>
      </c>
      <c r="F1688" s="9" t="s">
        <v>4694</v>
      </c>
      <c r="G1688" s="9" t="s">
        <v>4695</v>
      </c>
      <c r="H1688" s="9" t="s">
        <v>4696</v>
      </c>
      <c r="I1688" s="10">
        <v>45651</v>
      </c>
    </row>
    <row r="1689" spans="1:9" x14ac:dyDescent="0.15">
      <c r="A1689" s="9">
        <v>1688</v>
      </c>
      <c r="B1689" s="9" t="s">
        <v>9</v>
      </c>
      <c r="C1689" s="9">
        <v>1928</v>
      </c>
      <c r="D1689" s="10">
        <v>45736</v>
      </c>
      <c r="E1689" s="11" t="str">
        <f>+HYPERLINK("http://trademark.i-assist.jp/data/china/image_1928th/82759342.pdf","82759342")</f>
        <v>82759342</v>
      </c>
      <c r="F1689" s="9" t="s">
        <v>4697</v>
      </c>
      <c r="G1689" s="9" t="s">
        <v>4698</v>
      </c>
      <c r="H1689" s="9" t="s">
        <v>4699</v>
      </c>
      <c r="I1689" s="10">
        <v>45651</v>
      </c>
    </row>
    <row r="1690" spans="1:9" x14ac:dyDescent="0.15">
      <c r="A1690" s="9">
        <v>1689</v>
      </c>
      <c r="B1690" s="9" t="s">
        <v>9</v>
      </c>
      <c r="C1690" s="9">
        <v>1928</v>
      </c>
      <c r="D1690" s="10">
        <v>45736</v>
      </c>
      <c r="E1690" s="11" t="str">
        <f>+HYPERLINK("http://trademark.i-assist.jp/data/china/image_1928th/82759530.pdf","82759530")</f>
        <v>82759530</v>
      </c>
      <c r="F1690" s="12" t="s">
        <v>4700</v>
      </c>
      <c r="G1690" s="12" t="s">
        <v>4701</v>
      </c>
      <c r="H1690" s="9" t="s">
        <v>4702</v>
      </c>
      <c r="I1690" s="10">
        <v>45651</v>
      </c>
    </row>
    <row r="1691" spans="1:9" x14ac:dyDescent="0.15">
      <c r="A1691" s="9">
        <v>1690</v>
      </c>
      <c r="B1691" s="9" t="s">
        <v>9</v>
      </c>
      <c r="C1691" s="9">
        <v>1928</v>
      </c>
      <c r="D1691" s="10">
        <v>45736</v>
      </c>
      <c r="E1691" s="11" t="str">
        <f>+HYPERLINK("http://trademark.i-assist.jp/data/china/image_1928th/82759649.pdf","82759649")</f>
        <v>82759649</v>
      </c>
      <c r="F1691" s="9" t="s">
        <v>4703</v>
      </c>
      <c r="G1691" s="9" t="s">
        <v>4543</v>
      </c>
      <c r="H1691" s="9" t="s">
        <v>4704</v>
      </c>
      <c r="I1691" s="10">
        <v>45651</v>
      </c>
    </row>
    <row r="1692" spans="1:9" x14ac:dyDescent="0.15">
      <c r="A1692" s="9">
        <v>1691</v>
      </c>
      <c r="B1692" s="9" t="s">
        <v>9</v>
      </c>
      <c r="C1692" s="9">
        <v>1928</v>
      </c>
      <c r="D1692" s="10">
        <v>45736</v>
      </c>
      <c r="E1692" s="11" t="str">
        <f>+HYPERLINK("http://trademark.i-assist.jp/data/china/image_1928th/82759666.pdf","82759666")</f>
        <v>82759666</v>
      </c>
      <c r="F1692" s="12" t="s">
        <v>4705</v>
      </c>
      <c r="G1692" s="9" t="s">
        <v>4543</v>
      </c>
      <c r="H1692" s="9" t="s">
        <v>4706</v>
      </c>
      <c r="I1692" s="10">
        <v>45651</v>
      </c>
    </row>
    <row r="1693" spans="1:9" x14ac:dyDescent="0.15">
      <c r="A1693" s="9">
        <v>1692</v>
      </c>
      <c r="B1693" s="9" t="s">
        <v>9</v>
      </c>
      <c r="C1693" s="9">
        <v>1928</v>
      </c>
      <c r="D1693" s="10">
        <v>45736</v>
      </c>
      <c r="E1693" s="11" t="str">
        <f>+HYPERLINK("http://trademark.i-assist.jp/data/china/image_1928th/82759702.pdf","82759702")</f>
        <v>82759702</v>
      </c>
      <c r="F1693" s="9" t="s">
        <v>4707</v>
      </c>
      <c r="G1693" s="9" t="s">
        <v>4708</v>
      </c>
      <c r="H1693" s="9" t="s">
        <v>4709</v>
      </c>
      <c r="I1693" s="10">
        <v>45651</v>
      </c>
    </row>
    <row r="1694" spans="1:9" x14ac:dyDescent="0.15">
      <c r="A1694" s="9">
        <v>1693</v>
      </c>
      <c r="B1694" s="9" t="s">
        <v>9</v>
      </c>
      <c r="C1694" s="9">
        <v>1928</v>
      </c>
      <c r="D1694" s="10">
        <v>45736</v>
      </c>
      <c r="E1694" s="11" t="str">
        <f>+HYPERLINK("http://trademark.i-assist.jp/data/china/image_1928th/82759738.pdf","82759738")</f>
        <v>82759738</v>
      </c>
      <c r="F1694" s="9" t="s">
        <v>4710</v>
      </c>
      <c r="G1694" s="12" t="s">
        <v>4666</v>
      </c>
      <c r="H1694" s="9" t="s">
        <v>4711</v>
      </c>
      <c r="I1694" s="10">
        <v>45651</v>
      </c>
    </row>
    <row r="1695" spans="1:9" x14ac:dyDescent="0.15">
      <c r="A1695" s="9">
        <v>1694</v>
      </c>
      <c r="B1695" s="9" t="s">
        <v>9</v>
      </c>
      <c r="C1695" s="9">
        <v>1928</v>
      </c>
      <c r="D1695" s="10">
        <v>45736</v>
      </c>
      <c r="E1695" s="11" t="str">
        <f>+HYPERLINK("http://trademark.i-assist.jp/data/china/image_1928th/82759865.pdf","82759865")</f>
        <v>82759865</v>
      </c>
      <c r="F1695" s="9" t="s">
        <v>4712</v>
      </c>
      <c r="G1695" s="9" t="s">
        <v>4713</v>
      </c>
      <c r="H1695" s="9" t="s">
        <v>4714</v>
      </c>
      <c r="I1695" s="10">
        <v>45651</v>
      </c>
    </row>
    <row r="1696" spans="1:9" x14ac:dyDescent="0.15">
      <c r="A1696" s="9">
        <v>1695</v>
      </c>
      <c r="B1696" s="9" t="s">
        <v>9</v>
      </c>
      <c r="C1696" s="9">
        <v>1928</v>
      </c>
      <c r="D1696" s="10">
        <v>45736</v>
      </c>
      <c r="E1696" s="11" t="str">
        <f>+HYPERLINK("http://trademark.i-assist.jp/data/china/image_1928th/82759901.pdf","82759901")</f>
        <v>82759901</v>
      </c>
      <c r="F1696" s="9" t="s">
        <v>4715</v>
      </c>
      <c r="G1696" s="9" t="s">
        <v>4611</v>
      </c>
      <c r="H1696" s="9" t="s">
        <v>4716</v>
      </c>
      <c r="I1696" s="10">
        <v>45651</v>
      </c>
    </row>
    <row r="1697" spans="1:9" x14ac:dyDescent="0.15">
      <c r="A1697" s="9">
        <v>1696</v>
      </c>
      <c r="B1697" s="9" t="s">
        <v>9</v>
      </c>
      <c r="C1697" s="9">
        <v>1928</v>
      </c>
      <c r="D1697" s="10">
        <v>45736</v>
      </c>
      <c r="E1697" s="11" t="str">
        <f>+HYPERLINK("http://trademark.i-assist.jp/data/china/image_1928th/82759955.pdf","82759955")</f>
        <v>82759955</v>
      </c>
      <c r="F1697" s="9" t="s">
        <v>4717</v>
      </c>
      <c r="G1697" s="9" t="s">
        <v>4718</v>
      </c>
      <c r="H1697" s="9" t="s">
        <v>4719</v>
      </c>
      <c r="I1697" s="10">
        <v>45651</v>
      </c>
    </row>
    <row r="1698" spans="1:9" x14ac:dyDescent="0.15">
      <c r="A1698" s="9">
        <v>1697</v>
      </c>
      <c r="B1698" s="9" t="s">
        <v>9</v>
      </c>
      <c r="C1698" s="9">
        <v>1928</v>
      </c>
      <c r="D1698" s="10">
        <v>45736</v>
      </c>
      <c r="E1698" s="11" t="str">
        <f>+HYPERLINK("http://trademark.i-assist.jp/data/china/image_1928th/82760073.pdf","82760073")</f>
        <v>82760073</v>
      </c>
      <c r="F1698" s="9" t="s">
        <v>4720</v>
      </c>
      <c r="G1698" s="12" t="s">
        <v>4721</v>
      </c>
      <c r="H1698" s="9" t="s">
        <v>4722</v>
      </c>
      <c r="I1698" s="10">
        <v>45651</v>
      </c>
    </row>
    <row r="1699" spans="1:9" x14ac:dyDescent="0.15">
      <c r="A1699" s="9">
        <v>1698</v>
      </c>
      <c r="B1699" s="9" t="s">
        <v>9</v>
      </c>
      <c r="C1699" s="9">
        <v>1928</v>
      </c>
      <c r="D1699" s="10">
        <v>45736</v>
      </c>
      <c r="E1699" s="11" t="str">
        <f>+HYPERLINK("http://trademark.i-assist.jp/data/china/image_1928th/82760079.pdf","82760079")</f>
        <v>82760079</v>
      </c>
      <c r="F1699" s="12" t="s">
        <v>4723</v>
      </c>
      <c r="G1699" s="12" t="s">
        <v>4724</v>
      </c>
      <c r="H1699" s="9" t="s">
        <v>4725</v>
      </c>
      <c r="I1699" s="10">
        <v>45651</v>
      </c>
    </row>
    <row r="1700" spans="1:9" x14ac:dyDescent="0.15">
      <c r="A1700" s="9">
        <v>1699</v>
      </c>
      <c r="B1700" s="9" t="s">
        <v>9</v>
      </c>
      <c r="C1700" s="9">
        <v>1928</v>
      </c>
      <c r="D1700" s="10">
        <v>45736</v>
      </c>
      <c r="E1700" s="11" t="str">
        <f>+HYPERLINK("http://trademark.i-assist.jp/data/china/image_1928th/82760283.pdf","82760283")</f>
        <v>82760283</v>
      </c>
      <c r="F1700" s="12" t="s">
        <v>18</v>
      </c>
      <c r="G1700" s="9" t="s">
        <v>4726</v>
      </c>
      <c r="H1700" s="9" t="s">
        <v>4727</v>
      </c>
      <c r="I1700" s="10">
        <v>45651</v>
      </c>
    </row>
    <row r="1701" spans="1:9" x14ac:dyDescent="0.15">
      <c r="A1701" s="9">
        <v>1700</v>
      </c>
      <c r="B1701" s="9" t="s">
        <v>9</v>
      </c>
      <c r="C1701" s="9">
        <v>1928</v>
      </c>
      <c r="D1701" s="10">
        <v>45736</v>
      </c>
      <c r="E1701" s="11" t="str">
        <f>+HYPERLINK("http://trademark.i-assist.jp/data/china/image_1928th/82760343.pdf","82760343")</f>
        <v>82760343</v>
      </c>
      <c r="F1701" s="9" t="s">
        <v>4728</v>
      </c>
      <c r="G1701" s="12" t="s">
        <v>4729</v>
      </c>
      <c r="H1701" s="12" t="s">
        <v>4730</v>
      </c>
      <c r="I1701" s="10">
        <v>45651</v>
      </c>
    </row>
    <row r="1702" spans="1:9" x14ac:dyDescent="0.15">
      <c r="A1702" s="9">
        <v>1701</v>
      </c>
      <c r="B1702" s="9" t="s">
        <v>9</v>
      </c>
      <c r="C1702" s="9">
        <v>1928</v>
      </c>
      <c r="D1702" s="10">
        <v>45736</v>
      </c>
      <c r="E1702" s="11" t="str">
        <f>+HYPERLINK("http://trademark.i-assist.jp/data/china/image_1928th/82760360.pdf","82760360")</f>
        <v>82760360</v>
      </c>
      <c r="F1702" s="12" t="s">
        <v>4731</v>
      </c>
      <c r="G1702" s="9" t="s">
        <v>4732</v>
      </c>
      <c r="H1702" s="9" t="s">
        <v>4733</v>
      </c>
      <c r="I1702" s="10">
        <v>45651</v>
      </c>
    </row>
    <row r="1703" spans="1:9" x14ac:dyDescent="0.15">
      <c r="A1703" s="9">
        <v>1702</v>
      </c>
      <c r="B1703" s="9" t="s">
        <v>9</v>
      </c>
      <c r="C1703" s="9">
        <v>1928</v>
      </c>
      <c r="D1703" s="10">
        <v>45736</v>
      </c>
      <c r="E1703" s="11" t="str">
        <f>+HYPERLINK("http://trademark.i-assist.jp/data/china/image_1928th/82760478.pdf","82760478")</f>
        <v>82760478</v>
      </c>
      <c r="F1703" s="9" t="s">
        <v>4734</v>
      </c>
      <c r="G1703" s="9" t="s">
        <v>4735</v>
      </c>
      <c r="H1703" s="9" t="s">
        <v>4736</v>
      </c>
      <c r="I1703" s="10">
        <v>45651</v>
      </c>
    </row>
    <row r="1704" spans="1:9" x14ac:dyDescent="0.15">
      <c r="A1704" s="9">
        <v>1703</v>
      </c>
      <c r="B1704" s="9" t="s">
        <v>9</v>
      </c>
      <c r="C1704" s="9">
        <v>1928</v>
      </c>
      <c r="D1704" s="10">
        <v>45736</v>
      </c>
      <c r="E1704" s="11" t="str">
        <f>+HYPERLINK("http://trademark.i-assist.jp/data/china/image_1928th/82760576.pdf","82760576")</f>
        <v>82760576</v>
      </c>
      <c r="F1704" s="9" t="s">
        <v>4737</v>
      </c>
      <c r="G1704" s="12" t="s">
        <v>4738</v>
      </c>
      <c r="H1704" s="9" t="s">
        <v>4739</v>
      </c>
      <c r="I1704" s="10">
        <v>45651</v>
      </c>
    </row>
    <row r="1705" spans="1:9" x14ac:dyDescent="0.15">
      <c r="A1705" s="9">
        <v>1704</v>
      </c>
      <c r="B1705" s="9" t="s">
        <v>9</v>
      </c>
      <c r="C1705" s="9">
        <v>1928</v>
      </c>
      <c r="D1705" s="10">
        <v>45736</v>
      </c>
      <c r="E1705" s="11" t="str">
        <f>+HYPERLINK("http://trademark.i-assist.jp/data/china/image_1928th/82760607.pdf","82760607")</f>
        <v>82760607</v>
      </c>
      <c r="F1705" s="9" t="s">
        <v>4740</v>
      </c>
      <c r="G1705" s="12" t="s">
        <v>4738</v>
      </c>
      <c r="H1705" s="9" t="s">
        <v>4741</v>
      </c>
      <c r="I1705" s="10">
        <v>45651</v>
      </c>
    </row>
    <row r="1706" spans="1:9" x14ac:dyDescent="0.15">
      <c r="A1706" s="9">
        <v>1705</v>
      </c>
      <c r="B1706" s="9" t="s">
        <v>9</v>
      </c>
      <c r="C1706" s="9">
        <v>1928</v>
      </c>
      <c r="D1706" s="10">
        <v>45736</v>
      </c>
      <c r="E1706" s="11" t="str">
        <f>+HYPERLINK("http://trademark.i-assist.jp/data/china/image_1928th/82760886.pdf","82760886")</f>
        <v>82760886</v>
      </c>
      <c r="F1706" s="9" t="s">
        <v>4742</v>
      </c>
      <c r="G1706" s="9" t="s">
        <v>4602</v>
      </c>
      <c r="H1706" s="9" t="s">
        <v>4743</v>
      </c>
      <c r="I1706" s="10">
        <v>45651</v>
      </c>
    </row>
    <row r="1707" spans="1:9" x14ac:dyDescent="0.15">
      <c r="A1707" s="9">
        <v>1706</v>
      </c>
      <c r="B1707" s="9" t="s">
        <v>9</v>
      </c>
      <c r="C1707" s="9">
        <v>1928</v>
      </c>
      <c r="D1707" s="10">
        <v>45736</v>
      </c>
      <c r="E1707" s="11" t="str">
        <f>+HYPERLINK("http://trademark.i-assist.jp/data/china/image_1928th/82761054.pdf","82761054")</f>
        <v>82761054</v>
      </c>
      <c r="F1707" s="9" t="s">
        <v>4744</v>
      </c>
      <c r="G1707" s="9" t="s">
        <v>4677</v>
      </c>
      <c r="H1707" s="9" t="s">
        <v>4745</v>
      </c>
      <c r="I1707" s="10">
        <v>45651</v>
      </c>
    </row>
    <row r="1708" spans="1:9" x14ac:dyDescent="0.15">
      <c r="A1708" s="9">
        <v>1707</v>
      </c>
      <c r="B1708" s="9" t="s">
        <v>9</v>
      </c>
      <c r="C1708" s="9">
        <v>1928</v>
      </c>
      <c r="D1708" s="10">
        <v>45736</v>
      </c>
      <c r="E1708" s="11" t="str">
        <f>+HYPERLINK("http://trademark.i-assist.jp/data/china/image_1928th/82761129.pdf","82761129")</f>
        <v>82761129</v>
      </c>
      <c r="F1708" s="9" t="s">
        <v>4746</v>
      </c>
      <c r="G1708" s="9" t="s">
        <v>4596</v>
      </c>
      <c r="H1708" s="9" t="s">
        <v>4747</v>
      </c>
      <c r="I1708" s="10">
        <v>45651</v>
      </c>
    </row>
    <row r="1709" spans="1:9" x14ac:dyDescent="0.15">
      <c r="A1709" s="9">
        <v>1708</v>
      </c>
      <c r="B1709" s="9" t="s">
        <v>9</v>
      </c>
      <c r="C1709" s="9">
        <v>1928</v>
      </c>
      <c r="D1709" s="10">
        <v>45736</v>
      </c>
      <c r="E1709" s="11" t="str">
        <f>+HYPERLINK("http://trademark.i-assist.jp/data/china/image_1928th/82761618.pdf","82761618")</f>
        <v>82761618</v>
      </c>
      <c r="F1709" s="9" t="s">
        <v>4748</v>
      </c>
      <c r="G1709" s="12" t="s">
        <v>4749</v>
      </c>
      <c r="H1709" s="9" t="s">
        <v>4750</v>
      </c>
      <c r="I1709" s="10">
        <v>45651</v>
      </c>
    </row>
    <row r="1710" spans="1:9" x14ac:dyDescent="0.15">
      <c r="A1710" s="9">
        <v>1709</v>
      </c>
      <c r="B1710" s="9" t="s">
        <v>9</v>
      </c>
      <c r="C1710" s="9">
        <v>1928</v>
      </c>
      <c r="D1710" s="10">
        <v>45736</v>
      </c>
      <c r="E1710" s="11" t="str">
        <f>+HYPERLINK("http://trademark.i-assist.jp/data/china/image_1928th/82762164.pdf","82762164")</f>
        <v>82762164</v>
      </c>
      <c r="F1710" s="13" t="s">
        <v>4751</v>
      </c>
      <c r="G1710" s="9" t="s">
        <v>4652</v>
      </c>
      <c r="H1710" s="9" t="s">
        <v>4752</v>
      </c>
      <c r="I1710" s="10">
        <v>45651</v>
      </c>
    </row>
    <row r="1711" spans="1:9" x14ac:dyDescent="0.15">
      <c r="A1711" s="9">
        <v>1710</v>
      </c>
      <c r="B1711" s="9" t="s">
        <v>9</v>
      </c>
      <c r="C1711" s="9">
        <v>1928</v>
      </c>
      <c r="D1711" s="10">
        <v>45736</v>
      </c>
      <c r="E1711" s="11" t="str">
        <f>+HYPERLINK("http://trademark.i-assist.jp/data/china/image_1928th/82762165.pdf","82762165")</f>
        <v>82762165</v>
      </c>
      <c r="F1711" s="9" t="s">
        <v>4753</v>
      </c>
      <c r="G1711" s="12" t="s">
        <v>4754</v>
      </c>
      <c r="H1711" s="9" t="s">
        <v>4755</v>
      </c>
      <c r="I1711" s="10">
        <v>45651</v>
      </c>
    </row>
    <row r="1712" spans="1:9" x14ac:dyDescent="0.15">
      <c r="A1712" s="9">
        <v>1711</v>
      </c>
      <c r="B1712" s="9" t="s">
        <v>9</v>
      </c>
      <c r="C1712" s="9">
        <v>1928</v>
      </c>
      <c r="D1712" s="10">
        <v>45736</v>
      </c>
      <c r="E1712" s="11" t="str">
        <f>+HYPERLINK("http://trademark.i-assist.jp/data/china/image_1928th/82762193.pdf","82762193")</f>
        <v>82762193</v>
      </c>
      <c r="F1712" s="12" t="s">
        <v>18</v>
      </c>
      <c r="G1712" s="9" t="s">
        <v>1180</v>
      </c>
      <c r="H1712" s="9" t="s">
        <v>4756</v>
      </c>
      <c r="I1712" s="10">
        <v>45651</v>
      </c>
    </row>
    <row r="1713" spans="1:9" x14ac:dyDescent="0.15">
      <c r="A1713" s="9">
        <v>1712</v>
      </c>
      <c r="B1713" s="9" t="s">
        <v>9</v>
      </c>
      <c r="C1713" s="9">
        <v>1928</v>
      </c>
      <c r="D1713" s="10">
        <v>45736</v>
      </c>
      <c r="E1713" s="11" t="str">
        <f>+HYPERLINK("http://trademark.i-assist.jp/data/china/image_1928th/82762338.pdf","82762338")</f>
        <v>82762338</v>
      </c>
      <c r="F1713" s="9" t="s">
        <v>4757</v>
      </c>
      <c r="G1713" s="9" t="s">
        <v>4758</v>
      </c>
      <c r="H1713" s="9" t="s">
        <v>4759</v>
      </c>
      <c r="I1713" s="10">
        <v>45651</v>
      </c>
    </row>
    <row r="1714" spans="1:9" x14ac:dyDescent="0.15">
      <c r="A1714" s="9">
        <v>1713</v>
      </c>
      <c r="B1714" s="9" t="s">
        <v>9</v>
      </c>
      <c r="C1714" s="9">
        <v>1928</v>
      </c>
      <c r="D1714" s="10">
        <v>45736</v>
      </c>
      <c r="E1714" s="11" t="str">
        <f>+HYPERLINK("http://trademark.i-assist.jp/data/china/image_1928th/82762407.pdf","82762407")</f>
        <v>82762407</v>
      </c>
      <c r="F1714" s="9" t="s">
        <v>4760</v>
      </c>
      <c r="G1714" s="9" t="s">
        <v>4761</v>
      </c>
      <c r="H1714" s="9" t="s">
        <v>4762</v>
      </c>
      <c r="I1714" s="10">
        <v>45651</v>
      </c>
    </row>
    <row r="1715" spans="1:9" x14ac:dyDescent="0.15">
      <c r="A1715" s="9">
        <v>1714</v>
      </c>
      <c r="B1715" s="9" t="s">
        <v>9</v>
      </c>
      <c r="C1715" s="9">
        <v>1928</v>
      </c>
      <c r="D1715" s="10">
        <v>45736</v>
      </c>
      <c r="E1715" s="11" t="str">
        <f>+HYPERLINK("http://trademark.i-assist.jp/data/china/image_1928th/82762454.pdf","82762454")</f>
        <v>82762454</v>
      </c>
      <c r="F1715" s="9" t="s">
        <v>4763</v>
      </c>
      <c r="G1715" s="9" t="s">
        <v>4764</v>
      </c>
      <c r="H1715" s="9" t="s">
        <v>4765</v>
      </c>
      <c r="I1715" s="10">
        <v>45651</v>
      </c>
    </row>
    <row r="1716" spans="1:9" x14ac:dyDescent="0.15">
      <c r="A1716" s="9">
        <v>1715</v>
      </c>
      <c r="B1716" s="9" t="s">
        <v>9</v>
      </c>
      <c r="C1716" s="9">
        <v>1928</v>
      </c>
      <c r="D1716" s="10">
        <v>45736</v>
      </c>
      <c r="E1716" s="11" t="str">
        <f>+HYPERLINK("http://trademark.i-assist.jp/data/china/image_1928th/82763063.pdf","82763063")</f>
        <v>82763063</v>
      </c>
      <c r="F1716" s="9" t="s">
        <v>4766</v>
      </c>
      <c r="G1716" s="9" t="s">
        <v>4587</v>
      </c>
      <c r="H1716" s="9" t="s">
        <v>4767</v>
      </c>
      <c r="I1716" s="10">
        <v>45651</v>
      </c>
    </row>
    <row r="1717" spans="1:9" x14ac:dyDescent="0.15">
      <c r="A1717" s="9">
        <v>1716</v>
      </c>
      <c r="B1717" s="9" t="s">
        <v>9</v>
      </c>
      <c r="C1717" s="9">
        <v>1928</v>
      </c>
      <c r="D1717" s="10">
        <v>45736</v>
      </c>
      <c r="E1717" s="11" t="str">
        <f>+HYPERLINK("http://trademark.i-assist.jp/data/china/image_1928th/82763237.pdf","82763237")</f>
        <v>82763237</v>
      </c>
      <c r="F1717" s="9" t="s">
        <v>4768</v>
      </c>
      <c r="G1717" s="9" t="s">
        <v>4543</v>
      </c>
      <c r="H1717" s="9" t="s">
        <v>4769</v>
      </c>
      <c r="I1717" s="10">
        <v>45651</v>
      </c>
    </row>
    <row r="1718" spans="1:9" x14ac:dyDescent="0.15">
      <c r="A1718" s="9">
        <v>1717</v>
      </c>
      <c r="B1718" s="9" t="s">
        <v>9</v>
      </c>
      <c r="C1718" s="9">
        <v>1928</v>
      </c>
      <c r="D1718" s="10">
        <v>45736</v>
      </c>
      <c r="E1718" s="11" t="str">
        <f>+HYPERLINK("http://trademark.i-assist.jp/data/china/image_1928th/82763685.pdf","82763685")</f>
        <v>82763685</v>
      </c>
      <c r="F1718" s="12" t="s">
        <v>4770</v>
      </c>
      <c r="G1718" s="9" t="s">
        <v>1180</v>
      </c>
      <c r="H1718" s="9" t="s">
        <v>4771</v>
      </c>
      <c r="I1718" s="10">
        <v>45651</v>
      </c>
    </row>
    <row r="1719" spans="1:9" x14ac:dyDescent="0.15">
      <c r="A1719" s="9">
        <v>1718</v>
      </c>
      <c r="B1719" s="9" t="s">
        <v>9</v>
      </c>
      <c r="C1719" s="9">
        <v>1928</v>
      </c>
      <c r="D1719" s="10">
        <v>45736</v>
      </c>
      <c r="E1719" s="11" t="str">
        <f>+HYPERLINK("http://trademark.i-assist.jp/data/china/image_1928th/82763714.pdf","82763714")</f>
        <v>82763714</v>
      </c>
      <c r="F1719" s="9" t="s">
        <v>4772</v>
      </c>
      <c r="G1719" s="9" t="s">
        <v>4773</v>
      </c>
      <c r="H1719" s="9" t="s">
        <v>4774</v>
      </c>
      <c r="I1719" s="10">
        <v>45651</v>
      </c>
    </row>
    <row r="1720" spans="1:9" x14ac:dyDescent="0.15">
      <c r="A1720" s="9">
        <v>1719</v>
      </c>
      <c r="B1720" s="9" t="s">
        <v>9</v>
      </c>
      <c r="C1720" s="9">
        <v>1928</v>
      </c>
      <c r="D1720" s="10">
        <v>45736</v>
      </c>
      <c r="E1720" s="11" t="str">
        <f>+HYPERLINK("http://trademark.i-assist.jp/data/china/image_1928th/82763790.pdf","82763790")</f>
        <v>82763790</v>
      </c>
      <c r="F1720" s="9" t="s">
        <v>4775</v>
      </c>
      <c r="G1720" s="9" t="s">
        <v>4546</v>
      </c>
      <c r="H1720" s="9" t="s">
        <v>4776</v>
      </c>
      <c r="I1720" s="10">
        <v>45651</v>
      </c>
    </row>
    <row r="1721" spans="1:9" x14ac:dyDescent="0.15">
      <c r="A1721" s="9">
        <v>1720</v>
      </c>
      <c r="B1721" s="9" t="s">
        <v>9</v>
      </c>
      <c r="C1721" s="9">
        <v>1928</v>
      </c>
      <c r="D1721" s="10">
        <v>45736</v>
      </c>
      <c r="E1721" s="11" t="str">
        <f>+HYPERLINK("http://trademark.i-assist.jp/data/china/image_1928th/82763795.pdf","82763795")</f>
        <v>82763795</v>
      </c>
      <c r="F1721" s="9" t="s">
        <v>4777</v>
      </c>
      <c r="G1721" s="9" t="s">
        <v>4543</v>
      </c>
      <c r="H1721" s="12" t="s">
        <v>4778</v>
      </c>
      <c r="I1721" s="10">
        <v>45651</v>
      </c>
    </row>
    <row r="1722" spans="1:9" x14ac:dyDescent="0.15">
      <c r="A1722" s="9">
        <v>1721</v>
      </c>
      <c r="B1722" s="9" t="s">
        <v>9</v>
      </c>
      <c r="C1722" s="9">
        <v>1928</v>
      </c>
      <c r="D1722" s="10">
        <v>45736</v>
      </c>
      <c r="E1722" s="11" t="str">
        <f>+HYPERLINK("http://trademark.i-assist.jp/data/china/image_1928th/82764116.pdf","82764116")</f>
        <v>82764116</v>
      </c>
      <c r="F1722" s="9" t="s">
        <v>4779</v>
      </c>
      <c r="G1722" s="12" t="s">
        <v>4780</v>
      </c>
      <c r="H1722" s="9" t="s">
        <v>4781</v>
      </c>
      <c r="I1722" s="10">
        <v>45651</v>
      </c>
    </row>
    <row r="1723" spans="1:9" x14ac:dyDescent="0.15">
      <c r="A1723" s="9">
        <v>1722</v>
      </c>
      <c r="B1723" s="9" t="s">
        <v>9</v>
      </c>
      <c r="C1723" s="9">
        <v>1928</v>
      </c>
      <c r="D1723" s="10">
        <v>45736</v>
      </c>
      <c r="E1723" s="11" t="str">
        <f>+HYPERLINK("http://trademark.i-assist.jp/data/china/image_1928th/82764753.pdf","82764753")</f>
        <v>82764753</v>
      </c>
      <c r="F1723" s="9" t="s">
        <v>4782</v>
      </c>
      <c r="G1723" s="9" t="s">
        <v>2341</v>
      </c>
      <c r="H1723" s="12" t="s">
        <v>4783</v>
      </c>
      <c r="I1723" s="10">
        <v>45651</v>
      </c>
    </row>
    <row r="1724" spans="1:9" x14ac:dyDescent="0.15">
      <c r="A1724" s="9">
        <v>1723</v>
      </c>
      <c r="B1724" s="9" t="s">
        <v>9</v>
      </c>
      <c r="C1724" s="9">
        <v>1928</v>
      </c>
      <c r="D1724" s="10">
        <v>45736</v>
      </c>
      <c r="E1724" s="11" t="str">
        <f>+HYPERLINK("http://trademark.i-assist.jp/data/china/image_1928th/82764990.pdf","82764990")</f>
        <v>82764990</v>
      </c>
      <c r="F1724" s="9" t="s">
        <v>4784</v>
      </c>
      <c r="G1724" s="9" t="s">
        <v>2531</v>
      </c>
      <c r="H1724" s="12" t="s">
        <v>4785</v>
      </c>
      <c r="I1724" s="10">
        <v>45651</v>
      </c>
    </row>
    <row r="1725" spans="1:9" x14ac:dyDescent="0.15">
      <c r="A1725" s="9">
        <v>1724</v>
      </c>
      <c r="B1725" s="9" t="s">
        <v>9</v>
      </c>
      <c r="C1725" s="9">
        <v>1928</v>
      </c>
      <c r="D1725" s="10">
        <v>45736</v>
      </c>
      <c r="E1725" s="11" t="str">
        <f>+HYPERLINK("http://trademark.i-assist.jp/data/china/image_1928th/82765018.pdf","82765018")</f>
        <v>82765018</v>
      </c>
      <c r="F1725" s="9" t="s">
        <v>4786</v>
      </c>
      <c r="G1725" s="9" t="s">
        <v>4540</v>
      </c>
      <c r="H1725" s="9" t="s">
        <v>4787</v>
      </c>
      <c r="I1725" s="10">
        <v>45651</v>
      </c>
    </row>
    <row r="1726" spans="1:9" x14ac:dyDescent="0.15">
      <c r="A1726" s="9">
        <v>1725</v>
      </c>
      <c r="B1726" s="9" t="s">
        <v>9</v>
      </c>
      <c r="C1726" s="9">
        <v>1928</v>
      </c>
      <c r="D1726" s="10">
        <v>45736</v>
      </c>
      <c r="E1726" s="11" t="str">
        <f>+HYPERLINK("http://trademark.i-assist.jp/data/china/image_1928th/82765118.pdf","82765118")</f>
        <v>82765118</v>
      </c>
      <c r="F1726" s="12" t="s">
        <v>4788</v>
      </c>
      <c r="G1726" s="9" t="s">
        <v>4789</v>
      </c>
      <c r="H1726" s="12" t="s">
        <v>4790</v>
      </c>
      <c r="I1726" s="10">
        <v>45651</v>
      </c>
    </row>
    <row r="1727" spans="1:9" x14ac:dyDescent="0.15">
      <c r="A1727" s="9">
        <v>1726</v>
      </c>
      <c r="B1727" s="9" t="s">
        <v>9</v>
      </c>
      <c r="C1727" s="9">
        <v>1928</v>
      </c>
      <c r="D1727" s="10">
        <v>45736</v>
      </c>
      <c r="E1727" s="11" t="str">
        <f>+HYPERLINK("http://trademark.i-assist.jp/data/china/image_1928th/82765284.pdf","82765284")</f>
        <v>82765284</v>
      </c>
      <c r="F1727" s="9" t="s">
        <v>4791</v>
      </c>
      <c r="G1727" s="12" t="s">
        <v>4792</v>
      </c>
      <c r="H1727" s="9" t="s">
        <v>4793</v>
      </c>
      <c r="I1727" s="10">
        <v>45651</v>
      </c>
    </row>
    <row r="1728" spans="1:9" x14ac:dyDescent="0.15">
      <c r="A1728" s="9">
        <v>1727</v>
      </c>
      <c r="B1728" s="9" t="s">
        <v>9</v>
      </c>
      <c r="C1728" s="9">
        <v>1928</v>
      </c>
      <c r="D1728" s="10">
        <v>45736</v>
      </c>
      <c r="E1728" s="11" t="str">
        <f>+HYPERLINK("http://trademark.i-assist.jp/data/china/image_1928th/82765372.pdf","82765372")</f>
        <v>82765372</v>
      </c>
      <c r="F1728" s="12" t="s">
        <v>4794</v>
      </c>
      <c r="G1728" s="12" t="s">
        <v>4666</v>
      </c>
      <c r="H1728" s="9" t="s">
        <v>4795</v>
      </c>
      <c r="I1728" s="10">
        <v>45651</v>
      </c>
    </row>
    <row r="1729" spans="1:9" x14ac:dyDescent="0.15">
      <c r="A1729" s="9">
        <v>1728</v>
      </c>
      <c r="B1729" s="9" t="s">
        <v>9</v>
      </c>
      <c r="C1729" s="9">
        <v>1928</v>
      </c>
      <c r="D1729" s="10">
        <v>45736</v>
      </c>
      <c r="E1729" s="11" t="str">
        <f>+HYPERLINK("http://trademark.i-assist.jp/data/china/image_1928th/82765485.pdf","82765485")</f>
        <v>82765485</v>
      </c>
      <c r="F1729" s="9" t="s">
        <v>4796</v>
      </c>
      <c r="G1729" s="9" t="s">
        <v>4797</v>
      </c>
      <c r="H1729" s="9" t="s">
        <v>4798</v>
      </c>
      <c r="I1729" s="10">
        <v>45651</v>
      </c>
    </row>
    <row r="1730" spans="1:9" x14ac:dyDescent="0.15">
      <c r="A1730" s="9">
        <v>1729</v>
      </c>
      <c r="B1730" s="9" t="s">
        <v>9</v>
      </c>
      <c r="C1730" s="9">
        <v>1928</v>
      </c>
      <c r="D1730" s="10">
        <v>45736</v>
      </c>
      <c r="E1730" s="11" t="str">
        <f>+HYPERLINK("http://trademark.i-assist.jp/data/china/image_1928th/82765670.pdf","82765670")</f>
        <v>82765670</v>
      </c>
      <c r="F1730" s="12" t="s">
        <v>4799</v>
      </c>
      <c r="G1730" s="9" t="s">
        <v>4800</v>
      </c>
      <c r="H1730" s="9" t="s">
        <v>4801</v>
      </c>
      <c r="I1730" s="10">
        <v>45651</v>
      </c>
    </row>
    <row r="1731" spans="1:9" x14ac:dyDescent="0.15">
      <c r="A1731" s="9">
        <v>1730</v>
      </c>
      <c r="B1731" s="9" t="s">
        <v>9</v>
      </c>
      <c r="C1731" s="9">
        <v>1928</v>
      </c>
      <c r="D1731" s="10">
        <v>45736</v>
      </c>
      <c r="E1731" s="11" t="str">
        <f>+HYPERLINK("http://trademark.i-assist.jp/data/china/image_1928th/82765954.pdf","82765954")</f>
        <v>82765954</v>
      </c>
      <c r="F1731" s="9" t="s">
        <v>4545</v>
      </c>
      <c r="G1731" s="9" t="s">
        <v>4546</v>
      </c>
      <c r="H1731" s="9" t="s">
        <v>4802</v>
      </c>
      <c r="I1731" s="10">
        <v>45651</v>
      </c>
    </row>
    <row r="1732" spans="1:9" x14ac:dyDescent="0.15">
      <c r="A1732" s="9">
        <v>1731</v>
      </c>
      <c r="B1732" s="9" t="s">
        <v>9</v>
      </c>
      <c r="C1732" s="9">
        <v>1928</v>
      </c>
      <c r="D1732" s="10">
        <v>45736</v>
      </c>
      <c r="E1732" s="11" t="str">
        <f>+HYPERLINK("http://trademark.i-assist.jp/data/china/image_1928th/82766206.pdf","82766206")</f>
        <v>82766206</v>
      </c>
      <c r="F1732" s="9" t="s">
        <v>4803</v>
      </c>
      <c r="G1732" s="9" t="s">
        <v>4543</v>
      </c>
      <c r="H1732" s="9" t="s">
        <v>4804</v>
      </c>
      <c r="I1732" s="10">
        <v>45651</v>
      </c>
    </row>
    <row r="1733" spans="1:9" x14ac:dyDescent="0.15">
      <c r="A1733" s="9">
        <v>1732</v>
      </c>
      <c r="B1733" s="9" t="s">
        <v>9</v>
      </c>
      <c r="C1733" s="9">
        <v>1928</v>
      </c>
      <c r="D1733" s="10">
        <v>45736</v>
      </c>
      <c r="E1733" s="11" t="str">
        <f>+HYPERLINK("http://trademark.i-assist.jp/data/china/image_1928th/82766252.pdf","82766252")</f>
        <v>82766252</v>
      </c>
      <c r="F1733" s="12" t="s">
        <v>18</v>
      </c>
      <c r="G1733" s="9" t="s">
        <v>4805</v>
      </c>
      <c r="H1733" s="9" t="s">
        <v>4806</v>
      </c>
      <c r="I1733" s="10">
        <v>45651</v>
      </c>
    </row>
    <row r="1734" spans="1:9" x14ac:dyDescent="0.15">
      <c r="A1734" s="9">
        <v>1733</v>
      </c>
      <c r="B1734" s="9" t="s">
        <v>9</v>
      </c>
      <c r="C1734" s="9">
        <v>1928</v>
      </c>
      <c r="D1734" s="10">
        <v>45736</v>
      </c>
      <c r="E1734" s="11" t="str">
        <f>+HYPERLINK("http://trademark.i-assist.jp/data/china/image_1928th/82766316.pdf","82766316")</f>
        <v>82766316</v>
      </c>
      <c r="F1734" s="9" t="s">
        <v>4807</v>
      </c>
      <c r="G1734" s="9" t="s">
        <v>2531</v>
      </c>
      <c r="H1734" s="9" t="s">
        <v>4808</v>
      </c>
      <c r="I1734" s="10">
        <v>45651</v>
      </c>
    </row>
    <row r="1735" spans="1:9" x14ac:dyDescent="0.15">
      <c r="A1735" s="9">
        <v>1734</v>
      </c>
      <c r="B1735" s="9" t="s">
        <v>9</v>
      </c>
      <c r="C1735" s="9">
        <v>1928</v>
      </c>
      <c r="D1735" s="10">
        <v>45736</v>
      </c>
      <c r="E1735" s="11" t="str">
        <f>+HYPERLINK("http://trademark.i-assist.jp/data/china/image_1928th/82766424.pdf","82766424")</f>
        <v>82766424</v>
      </c>
      <c r="F1735" s="12" t="s">
        <v>4809</v>
      </c>
      <c r="G1735" s="9" t="s">
        <v>4810</v>
      </c>
      <c r="H1735" s="9" t="s">
        <v>4811</v>
      </c>
      <c r="I1735" s="10">
        <v>45651</v>
      </c>
    </row>
    <row r="1736" spans="1:9" x14ac:dyDescent="0.15">
      <c r="A1736" s="9">
        <v>1735</v>
      </c>
      <c r="B1736" s="9" t="s">
        <v>9</v>
      </c>
      <c r="C1736" s="9">
        <v>1928</v>
      </c>
      <c r="D1736" s="10">
        <v>45736</v>
      </c>
      <c r="E1736" s="11" t="str">
        <f>+HYPERLINK("http://trademark.i-assist.jp/data/china/image_1928th/82766512.pdf","82766512")</f>
        <v>82766512</v>
      </c>
      <c r="F1736" s="9" t="s">
        <v>4812</v>
      </c>
      <c r="G1736" s="12" t="s">
        <v>4813</v>
      </c>
      <c r="H1736" s="12" t="s">
        <v>4814</v>
      </c>
      <c r="I1736" s="10">
        <v>45651</v>
      </c>
    </row>
    <row r="1737" spans="1:9" x14ac:dyDescent="0.15">
      <c r="A1737" s="9">
        <v>1736</v>
      </c>
      <c r="B1737" s="9" t="s">
        <v>9</v>
      </c>
      <c r="C1737" s="9">
        <v>1928</v>
      </c>
      <c r="D1737" s="10">
        <v>45736</v>
      </c>
      <c r="E1737" s="11" t="str">
        <f>+HYPERLINK("http://trademark.i-assist.jp/data/china/image_1928th/82766579.pdf","82766579")</f>
        <v>82766579</v>
      </c>
      <c r="F1737" s="12" t="s">
        <v>4815</v>
      </c>
      <c r="G1737" s="12" t="s">
        <v>4721</v>
      </c>
      <c r="H1737" s="9" t="s">
        <v>4816</v>
      </c>
      <c r="I1737" s="10">
        <v>45651</v>
      </c>
    </row>
    <row r="1738" spans="1:9" x14ac:dyDescent="0.15">
      <c r="A1738" s="9">
        <v>1737</v>
      </c>
      <c r="B1738" s="9" t="s">
        <v>9</v>
      </c>
      <c r="C1738" s="9">
        <v>1928</v>
      </c>
      <c r="D1738" s="10">
        <v>45736</v>
      </c>
      <c r="E1738" s="11" t="str">
        <f>+HYPERLINK("http://trademark.i-assist.jp/data/china/image_1928th/82766584.pdf","82766584")</f>
        <v>82766584</v>
      </c>
      <c r="F1738" s="12" t="s">
        <v>4817</v>
      </c>
      <c r="G1738" s="9" t="s">
        <v>4818</v>
      </c>
      <c r="H1738" s="9" t="s">
        <v>4819</v>
      </c>
      <c r="I1738" s="10">
        <v>45651</v>
      </c>
    </row>
    <row r="1739" spans="1:9" x14ac:dyDescent="0.15">
      <c r="A1739" s="9">
        <v>1738</v>
      </c>
      <c r="B1739" s="9" t="s">
        <v>9</v>
      </c>
      <c r="C1739" s="9">
        <v>1928</v>
      </c>
      <c r="D1739" s="10">
        <v>45736</v>
      </c>
      <c r="E1739" s="11" t="str">
        <f>+HYPERLINK("http://trademark.i-assist.jp/data/china/image_1928th/82766622.pdf","82766622")</f>
        <v>82766622</v>
      </c>
      <c r="F1739" s="9" t="s">
        <v>4820</v>
      </c>
      <c r="G1739" s="12" t="s">
        <v>4821</v>
      </c>
      <c r="H1739" s="9" t="s">
        <v>4822</v>
      </c>
      <c r="I1739" s="10">
        <v>45651</v>
      </c>
    </row>
    <row r="1740" spans="1:9" x14ac:dyDescent="0.15">
      <c r="A1740" s="9">
        <v>1739</v>
      </c>
      <c r="B1740" s="9" t="s">
        <v>9</v>
      </c>
      <c r="C1740" s="9">
        <v>1928</v>
      </c>
      <c r="D1740" s="10">
        <v>45736</v>
      </c>
      <c r="E1740" s="11" t="str">
        <f>+HYPERLINK("http://trademark.i-assist.jp/data/china/image_1928th/82766630.pdf","82766630")</f>
        <v>82766630</v>
      </c>
      <c r="F1740" s="9" t="s">
        <v>4823</v>
      </c>
      <c r="G1740" s="9" t="s">
        <v>4824</v>
      </c>
      <c r="H1740" s="12" t="s">
        <v>4825</v>
      </c>
      <c r="I1740" s="10">
        <v>45651</v>
      </c>
    </row>
    <row r="1741" spans="1:9" x14ac:dyDescent="0.15">
      <c r="A1741" s="9">
        <v>1740</v>
      </c>
      <c r="B1741" s="9" t="s">
        <v>9</v>
      </c>
      <c r="C1741" s="9">
        <v>1928</v>
      </c>
      <c r="D1741" s="10">
        <v>45736</v>
      </c>
      <c r="E1741" s="11" t="str">
        <f>+HYPERLINK("http://trademark.i-assist.jp/data/china/image_1928th/82766981.pdf","82766981")</f>
        <v>82766981</v>
      </c>
      <c r="F1741" s="9" t="s">
        <v>4826</v>
      </c>
      <c r="G1741" s="9" t="s">
        <v>4827</v>
      </c>
      <c r="H1741" s="9" t="s">
        <v>4828</v>
      </c>
      <c r="I1741" s="10">
        <v>45651</v>
      </c>
    </row>
    <row r="1742" spans="1:9" x14ac:dyDescent="0.15">
      <c r="A1742" s="9">
        <v>1741</v>
      </c>
      <c r="B1742" s="9" t="s">
        <v>9</v>
      </c>
      <c r="C1742" s="9">
        <v>1928</v>
      </c>
      <c r="D1742" s="10">
        <v>45736</v>
      </c>
      <c r="E1742" s="11" t="str">
        <f>+HYPERLINK("http://trademark.i-assist.jp/data/china/image_1928th/82767047.pdf","82767047")</f>
        <v>82767047</v>
      </c>
      <c r="F1742" s="12" t="s">
        <v>18</v>
      </c>
      <c r="G1742" s="9" t="s">
        <v>1180</v>
      </c>
      <c r="H1742" s="9" t="s">
        <v>4829</v>
      </c>
      <c r="I1742" s="10">
        <v>45651</v>
      </c>
    </row>
    <row r="1743" spans="1:9" x14ac:dyDescent="0.15">
      <c r="A1743" s="9">
        <v>1742</v>
      </c>
      <c r="B1743" s="9" t="s">
        <v>9</v>
      </c>
      <c r="C1743" s="9">
        <v>1928</v>
      </c>
      <c r="D1743" s="10">
        <v>45736</v>
      </c>
      <c r="E1743" s="11" t="str">
        <f>+HYPERLINK("http://trademark.i-assist.jp/data/china/image_1928th/82767515.pdf","82767515")</f>
        <v>82767515</v>
      </c>
      <c r="F1743" s="9" t="s">
        <v>4830</v>
      </c>
      <c r="G1743" s="9" t="s">
        <v>4570</v>
      </c>
      <c r="H1743" s="9" t="s">
        <v>4831</v>
      </c>
      <c r="I1743" s="10">
        <v>45651</v>
      </c>
    </row>
    <row r="1744" spans="1:9" x14ac:dyDescent="0.15">
      <c r="A1744" s="9">
        <v>1743</v>
      </c>
      <c r="B1744" s="9" t="s">
        <v>9</v>
      </c>
      <c r="C1744" s="9">
        <v>1928</v>
      </c>
      <c r="D1744" s="10">
        <v>45736</v>
      </c>
      <c r="E1744" s="11" t="str">
        <f>+HYPERLINK("http://trademark.i-assist.jp/data/china/image_1928th/82767637.pdf","82767637")</f>
        <v>82767637</v>
      </c>
      <c r="F1744" s="9" t="s">
        <v>4832</v>
      </c>
      <c r="G1744" s="12" t="s">
        <v>4833</v>
      </c>
      <c r="H1744" s="9" t="s">
        <v>4834</v>
      </c>
      <c r="I1744" s="10">
        <v>45651</v>
      </c>
    </row>
    <row r="1745" spans="1:9" x14ac:dyDescent="0.15">
      <c r="A1745" s="9">
        <v>1744</v>
      </c>
      <c r="B1745" s="9" t="s">
        <v>9</v>
      </c>
      <c r="C1745" s="9">
        <v>1928</v>
      </c>
      <c r="D1745" s="10">
        <v>45736</v>
      </c>
      <c r="E1745" s="11" t="str">
        <f>+HYPERLINK("http://trademark.i-assist.jp/data/china/image_1928th/82767819.pdf","82767819")</f>
        <v>82767819</v>
      </c>
      <c r="F1745" s="12" t="s">
        <v>4835</v>
      </c>
      <c r="G1745" s="9" t="s">
        <v>4652</v>
      </c>
      <c r="H1745" s="9" t="s">
        <v>4836</v>
      </c>
      <c r="I1745" s="10">
        <v>45651</v>
      </c>
    </row>
    <row r="1746" spans="1:9" x14ac:dyDescent="0.15">
      <c r="A1746" s="9">
        <v>1745</v>
      </c>
      <c r="B1746" s="9" t="s">
        <v>9</v>
      </c>
      <c r="C1746" s="9">
        <v>1928</v>
      </c>
      <c r="D1746" s="10">
        <v>45736</v>
      </c>
      <c r="E1746" s="11" t="str">
        <f>+HYPERLINK("http://trademark.i-assist.jp/data/china/image_1928th/82767936.pdf","82767936")</f>
        <v>82767936</v>
      </c>
      <c r="F1746" s="9" t="s">
        <v>4837</v>
      </c>
      <c r="G1746" s="9" t="s">
        <v>4838</v>
      </c>
      <c r="H1746" s="9" t="s">
        <v>4839</v>
      </c>
      <c r="I1746" s="10">
        <v>45651</v>
      </c>
    </row>
    <row r="1747" spans="1:9" x14ac:dyDescent="0.15">
      <c r="A1747" s="9">
        <v>1746</v>
      </c>
      <c r="B1747" s="9" t="s">
        <v>9</v>
      </c>
      <c r="C1747" s="9">
        <v>1928</v>
      </c>
      <c r="D1747" s="10">
        <v>45736</v>
      </c>
      <c r="E1747" s="11" t="str">
        <f>+HYPERLINK("http://trademark.i-assist.jp/data/china/image_1928th/82768040.pdf","82768040")</f>
        <v>82768040</v>
      </c>
      <c r="F1747" s="9" t="s">
        <v>4840</v>
      </c>
      <c r="G1747" s="9" t="s">
        <v>61</v>
      </c>
      <c r="H1747" s="9" t="s">
        <v>4841</v>
      </c>
      <c r="I1747" s="10">
        <v>45651</v>
      </c>
    </row>
    <row r="1748" spans="1:9" x14ac:dyDescent="0.15">
      <c r="A1748" s="9">
        <v>1747</v>
      </c>
      <c r="B1748" s="9" t="s">
        <v>9</v>
      </c>
      <c r="C1748" s="9">
        <v>1928</v>
      </c>
      <c r="D1748" s="10">
        <v>45736</v>
      </c>
      <c r="E1748" s="11" t="str">
        <f>+HYPERLINK("http://trademark.i-assist.jp/data/china/image_1928th/82768198.pdf","82768198")</f>
        <v>82768198</v>
      </c>
      <c r="F1748" s="9" t="s">
        <v>4842</v>
      </c>
      <c r="G1748" s="9" t="s">
        <v>4843</v>
      </c>
      <c r="H1748" s="9" t="s">
        <v>4844</v>
      </c>
      <c r="I1748" s="10">
        <v>45651</v>
      </c>
    </row>
    <row r="1749" spans="1:9" x14ac:dyDescent="0.15">
      <c r="A1749" s="9">
        <v>1748</v>
      </c>
      <c r="B1749" s="9" t="s">
        <v>9</v>
      </c>
      <c r="C1749" s="9">
        <v>1928</v>
      </c>
      <c r="D1749" s="10">
        <v>45736</v>
      </c>
      <c r="E1749" s="11" t="str">
        <f>+HYPERLINK("http://trademark.i-assist.jp/data/china/image_1928th/82768210.pdf","82768210")</f>
        <v>82768210</v>
      </c>
      <c r="F1749" s="12" t="s">
        <v>4845</v>
      </c>
      <c r="G1749" s="9" t="s">
        <v>4846</v>
      </c>
      <c r="H1749" s="9" t="s">
        <v>4847</v>
      </c>
      <c r="I1749" s="10">
        <v>45651</v>
      </c>
    </row>
    <row r="1750" spans="1:9" x14ac:dyDescent="0.15">
      <c r="A1750" s="9">
        <v>1749</v>
      </c>
      <c r="B1750" s="9" t="s">
        <v>9</v>
      </c>
      <c r="C1750" s="9">
        <v>1928</v>
      </c>
      <c r="D1750" s="10">
        <v>45736</v>
      </c>
      <c r="E1750" s="11" t="str">
        <f>+HYPERLINK("http://trademark.i-assist.jp/data/china/image_1928th/82768488.pdf","82768488")</f>
        <v>82768488</v>
      </c>
      <c r="F1750" s="9" t="s">
        <v>4848</v>
      </c>
      <c r="G1750" s="9" t="s">
        <v>4596</v>
      </c>
      <c r="H1750" s="9" t="s">
        <v>4849</v>
      </c>
      <c r="I1750" s="10">
        <v>45651</v>
      </c>
    </row>
    <row r="1751" spans="1:9" x14ac:dyDescent="0.15">
      <c r="A1751" s="9">
        <v>1750</v>
      </c>
      <c r="B1751" s="9" t="s">
        <v>9</v>
      </c>
      <c r="C1751" s="9">
        <v>1928</v>
      </c>
      <c r="D1751" s="10">
        <v>45736</v>
      </c>
      <c r="E1751" s="11" t="str">
        <f>+HYPERLINK("http://trademark.i-assist.jp/data/china/image_1928th/82769137.pdf","82769137")</f>
        <v>82769137</v>
      </c>
      <c r="F1751" s="9" t="s">
        <v>4850</v>
      </c>
      <c r="G1751" s="12" t="s">
        <v>4738</v>
      </c>
      <c r="H1751" s="9" t="s">
        <v>4851</v>
      </c>
      <c r="I1751" s="10">
        <v>45651</v>
      </c>
    </row>
    <row r="1752" spans="1:9" x14ac:dyDescent="0.15">
      <c r="A1752" s="9">
        <v>1751</v>
      </c>
      <c r="B1752" s="9" t="s">
        <v>9</v>
      </c>
      <c r="C1752" s="9">
        <v>1928</v>
      </c>
      <c r="D1752" s="10">
        <v>45736</v>
      </c>
      <c r="E1752" s="11" t="str">
        <f>+HYPERLINK("http://trademark.i-assist.jp/data/china/image_1928th/82769243.pdf","82769243")</f>
        <v>82769243</v>
      </c>
      <c r="F1752" s="9" t="s">
        <v>4852</v>
      </c>
      <c r="G1752" s="12" t="s">
        <v>4690</v>
      </c>
      <c r="H1752" s="9" t="s">
        <v>4853</v>
      </c>
      <c r="I1752" s="10">
        <v>45651</v>
      </c>
    </row>
    <row r="1753" spans="1:9" x14ac:dyDescent="0.15">
      <c r="A1753" s="9">
        <v>1752</v>
      </c>
      <c r="B1753" s="9" t="s">
        <v>9</v>
      </c>
      <c r="C1753" s="9">
        <v>1928</v>
      </c>
      <c r="D1753" s="10">
        <v>45736</v>
      </c>
      <c r="E1753" s="11" t="str">
        <f>+HYPERLINK("http://trademark.i-assist.jp/data/china/image_1928th/82769379.pdf","82769379")</f>
        <v>82769379</v>
      </c>
      <c r="F1753" s="9" t="s">
        <v>4854</v>
      </c>
      <c r="G1753" s="9" t="s">
        <v>4611</v>
      </c>
      <c r="H1753" s="9" t="s">
        <v>4855</v>
      </c>
      <c r="I1753" s="10">
        <v>45651</v>
      </c>
    </row>
    <row r="1754" spans="1:9" x14ac:dyDescent="0.15">
      <c r="A1754" s="9">
        <v>1753</v>
      </c>
      <c r="B1754" s="9" t="s">
        <v>9</v>
      </c>
      <c r="C1754" s="9">
        <v>1928</v>
      </c>
      <c r="D1754" s="10">
        <v>45736</v>
      </c>
      <c r="E1754" s="11" t="str">
        <f>+HYPERLINK("http://trademark.i-assist.jp/data/china/image_1928th/82769477.pdf","82769477")</f>
        <v>82769477</v>
      </c>
      <c r="F1754" s="9" t="s">
        <v>4856</v>
      </c>
      <c r="G1754" s="9" t="s">
        <v>4857</v>
      </c>
      <c r="H1754" s="9" t="s">
        <v>4858</v>
      </c>
      <c r="I1754" s="10">
        <v>45651</v>
      </c>
    </row>
    <row r="1755" spans="1:9" x14ac:dyDescent="0.15">
      <c r="A1755" s="9">
        <v>1754</v>
      </c>
      <c r="B1755" s="9" t="s">
        <v>9</v>
      </c>
      <c r="C1755" s="9">
        <v>1928</v>
      </c>
      <c r="D1755" s="10">
        <v>45736</v>
      </c>
      <c r="E1755" s="11" t="str">
        <f>+HYPERLINK("http://trademark.i-assist.jp/data/china/image_1928th/82769515.pdf","82769515")</f>
        <v>82769515</v>
      </c>
      <c r="F1755" s="9" t="s">
        <v>4859</v>
      </c>
      <c r="G1755" s="12" t="s">
        <v>4666</v>
      </c>
      <c r="H1755" s="12" t="s">
        <v>4860</v>
      </c>
      <c r="I1755" s="10">
        <v>45651</v>
      </c>
    </row>
    <row r="1756" spans="1:9" x14ac:dyDescent="0.15">
      <c r="A1756" s="9">
        <v>1755</v>
      </c>
      <c r="B1756" s="9" t="s">
        <v>9</v>
      </c>
      <c r="C1756" s="9">
        <v>1928</v>
      </c>
      <c r="D1756" s="10">
        <v>45736</v>
      </c>
      <c r="E1756" s="11" t="str">
        <f>+HYPERLINK("http://trademark.i-assist.jp/data/china/image_1928th/82769538.pdf","82769538")</f>
        <v>82769538</v>
      </c>
      <c r="F1756" s="9" t="s">
        <v>4861</v>
      </c>
      <c r="G1756" s="12" t="s">
        <v>4862</v>
      </c>
      <c r="H1756" s="9" t="s">
        <v>4863</v>
      </c>
      <c r="I1756" s="10">
        <v>45651</v>
      </c>
    </row>
    <row r="1757" spans="1:9" x14ac:dyDescent="0.15">
      <c r="A1757" s="9">
        <v>1756</v>
      </c>
      <c r="B1757" s="9" t="s">
        <v>9</v>
      </c>
      <c r="C1757" s="9">
        <v>1928</v>
      </c>
      <c r="D1757" s="10">
        <v>45736</v>
      </c>
      <c r="E1757" s="11" t="str">
        <f>+HYPERLINK("http://trademark.i-assist.jp/data/china/image_1928th/82769584.pdf","82769584")</f>
        <v>82769584</v>
      </c>
      <c r="F1757" s="9" t="s">
        <v>4864</v>
      </c>
      <c r="G1757" s="9" t="s">
        <v>4865</v>
      </c>
      <c r="H1757" s="9" t="s">
        <v>4866</v>
      </c>
      <c r="I1757" s="10">
        <v>45651</v>
      </c>
    </row>
    <row r="1758" spans="1:9" x14ac:dyDescent="0.15">
      <c r="A1758" s="9">
        <v>1757</v>
      </c>
      <c r="B1758" s="9" t="s">
        <v>9</v>
      </c>
      <c r="C1758" s="9">
        <v>1928</v>
      </c>
      <c r="D1758" s="10">
        <v>45736</v>
      </c>
      <c r="E1758" s="11" t="str">
        <f>+HYPERLINK("http://trademark.i-assist.jp/data/china/image_1928th/82769660.pdf","82769660")</f>
        <v>82769660</v>
      </c>
      <c r="F1758" s="9" t="s">
        <v>4867</v>
      </c>
      <c r="G1758" s="9" t="s">
        <v>4868</v>
      </c>
      <c r="H1758" s="9" t="s">
        <v>4869</v>
      </c>
      <c r="I1758" s="10">
        <v>45651</v>
      </c>
    </row>
    <row r="1759" spans="1:9" x14ac:dyDescent="0.15">
      <c r="A1759" s="9">
        <v>1758</v>
      </c>
      <c r="B1759" s="9" t="s">
        <v>9</v>
      </c>
      <c r="C1759" s="9">
        <v>1928</v>
      </c>
      <c r="D1759" s="10">
        <v>45736</v>
      </c>
      <c r="E1759" s="11" t="str">
        <f>+HYPERLINK("http://trademark.i-assist.jp/data/china/image_1928th/82769666.pdf","82769666")</f>
        <v>82769666</v>
      </c>
      <c r="F1759" s="9" t="s">
        <v>4870</v>
      </c>
      <c r="G1759" s="9" t="s">
        <v>13</v>
      </c>
      <c r="H1759" s="9" t="s">
        <v>4871</v>
      </c>
      <c r="I1759" s="10">
        <v>45651</v>
      </c>
    </row>
    <row r="1760" spans="1:9" x14ac:dyDescent="0.15">
      <c r="A1760" s="9">
        <v>1759</v>
      </c>
      <c r="B1760" s="9" t="s">
        <v>9</v>
      </c>
      <c r="C1760" s="9">
        <v>1928</v>
      </c>
      <c r="D1760" s="10">
        <v>45736</v>
      </c>
      <c r="E1760" s="11" t="str">
        <f>+HYPERLINK("http://trademark.i-assist.jp/data/china/image_1928th/82769676.pdf","82769676")</f>
        <v>82769676</v>
      </c>
      <c r="F1760" s="9" t="s">
        <v>4872</v>
      </c>
      <c r="G1760" s="9" t="s">
        <v>4873</v>
      </c>
      <c r="H1760" s="9" t="s">
        <v>4874</v>
      </c>
      <c r="I1760" s="10">
        <v>45651</v>
      </c>
    </row>
    <row r="1761" spans="1:9" x14ac:dyDescent="0.15">
      <c r="A1761" s="9">
        <v>1760</v>
      </c>
      <c r="B1761" s="9" t="s">
        <v>9</v>
      </c>
      <c r="C1761" s="9">
        <v>1928</v>
      </c>
      <c r="D1761" s="10">
        <v>45736</v>
      </c>
      <c r="E1761" s="11" t="str">
        <f>+HYPERLINK("http://trademark.i-assist.jp/data/china/image_1928th/82769689.pdf","82769689")</f>
        <v>82769689</v>
      </c>
      <c r="F1761" s="9" t="s">
        <v>4875</v>
      </c>
      <c r="G1761" s="9" t="s">
        <v>4876</v>
      </c>
      <c r="H1761" s="9" t="s">
        <v>4877</v>
      </c>
      <c r="I1761" s="10">
        <v>45651</v>
      </c>
    </row>
    <row r="1762" spans="1:9" x14ac:dyDescent="0.15">
      <c r="A1762" s="9">
        <v>1761</v>
      </c>
      <c r="B1762" s="9" t="s">
        <v>9</v>
      </c>
      <c r="C1762" s="9">
        <v>1928</v>
      </c>
      <c r="D1762" s="10">
        <v>45736</v>
      </c>
      <c r="E1762" s="11" t="str">
        <f>+HYPERLINK("http://trademark.i-assist.jp/data/china/image_1928th/82769693.pdf","82769693")</f>
        <v>82769693</v>
      </c>
      <c r="F1762" s="9" t="s">
        <v>4878</v>
      </c>
      <c r="G1762" s="9" t="s">
        <v>4879</v>
      </c>
      <c r="H1762" s="9" t="s">
        <v>4880</v>
      </c>
      <c r="I1762" s="10">
        <v>45651</v>
      </c>
    </row>
    <row r="1763" spans="1:9" x14ac:dyDescent="0.15">
      <c r="A1763" s="9">
        <v>1762</v>
      </c>
      <c r="B1763" s="9" t="s">
        <v>9</v>
      </c>
      <c r="C1763" s="9">
        <v>1928</v>
      </c>
      <c r="D1763" s="10">
        <v>45736</v>
      </c>
      <c r="E1763" s="11" t="str">
        <f>+HYPERLINK("http://trademark.i-assist.jp/data/china/image_1928th/82769835.pdf","82769835")</f>
        <v>82769835</v>
      </c>
      <c r="F1763" s="9" t="s">
        <v>4881</v>
      </c>
      <c r="G1763" s="9" t="s">
        <v>4882</v>
      </c>
      <c r="H1763" s="9" t="s">
        <v>4883</v>
      </c>
      <c r="I1763" s="10">
        <v>45651</v>
      </c>
    </row>
    <row r="1764" spans="1:9" x14ac:dyDescent="0.15">
      <c r="A1764" s="9">
        <v>1763</v>
      </c>
      <c r="B1764" s="9" t="s">
        <v>9</v>
      </c>
      <c r="C1764" s="9">
        <v>1928</v>
      </c>
      <c r="D1764" s="10">
        <v>45736</v>
      </c>
      <c r="E1764" s="11" t="str">
        <f>+HYPERLINK("http://trademark.i-assist.jp/data/china/image_1928th/82770008.pdf","82770008")</f>
        <v>82770008</v>
      </c>
      <c r="F1764" s="9" t="s">
        <v>4884</v>
      </c>
      <c r="G1764" s="12" t="s">
        <v>4721</v>
      </c>
      <c r="H1764" s="9" t="s">
        <v>4885</v>
      </c>
      <c r="I1764" s="10">
        <v>45651</v>
      </c>
    </row>
    <row r="1765" spans="1:9" x14ac:dyDescent="0.15">
      <c r="A1765" s="9">
        <v>1764</v>
      </c>
      <c r="B1765" s="9" t="s">
        <v>9</v>
      </c>
      <c r="C1765" s="9">
        <v>1928</v>
      </c>
      <c r="D1765" s="10">
        <v>45736</v>
      </c>
      <c r="E1765" s="11" t="str">
        <f>+HYPERLINK("http://trademark.i-assist.jp/data/china/image_1928th/82770169.pdf","82770169")</f>
        <v>82770169</v>
      </c>
      <c r="F1765" s="9" t="s">
        <v>4886</v>
      </c>
      <c r="G1765" s="9" t="s">
        <v>4800</v>
      </c>
      <c r="H1765" s="9" t="s">
        <v>4887</v>
      </c>
      <c r="I1765" s="10">
        <v>45651</v>
      </c>
    </row>
    <row r="1766" spans="1:9" x14ac:dyDescent="0.15">
      <c r="A1766" s="9">
        <v>1765</v>
      </c>
      <c r="B1766" s="9" t="s">
        <v>9</v>
      </c>
      <c r="C1766" s="9">
        <v>1928</v>
      </c>
      <c r="D1766" s="10">
        <v>45736</v>
      </c>
      <c r="E1766" s="11" t="str">
        <f>+HYPERLINK("http://trademark.i-assist.jp/data/china/image_1928th/82770348.pdf","82770348")</f>
        <v>82770348</v>
      </c>
      <c r="F1766" s="12" t="s">
        <v>4888</v>
      </c>
      <c r="G1766" s="9" t="s">
        <v>4570</v>
      </c>
      <c r="H1766" s="9" t="s">
        <v>4889</v>
      </c>
      <c r="I1766" s="10">
        <v>45651</v>
      </c>
    </row>
    <row r="1767" spans="1:9" x14ac:dyDescent="0.15">
      <c r="A1767" s="9">
        <v>1766</v>
      </c>
      <c r="B1767" s="9" t="s">
        <v>9</v>
      </c>
      <c r="C1767" s="9">
        <v>1928</v>
      </c>
      <c r="D1767" s="10">
        <v>45736</v>
      </c>
      <c r="E1767" s="11" t="str">
        <f>+HYPERLINK("http://trademark.i-assist.jp/data/china/image_1928th/82770390.pdf","82770390")</f>
        <v>82770390</v>
      </c>
      <c r="F1767" s="9" t="s">
        <v>4890</v>
      </c>
      <c r="G1767" s="9" t="s">
        <v>4611</v>
      </c>
      <c r="H1767" s="9" t="s">
        <v>4891</v>
      </c>
      <c r="I1767" s="10">
        <v>45651</v>
      </c>
    </row>
    <row r="1768" spans="1:9" x14ac:dyDescent="0.15">
      <c r="A1768" s="9">
        <v>1767</v>
      </c>
      <c r="B1768" s="9" t="s">
        <v>9</v>
      </c>
      <c r="C1768" s="9">
        <v>1928</v>
      </c>
      <c r="D1768" s="10">
        <v>45736</v>
      </c>
      <c r="E1768" s="11" t="str">
        <f>+HYPERLINK("http://trademark.i-assist.jp/data/china/image_1928th/82770621.pdf","82770621")</f>
        <v>82770621</v>
      </c>
      <c r="F1768" s="9" t="s">
        <v>4892</v>
      </c>
      <c r="G1768" s="9" t="s">
        <v>4893</v>
      </c>
      <c r="H1768" s="9" t="s">
        <v>4894</v>
      </c>
      <c r="I1768" s="10">
        <v>45651</v>
      </c>
    </row>
    <row r="1769" spans="1:9" x14ac:dyDescent="0.15">
      <c r="A1769" s="9">
        <v>1768</v>
      </c>
      <c r="B1769" s="9" t="s">
        <v>9</v>
      </c>
      <c r="C1769" s="9">
        <v>1928</v>
      </c>
      <c r="D1769" s="10">
        <v>45736</v>
      </c>
      <c r="E1769" s="11" t="str">
        <f>+HYPERLINK("http://trademark.i-assist.jp/data/china/image_1928th/82770680.pdf","82770680")</f>
        <v>82770680</v>
      </c>
      <c r="F1769" s="9" t="s">
        <v>4895</v>
      </c>
      <c r="G1769" s="9" t="s">
        <v>4896</v>
      </c>
      <c r="H1769" s="9" t="s">
        <v>4897</v>
      </c>
      <c r="I1769" s="10">
        <v>45651</v>
      </c>
    </row>
    <row r="1770" spans="1:9" x14ac:dyDescent="0.15">
      <c r="A1770" s="9">
        <v>1769</v>
      </c>
      <c r="B1770" s="9" t="s">
        <v>9</v>
      </c>
      <c r="C1770" s="9">
        <v>1928</v>
      </c>
      <c r="D1770" s="10">
        <v>45736</v>
      </c>
      <c r="E1770" s="11" t="str">
        <f>+HYPERLINK("http://trademark.i-assist.jp/data/china/image_1928th/82770759.pdf","82770759")</f>
        <v>82770759</v>
      </c>
      <c r="F1770" s="9" t="s">
        <v>4898</v>
      </c>
      <c r="G1770" s="9" t="s">
        <v>4899</v>
      </c>
      <c r="H1770" s="9" t="s">
        <v>4900</v>
      </c>
      <c r="I1770" s="10">
        <v>45651</v>
      </c>
    </row>
    <row r="1771" spans="1:9" x14ac:dyDescent="0.15">
      <c r="A1771" s="9">
        <v>1770</v>
      </c>
      <c r="B1771" s="9" t="s">
        <v>9</v>
      </c>
      <c r="C1771" s="9">
        <v>1928</v>
      </c>
      <c r="D1771" s="10">
        <v>45736</v>
      </c>
      <c r="E1771" s="11" t="str">
        <f>+HYPERLINK("http://trademark.i-assist.jp/data/china/image_1928th/82770895.pdf","82770895")</f>
        <v>82770895</v>
      </c>
      <c r="F1771" s="9" t="s">
        <v>4901</v>
      </c>
      <c r="G1771" s="9" t="s">
        <v>4902</v>
      </c>
      <c r="H1771" s="9" t="s">
        <v>4903</v>
      </c>
      <c r="I1771" s="10">
        <v>45651</v>
      </c>
    </row>
    <row r="1772" spans="1:9" x14ac:dyDescent="0.15">
      <c r="A1772" s="9">
        <v>1771</v>
      </c>
      <c r="B1772" s="9" t="s">
        <v>9</v>
      </c>
      <c r="C1772" s="9">
        <v>1928</v>
      </c>
      <c r="D1772" s="10">
        <v>45736</v>
      </c>
      <c r="E1772" s="11" t="str">
        <f>+HYPERLINK("http://trademark.i-assist.jp/data/china/image_1928th/82770946.pdf","82770946")</f>
        <v>82770946</v>
      </c>
      <c r="F1772" s="9" t="s">
        <v>4904</v>
      </c>
      <c r="G1772" s="9" t="s">
        <v>4905</v>
      </c>
      <c r="H1772" s="9" t="s">
        <v>4906</v>
      </c>
      <c r="I1772" s="10">
        <v>45651</v>
      </c>
    </row>
    <row r="1773" spans="1:9" x14ac:dyDescent="0.15">
      <c r="A1773" s="9">
        <v>1772</v>
      </c>
      <c r="B1773" s="9" t="s">
        <v>9</v>
      </c>
      <c r="C1773" s="9">
        <v>1928</v>
      </c>
      <c r="D1773" s="10">
        <v>45736</v>
      </c>
      <c r="E1773" s="11" t="str">
        <f>+HYPERLINK("http://trademark.i-assist.jp/data/china/image_1928th/82771122.pdf","82771122")</f>
        <v>82771122</v>
      </c>
      <c r="F1773" s="12" t="s">
        <v>18</v>
      </c>
      <c r="G1773" s="9" t="s">
        <v>1180</v>
      </c>
      <c r="H1773" s="9" t="s">
        <v>4907</v>
      </c>
      <c r="I1773" s="10">
        <v>45651</v>
      </c>
    </row>
    <row r="1774" spans="1:9" x14ac:dyDescent="0.15">
      <c r="A1774" s="9">
        <v>1773</v>
      </c>
      <c r="B1774" s="9" t="s">
        <v>9</v>
      </c>
      <c r="C1774" s="9">
        <v>1928</v>
      </c>
      <c r="D1774" s="10">
        <v>45736</v>
      </c>
      <c r="E1774" s="11" t="str">
        <f>+HYPERLINK("http://trademark.i-assist.jp/data/china/image_1928th/82771465.pdf","82771465")</f>
        <v>82771465</v>
      </c>
      <c r="F1774" s="12" t="s">
        <v>4908</v>
      </c>
      <c r="G1774" s="12" t="s">
        <v>4909</v>
      </c>
      <c r="H1774" s="9" t="s">
        <v>4910</v>
      </c>
      <c r="I1774" s="10">
        <v>45651</v>
      </c>
    </row>
    <row r="1775" spans="1:9" x14ac:dyDescent="0.15">
      <c r="A1775" s="9">
        <v>1774</v>
      </c>
      <c r="B1775" s="9" t="s">
        <v>9</v>
      </c>
      <c r="C1775" s="9">
        <v>1928</v>
      </c>
      <c r="D1775" s="10">
        <v>45736</v>
      </c>
      <c r="E1775" s="11" t="str">
        <f>+HYPERLINK("http://trademark.i-assist.jp/data/china/image_1928th/82771491.pdf","82771491")</f>
        <v>82771491</v>
      </c>
      <c r="F1775" s="9" t="s">
        <v>4911</v>
      </c>
      <c r="G1775" s="9" t="s">
        <v>4912</v>
      </c>
      <c r="H1775" s="9" t="s">
        <v>4913</v>
      </c>
      <c r="I1775" s="10">
        <v>45651</v>
      </c>
    </row>
    <row r="1776" spans="1:9" x14ac:dyDescent="0.15">
      <c r="A1776" s="9">
        <v>1775</v>
      </c>
      <c r="B1776" s="9" t="s">
        <v>9</v>
      </c>
      <c r="C1776" s="9">
        <v>1928</v>
      </c>
      <c r="D1776" s="10">
        <v>45736</v>
      </c>
      <c r="E1776" s="11" t="str">
        <f>+HYPERLINK("http://trademark.i-assist.jp/data/china/image_1928th/82772210.pdf","82772210")</f>
        <v>82772210</v>
      </c>
      <c r="F1776" s="9" t="s">
        <v>4914</v>
      </c>
      <c r="G1776" s="9" t="s">
        <v>4663</v>
      </c>
      <c r="H1776" s="9" t="s">
        <v>4915</v>
      </c>
      <c r="I1776" s="10">
        <v>45651</v>
      </c>
    </row>
    <row r="1777" spans="1:9" x14ac:dyDescent="0.15">
      <c r="A1777" s="9">
        <v>1776</v>
      </c>
      <c r="B1777" s="9" t="s">
        <v>9</v>
      </c>
      <c r="C1777" s="9">
        <v>1928</v>
      </c>
      <c r="D1777" s="10">
        <v>45736</v>
      </c>
      <c r="E1777" s="11" t="str">
        <f>+HYPERLINK("http://trademark.i-assist.jp/data/china/image_1928th/82772261.pdf","82772261")</f>
        <v>82772261</v>
      </c>
      <c r="F1777" s="9" t="s">
        <v>4916</v>
      </c>
      <c r="G1777" s="12" t="s">
        <v>4917</v>
      </c>
      <c r="H1777" s="9" t="s">
        <v>4918</v>
      </c>
      <c r="I1777" s="10">
        <v>45651</v>
      </c>
    </row>
    <row r="1778" spans="1:9" x14ac:dyDescent="0.15">
      <c r="A1778" s="9">
        <v>1777</v>
      </c>
      <c r="B1778" s="9" t="s">
        <v>9</v>
      </c>
      <c r="C1778" s="9">
        <v>1928</v>
      </c>
      <c r="D1778" s="10">
        <v>45736</v>
      </c>
      <c r="E1778" s="11" t="str">
        <f>+HYPERLINK("http://trademark.i-assist.jp/data/china/image_1928th/82772574.pdf","82772574")</f>
        <v>82772574</v>
      </c>
      <c r="F1778" s="12" t="s">
        <v>4919</v>
      </c>
      <c r="G1778" s="9" t="s">
        <v>4902</v>
      </c>
      <c r="H1778" s="9" t="s">
        <v>4920</v>
      </c>
      <c r="I1778" s="10">
        <v>45651</v>
      </c>
    </row>
    <row r="1779" spans="1:9" x14ac:dyDescent="0.15">
      <c r="A1779" s="9">
        <v>1778</v>
      </c>
      <c r="B1779" s="9" t="s">
        <v>9</v>
      </c>
      <c r="C1779" s="9">
        <v>1928</v>
      </c>
      <c r="D1779" s="10">
        <v>45736</v>
      </c>
      <c r="E1779" s="11" t="str">
        <f>+HYPERLINK("http://trademark.i-assist.jp/data/china/image_1928th/82772609.pdf","82772609")</f>
        <v>82772609</v>
      </c>
      <c r="F1779" s="9" t="s">
        <v>4921</v>
      </c>
      <c r="G1779" s="9" t="s">
        <v>4922</v>
      </c>
      <c r="H1779" s="9" t="s">
        <v>4923</v>
      </c>
      <c r="I1779" s="10">
        <v>45651</v>
      </c>
    </row>
    <row r="1780" spans="1:9" x14ac:dyDescent="0.15">
      <c r="A1780" s="9">
        <v>1779</v>
      </c>
      <c r="B1780" s="9" t="s">
        <v>9</v>
      </c>
      <c r="C1780" s="9">
        <v>1928</v>
      </c>
      <c r="D1780" s="10">
        <v>45736</v>
      </c>
      <c r="E1780" s="11" t="str">
        <f>+HYPERLINK("http://trademark.i-assist.jp/data/china/image_1928th/82772629.pdf","82772629")</f>
        <v>82772629</v>
      </c>
      <c r="F1780" s="9" t="s">
        <v>4924</v>
      </c>
      <c r="G1780" s="12" t="s">
        <v>4690</v>
      </c>
      <c r="H1780" s="9" t="s">
        <v>4925</v>
      </c>
      <c r="I1780" s="10">
        <v>45651</v>
      </c>
    </row>
    <row r="1781" spans="1:9" x14ac:dyDescent="0.15">
      <c r="A1781" s="9">
        <v>1780</v>
      </c>
      <c r="B1781" s="9" t="s">
        <v>9</v>
      </c>
      <c r="C1781" s="9">
        <v>1928</v>
      </c>
      <c r="D1781" s="10">
        <v>45736</v>
      </c>
      <c r="E1781" s="11" t="str">
        <f>+HYPERLINK("http://trademark.i-assist.jp/data/china/image_1928th/82772856.pdf","82772856")</f>
        <v>82772856</v>
      </c>
      <c r="F1781" s="12" t="s">
        <v>4926</v>
      </c>
      <c r="G1781" s="9" t="s">
        <v>4540</v>
      </c>
      <c r="H1781" s="12" t="s">
        <v>4927</v>
      </c>
      <c r="I1781" s="10">
        <v>45651</v>
      </c>
    </row>
    <row r="1782" spans="1:9" x14ac:dyDescent="0.15">
      <c r="A1782" s="9">
        <v>1781</v>
      </c>
      <c r="B1782" s="9" t="s">
        <v>9</v>
      </c>
      <c r="C1782" s="9">
        <v>1928</v>
      </c>
      <c r="D1782" s="10">
        <v>45736</v>
      </c>
      <c r="E1782" s="11" t="str">
        <f>+HYPERLINK("http://trademark.i-assist.jp/data/china/image_1928th/82773552.pdf","82773552")</f>
        <v>82773552</v>
      </c>
      <c r="F1782" s="12" t="s">
        <v>18</v>
      </c>
      <c r="G1782" s="9" t="s">
        <v>4805</v>
      </c>
      <c r="H1782" s="9" t="s">
        <v>4928</v>
      </c>
      <c r="I1782" s="10">
        <v>45651</v>
      </c>
    </row>
    <row r="1783" spans="1:9" x14ac:dyDescent="0.15">
      <c r="A1783" s="9">
        <v>1782</v>
      </c>
      <c r="B1783" s="9" t="s">
        <v>9</v>
      </c>
      <c r="C1783" s="9">
        <v>1928</v>
      </c>
      <c r="D1783" s="10">
        <v>45736</v>
      </c>
      <c r="E1783" s="11" t="str">
        <f>+HYPERLINK("http://trademark.i-assist.jp/data/china/image_1928th/82773652.pdf","82773652")</f>
        <v>82773652</v>
      </c>
      <c r="F1783" s="12" t="s">
        <v>4929</v>
      </c>
      <c r="G1783" s="9" t="s">
        <v>4930</v>
      </c>
      <c r="H1783" s="9" t="s">
        <v>4931</v>
      </c>
      <c r="I1783" s="10">
        <v>45651</v>
      </c>
    </row>
    <row r="1784" spans="1:9" x14ac:dyDescent="0.15">
      <c r="A1784" s="9">
        <v>1783</v>
      </c>
      <c r="B1784" s="9" t="s">
        <v>9</v>
      </c>
      <c r="C1784" s="9">
        <v>1928</v>
      </c>
      <c r="D1784" s="10">
        <v>45736</v>
      </c>
      <c r="E1784" s="11" t="str">
        <f>+HYPERLINK("http://trademark.i-assist.jp/data/china/image_1928th/82773884.pdf","82773884")</f>
        <v>82773884</v>
      </c>
      <c r="F1784" s="9" t="s">
        <v>4932</v>
      </c>
      <c r="G1784" s="9" t="s">
        <v>4933</v>
      </c>
      <c r="H1784" s="9" t="s">
        <v>4934</v>
      </c>
      <c r="I1784" s="10">
        <v>45652</v>
      </c>
    </row>
    <row r="1785" spans="1:9" x14ac:dyDescent="0.15">
      <c r="A1785" s="9">
        <v>1784</v>
      </c>
      <c r="B1785" s="9" t="s">
        <v>9</v>
      </c>
      <c r="C1785" s="9">
        <v>1928</v>
      </c>
      <c r="D1785" s="10">
        <v>45736</v>
      </c>
      <c r="E1785" s="11" t="str">
        <f>+HYPERLINK("http://trademark.i-assist.jp/data/china/image_1928th/82774036.pdf","82774036")</f>
        <v>82774036</v>
      </c>
      <c r="F1785" s="12" t="s">
        <v>4935</v>
      </c>
      <c r="G1785" s="9" t="s">
        <v>4936</v>
      </c>
      <c r="H1785" s="12" t="s">
        <v>4937</v>
      </c>
      <c r="I1785" s="10">
        <v>45652</v>
      </c>
    </row>
    <row r="1786" spans="1:9" x14ac:dyDescent="0.15">
      <c r="A1786" s="9">
        <v>1785</v>
      </c>
      <c r="B1786" s="9" t="s">
        <v>9</v>
      </c>
      <c r="C1786" s="9">
        <v>1928</v>
      </c>
      <c r="D1786" s="10">
        <v>45736</v>
      </c>
      <c r="E1786" s="11" t="str">
        <f>+HYPERLINK("http://trademark.i-assist.jp/data/china/image_1928th/82774117.pdf","82774117")</f>
        <v>82774117</v>
      </c>
      <c r="F1786" s="9" t="s">
        <v>4938</v>
      </c>
      <c r="G1786" s="9" t="s">
        <v>4939</v>
      </c>
      <c r="H1786" s="9" t="s">
        <v>4940</v>
      </c>
      <c r="I1786" s="10">
        <v>45652</v>
      </c>
    </row>
    <row r="1787" spans="1:9" x14ac:dyDescent="0.15">
      <c r="A1787" s="9">
        <v>1786</v>
      </c>
      <c r="B1787" s="9" t="s">
        <v>9</v>
      </c>
      <c r="C1787" s="9">
        <v>1928</v>
      </c>
      <c r="D1787" s="10">
        <v>45736</v>
      </c>
      <c r="E1787" s="11" t="str">
        <f>+HYPERLINK("http://trademark.i-assist.jp/data/china/image_1928th/82774533.pdf","82774533")</f>
        <v>82774533</v>
      </c>
      <c r="F1787" s="9" t="s">
        <v>4941</v>
      </c>
      <c r="G1787" s="9" t="s">
        <v>4942</v>
      </c>
      <c r="H1787" s="12" t="s">
        <v>4943</v>
      </c>
      <c r="I1787" s="10">
        <v>45652</v>
      </c>
    </row>
    <row r="1788" spans="1:9" x14ac:dyDescent="0.15">
      <c r="A1788" s="9">
        <v>1787</v>
      </c>
      <c r="B1788" s="9" t="s">
        <v>9</v>
      </c>
      <c r="C1788" s="9">
        <v>1928</v>
      </c>
      <c r="D1788" s="10">
        <v>45736</v>
      </c>
      <c r="E1788" s="11" t="str">
        <f>+HYPERLINK("http://trademark.i-assist.jp/data/china/image_1928th/82774641.pdf","82774641")</f>
        <v>82774641</v>
      </c>
      <c r="F1788" s="9" t="s">
        <v>4944</v>
      </c>
      <c r="G1788" s="9" t="s">
        <v>4945</v>
      </c>
      <c r="H1788" s="12" t="s">
        <v>4946</v>
      </c>
      <c r="I1788" s="10">
        <v>45652</v>
      </c>
    </row>
    <row r="1789" spans="1:9" x14ac:dyDescent="0.15">
      <c r="A1789" s="9">
        <v>1788</v>
      </c>
      <c r="B1789" s="9" t="s">
        <v>9</v>
      </c>
      <c r="C1789" s="9">
        <v>1928</v>
      </c>
      <c r="D1789" s="10">
        <v>45736</v>
      </c>
      <c r="E1789" s="11" t="str">
        <f>+HYPERLINK("http://trademark.i-assist.jp/data/china/image_1928th/82775226.pdf","82775226")</f>
        <v>82775226</v>
      </c>
      <c r="F1789" s="9" t="s">
        <v>4947</v>
      </c>
      <c r="G1789" s="9" t="s">
        <v>4948</v>
      </c>
      <c r="H1789" s="9" t="s">
        <v>2493</v>
      </c>
      <c r="I1789" s="10">
        <v>45652</v>
      </c>
    </row>
    <row r="1790" spans="1:9" x14ac:dyDescent="0.15">
      <c r="A1790" s="9">
        <v>1789</v>
      </c>
      <c r="B1790" s="9" t="s">
        <v>9</v>
      </c>
      <c r="C1790" s="9">
        <v>1928</v>
      </c>
      <c r="D1790" s="10">
        <v>45736</v>
      </c>
      <c r="E1790" s="11" t="str">
        <f>+HYPERLINK("http://trademark.i-assist.jp/data/china/image_1928th/82775479.pdf","82775479")</f>
        <v>82775479</v>
      </c>
      <c r="F1790" s="9" t="s">
        <v>4949</v>
      </c>
      <c r="G1790" s="12" t="s">
        <v>76</v>
      </c>
      <c r="H1790" s="9" t="s">
        <v>4950</v>
      </c>
      <c r="I1790" s="10">
        <v>45652</v>
      </c>
    </row>
    <row r="1791" spans="1:9" x14ac:dyDescent="0.15">
      <c r="A1791" s="9">
        <v>1790</v>
      </c>
      <c r="B1791" s="9" t="s">
        <v>9</v>
      </c>
      <c r="C1791" s="9">
        <v>1928</v>
      </c>
      <c r="D1791" s="10">
        <v>45736</v>
      </c>
      <c r="E1791" s="11" t="str">
        <f>+HYPERLINK("http://trademark.i-assist.jp/data/china/image_1928th/82776104.pdf","82776104")</f>
        <v>82776104</v>
      </c>
      <c r="F1791" s="9" t="s">
        <v>4951</v>
      </c>
      <c r="G1791" s="9" t="s">
        <v>4952</v>
      </c>
      <c r="H1791" s="9" t="s">
        <v>4953</v>
      </c>
      <c r="I1791" s="10">
        <v>45652</v>
      </c>
    </row>
    <row r="1792" spans="1:9" x14ac:dyDescent="0.15">
      <c r="A1792" s="9">
        <v>1791</v>
      </c>
      <c r="B1792" s="9" t="s">
        <v>9</v>
      </c>
      <c r="C1792" s="9">
        <v>1928</v>
      </c>
      <c r="D1792" s="10">
        <v>45736</v>
      </c>
      <c r="E1792" s="11" t="str">
        <f>+HYPERLINK("http://trademark.i-assist.jp/data/china/image_1928th/82776207.pdf","82776207")</f>
        <v>82776207</v>
      </c>
      <c r="F1792" s="9" t="s">
        <v>4954</v>
      </c>
      <c r="G1792" s="9" t="s">
        <v>4955</v>
      </c>
      <c r="H1792" s="9" t="s">
        <v>4956</v>
      </c>
      <c r="I1792" s="10">
        <v>45652</v>
      </c>
    </row>
    <row r="1793" spans="1:9" x14ac:dyDescent="0.15">
      <c r="A1793" s="9">
        <v>1792</v>
      </c>
      <c r="B1793" s="9" t="s">
        <v>9</v>
      </c>
      <c r="C1793" s="9">
        <v>1928</v>
      </c>
      <c r="D1793" s="10">
        <v>45736</v>
      </c>
      <c r="E1793" s="11" t="str">
        <f>+HYPERLINK("http://trademark.i-assist.jp/data/china/image_1928th/82777337.pdf","82777337")</f>
        <v>82777337</v>
      </c>
      <c r="F1793" s="12" t="s">
        <v>4957</v>
      </c>
      <c r="G1793" s="9" t="s">
        <v>4958</v>
      </c>
      <c r="H1793" s="9" t="s">
        <v>4959</v>
      </c>
      <c r="I1793" s="10">
        <v>45652</v>
      </c>
    </row>
    <row r="1794" spans="1:9" x14ac:dyDescent="0.15">
      <c r="A1794" s="9">
        <v>1793</v>
      </c>
      <c r="B1794" s="9" t="s">
        <v>9</v>
      </c>
      <c r="C1794" s="9">
        <v>1928</v>
      </c>
      <c r="D1794" s="10">
        <v>45736</v>
      </c>
      <c r="E1794" s="11" t="str">
        <f>+HYPERLINK("http://trademark.i-assist.jp/data/china/image_1928th/82777346.pdf","82777346")</f>
        <v>82777346</v>
      </c>
      <c r="F1794" s="9" t="s">
        <v>4960</v>
      </c>
      <c r="G1794" s="9" t="s">
        <v>4958</v>
      </c>
      <c r="H1794" s="9" t="s">
        <v>4961</v>
      </c>
      <c r="I1794" s="10">
        <v>45652</v>
      </c>
    </row>
    <row r="1795" spans="1:9" x14ac:dyDescent="0.15">
      <c r="A1795" s="9">
        <v>1794</v>
      </c>
      <c r="B1795" s="9" t="s">
        <v>9</v>
      </c>
      <c r="C1795" s="9">
        <v>1928</v>
      </c>
      <c r="D1795" s="10">
        <v>45736</v>
      </c>
      <c r="E1795" s="11" t="str">
        <f>+HYPERLINK("http://trademark.i-assist.jp/data/china/image_1928th/82778034.pdf","82778034")</f>
        <v>82778034</v>
      </c>
      <c r="F1795" s="9" t="s">
        <v>4962</v>
      </c>
      <c r="G1795" s="9" t="s">
        <v>4963</v>
      </c>
      <c r="H1795" s="9" t="s">
        <v>4964</v>
      </c>
      <c r="I1795" s="10">
        <v>45652</v>
      </c>
    </row>
    <row r="1796" spans="1:9" x14ac:dyDescent="0.15">
      <c r="A1796" s="9">
        <v>1795</v>
      </c>
      <c r="B1796" s="9" t="s">
        <v>9</v>
      </c>
      <c r="C1796" s="9">
        <v>1928</v>
      </c>
      <c r="D1796" s="10">
        <v>45736</v>
      </c>
      <c r="E1796" s="11" t="str">
        <f>+HYPERLINK("http://trademark.i-assist.jp/data/china/image_1928th/82778767.pdf","82778767")</f>
        <v>82778767</v>
      </c>
      <c r="F1796" s="12" t="s">
        <v>4965</v>
      </c>
      <c r="G1796" s="9" t="s">
        <v>4933</v>
      </c>
      <c r="H1796" s="9" t="s">
        <v>4966</v>
      </c>
      <c r="I1796" s="10">
        <v>45652</v>
      </c>
    </row>
    <row r="1797" spans="1:9" x14ac:dyDescent="0.15">
      <c r="A1797" s="9">
        <v>1796</v>
      </c>
      <c r="B1797" s="9" t="s">
        <v>9</v>
      </c>
      <c r="C1797" s="9">
        <v>1928</v>
      </c>
      <c r="D1797" s="10">
        <v>45736</v>
      </c>
      <c r="E1797" s="11" t="str">
        <f>+HYPERLINK("http://trademark.i-assist.jp/data/china/image_1928th/82779372.pdf","82779372")</f>
        <v>82779372</v>
      </c>
      <c r="F1797" s="9" t="s">
        <v>4967</v>
      </c>
      <c r="G1797" s="9" t="s">
        <v>4968</v>
      </c>
      <c r="H1797" s="9" t="s">
        <v>4969</v>
      </c>
      <c r="I1797" s="10">
        <v>45652</v>
      </c>
    </row>
    <row r="1798" spans="1:9" x14ac:dyDescent="0.15">
      <c r="A1798" s="9">
        <v>1797</v>
      </c>
      <c r="B1798" s="9" t="s">
        <v>9</v>
      </c>
      <c r="C1798" s="9">
        <v>1928</v>
      </c>
      <c r="D1798" s="10">
        <v>45736</v>
      </c>
      <c r="E1798" s="11" t="str">
        <f>+HYPERLINK("http://trademark.i-assist.jp/data/china/image_1928th/82779418.pdf","82779418")</f>
        <v>82779418</v>
      </c>
      <c r="F1798" s="9" t="s">
        <v>4970</v>
      </c>
      <c r="G1798" s="9" t="s">
        <v>4971</v>
      </c>
      <c r="H1798" s="9" t="s">
        <v>4972</v>
      </c>
      <c r="I1798" s="10">
        <v>45652</v>
      </c>
    </row>
    <row r="1799" spans="1:9" x14ac:dyDescent="0.15">
      <c r="A1799" s="9">
        <v>1798</v>
      </c>
      <c r="B1799" s="9" t="s">
        <v>9</v>
      </c>
      <c r="C1799" s="9">
        <v>1928</v>
      </c>
      <c r="D1799" s="10">
        <v>45736</v>
      </c>
      <c r="E1799" s="11" t="str">
        <f>+HYPERLINK("http://trademark.i-assist.jp/data/china/image_1928th/82779543.pdf","82779543")</f>
        <v>82779543</v>
      </c>
      <c r="F1799" s="12" t="s">
        <v>4973</v>
      </c>
      <c r="G1799" s="9" t="s">
        <v>4974</v>
      </c>
      <c r="H1799" s="12" t="s">
        <v>4975</v>
      </c>
      <c r="I1799" s="10">
        <v>45652</v>
      </c>
    </row>
    <row r="1800" spans="1:9" x14ac:dyDescent="0.15">
      <c r="A1800" s="9">
        <v>1799</v>
      </c>
      <c r="B1800" s="9" t="s">
        <v>9</v>
      </c>
      <c r="C1800" s="9">
        <v>1928</v>
      </c>
      <c r="D1800" s="10">
        <v>45736</v>
      </c>
      <c r="E1800" s="11" t="str">
        <f>+HYPERLINK("http://trademark.i-assist.jp/data/china/image_1928th/82780917.pdf","82780917")</f>
        <v>82780917</v>
      </c>
      <c r="F1800" s="12" t="s">
        <v>18</v>
      </c>
      <c r="G1800" s="9" t="s">
        <v>4976</v>
      </c>
      <c r="H1800" s="9" t="s">
        <v>4977</v>
      </c>
      <c r="I1800" s="10">
        <v>45652</v>
      </c>
    </row>
    <row r="1801" spans="1:9" x14ac:dyDescent="0.15">
      <c r="A1801" s="9">
        <v>1800</v>
      </c>
      <c r="B1801" s="9" t="s">
        <v>9</v>
      </c>
      <c r="C1801" s="9">
        <v>1928</v>
      </c>
      <c r="D1801" s="10">
        <v>45736</v>
      </c>
      <c r="E1801" s="11" t="str">
        <f>+HYPERLINK("http://trademark.i-assist.jp/data/china/image_1928th/82781420.pdf","82781420")</f>
        <v>82781420</v>
      </c>
      <c r="F1801" s="12" t="s">
        <v>4978</v>
      </c>
      <c r="G1801" s="9" t="s">
        <v>4958</v>
      </c>
      <c r="H1801" s="9" t="s">
        <v>4979</v>
      </c>
      <c r="I1801" s="10">
        <v>45652</v>
      </c>
    </row>
    <row r="1802" spans="1:9" x14ac:dyDescent="0.15">
      <c r="A1802" s="9">
        <v>1801</v>
      </c>
      <c r="B1802" s="9" t="s">
        <v>9</v>
      </c>
      <c r="C1802" s="9">
        <v>1928</v>
      </c>
      <c r="D1802" s="10">
        <v>45736</v>
      </c>
      <c r="E1802" s="11" t="str">
        <f>+HYPERLINK("http://trademark.i-assist.jp/data/china/image_1928th/82781899.pdf","82781899")</f>
        <v>82781899</v>
      </c>
      <c r="F1802" s="12" t="s">
        <v>4980</v>
      </c>
      <c r="G1802" s="9" t="s">
        <v>4981</v>
      </c>
      <c r="H1802" s="9" t="s">
        <v>4982</v>
      </c>
      <c r="I1802" s="10">
        <v>45652</v>
      </c>
    </row>
    <row r="1803" spans="1:9" x14ac:dyDescent="0.15">
      <c r="A1803" s="9">
        <v>1802</v>
      </c>
      <c r="B1803" s="9" t="s">
        <v>9</v>
      </c>
      <c r="C1803" s="9">
        <v>1928</v>
      </c>
      <c r="D1803" s="10">
        <v>45736</v>
      </c>
      <c r="E1803" s="11" t="str">
        <f>+HYPERLINK("http://trademark.i-assist.jp/data/china/image_1928th/82782450.pdf","82782450")</f>
        <v>82782450</v>
      </c>
      <c r="F1803" s="9" t="s">
        <v>4983</v>
      </c>
      <c r="G1803" s="9" t="s">
        <v>608</v>
      </c>
      <c r="H1803" s="9" t="s">
        <v>4984</v>
      </c>
      <c r="I1803" s="10">
        <v>45652</v>
      </c>
    </row>
    <row r="1804" spans="1:9" x14ac:dyDescent="0.15">
      <c r="A1804" s="9">
        <v>1803</v>
      </c>
      <c r="B1804" s="9" t="s">
        <v>9</v>
      </c>
      <c r="C1804" s="9">
        <v>1928</v>
      </c>
      <c r="D1804" s="10">
        <v>45736</v>
      </c>
      <c r="E1804" s="11" t="str">
        <f>+HYPERLINK("http://trademark.i-assist.jp/data/china/image_1928th/82782806.pdf","82782806")</f>
        <v>82782806</v>
      </c>
      <c r="F1804" s="9" t="s">
        <v>4985</v>
      </c>
      <c r="G1804" s="12" t="s">
        <v>4986</v>
      </c>
      <c r="H1804" s="9" t="s">
        <v>4987</v>
      </c>
      <c r="I1804" s="10">
        <v>45652</v>
      </c>
    </row>
    <row r="1805" spans="1:9" x14ac:dyDescent="0.15">
      <c r="A1805" s="9">
        <v>1804</v>
      </c>
      <c r="B1805" s="9" t="s">
        <v>9</v>
      </c>
      <c r="C1805" s="9">
        <v>1928</v>
      </c>
      <c r="D1805" s="10">
        <v>45736</v>
      </c>
      <c r="E1805" s="11" t="str">
        <f>+HYPERLINK("http://trademark.i-assist.jp/data/china/image_1928th/82783459.pdf","82783459")</f>
        <v>82783459</v>
      </c>
      <c r="F1805" s="9" t="s">
        <v>4988</v>
      </c>
      <c r="G1805" s="9" t="s">
        <v>4989</v>
      </c>
      <c r="H1805" s="9" t="s">
        <v>4990</v>
      </c>
      <c r="I1805" s="10">
        <v>45652</v>
      </c>
    </row>
    <row r="1806" spans="1:9" x14ac:dyDescent="0.15">
      <c r="A1806" s="9">
        <v>1805</v>
      </c>
      <c r="B1806" s="9" t="s">
        <v>9</v>
      </c>
      <c r="C1806" s="9">
        <v>1928</v>
      </c>
      <c r="D1806" s="10">
        <v>45736</v>
      </c>
      <c r="E1806" s="11" t="str">
        <f>+HYPERLINK("http://trademark.i-assist.jp/data/china/image_1928th/82784288.pdf","82784288")</f>
        <v>82784288</v>
      </c>
      <c r="F1806" s="9" t="s">
        <v>4991</v>
      </c>
      <c r="G1806" s="9" t="s">
        <v>4958</v>
      </c>
      <c r="H1806" s="9" t="s">
        <v>4992</v>
      </c>
      <c r="I1806" s="10">
        <v>45652</v>
      </c>
    </row>
    <row r="1807" spans="1:9" x14ac:dyDescent="0.15">
      <c r="A1807" s="9">
        <v>1806</v>
      </c>
      <c r="B1807" s="9" t="s">
        <v>9</v>
      </c>
      <c r="C1807" s="9">
        <v>1928</v>
      </c>
      <c r="D1807" s="10">
        <v>45736</v>
      </c>
      <c r="E1807" s="11" t="str">
        <f>+HYPERLINK("http://trademark.i-assist.jp/data/china/image_1928th/82784496.pdf","82784496")</f>
        <v>82784496</v>
      </c>
      <c r="F1807" s="9" t="s">
        <v>4993</v>
      </c>
      <c r="G1807" s="12" t="s">
        <v>4994</v>
      </c>
      <c r="H1807" s="9" t="s">
        <v>4995</v>
      </c>
      <c r="I1807" s="10">
        <v>45652</v>
      </c>
    </row>
    <row r="1808" spans="1:9" x14ac:dyDescent="0.15">
      <c r="A1808" s="9">
        <v>1807</v>
      </c>
      <c r="B1808" s="9" t="s">
        <v>9</v>
      </c>
      <c r="C1808" s="9">
        <v>1928</v>
      </c>
      <c r="D1808" s="10">
        <v>45736</v>
      </c>
      <c r="E1808" s="11" t="str">
        <f>+HYPERLINK("http://trademark.i-assist.jp/data/china/image_1928th/82784533.pdf","82784533")</f>
        <v>82784533</v>
      </c>
      <c r="F1808" s="12" t="s">
        <v>4996</v>
      </c>
      <c r="G1808" s="9" t="s">
        <v>4997</v>
      </c>
      <c r="H1808" s="9" t="s">
        <v>4998</v>
      </c>
      <c r="I1808" s="10">
        <v>45652</v>
      </c>
    </row>
    <row r="1809" spans="1:9" x14ac:dyDescent="0.15">
      <c r="A1809" s="9">
        <v>1808</v>
      </c>
      <c r="B1809" s="9" t="s">
        <v>9</v>
      </c>
      <c r="C1809" s="9">
        <v>1928</v>
      </c>
      <c r="D1809" s="10">
        <v>45736</v>
      </c>
      <c r="E1809" s="11" t="str">
        <f>+HYPERLINK("http://trademark.i-assist.jp/data/china/image_1928th/82784886.pdf","82784886")</f>
        <v>82784886</v>
      </c>
      <c r="F1809" s="12" t="s">
        <v>18</v>
      </c>
      <c r="G1809" s="9" t="s">
        <v>4999</v>
      </c>
      <c r="H1809" s="9" t="s">
        <v>5000</v>
      </c>
      <c r="I1809" s="10">
        <v>45652</v>
      </c>
    </row>
    <row r="1810" spans="1:9" x14ac:dyDescent="0.15">
      <c r="A1810" s="9">
        <v>1809</v>
      </c>
      <c r="B1810" s="9" t="s">
        <v>9</v>
      </c>
      <c r="C1810" s="9">
        <v>1928</v>
      </c>
      <c r="D1810" s="10">
        <v>45736</v>
      </c>
      <c r="E1810" s="11" t="str">
        <f>+HYPERLINK("http://trademark.i-assist.jp/data/china/image_1928th/82784935.pdf","82784935")</f>
        <v>82784935</v>
      </c>
      <c r="F1810" s="9" t="s">
        <v>5001</v>
      </c>
      <c r="G1810" s="9" t="s">
        <v>5002</v>
      </c>
      <c r="H1810" s="9" t="s">
        <v>5003</v>
      </c>
      <c r="I1810" s="10">
        <v>45652</v>
      </c>
    </row>
    <row r="1811" spans="1:9" x14ac:dyDescent="0.15">
      <c r="A1811" s="9">
        <v>1810</v>
      </c>
      <c r="B1811" s="9" t="s">
        <v>9</v>
      </c>
      <c r="C1811" s="9">
        <v>1928</v>
      </c>
      <c r="D1811" s="10">
        <v>45736</v>
      </c>
      <c r="E1811" s="11" t="str">
        <f>+HYPERLINK("http://trademark.i-assist.jp/data/china/image_1928th/82785588.pdf","82785588")</f>
        <v>82785588</v>
      </c>
      <c r="F1811" s="9" t="s">
        <v>5004</v>
      </c>
      <c r="G1811" s="9" t="s">
        <v>5005</v>
      </c>
      <c r="H1811" s="9" t="s">
        <v>5006</v>
      </c>
      <c r="I1811" s="10">
        <v>45652</v>
      </c>
    </row>
    <row r="1812" spans="1:9" x14ac:dyDescent="0.15">
      <c r="A1812" s="9">
        <v>1811</v>
      </c>
      <c r="B1812" s="9" t="s">
        <v>9</v>
      </c>
      <c r="C1812" s="9">
        <v>1928</v>
      </c>
      <c r="D1812" s="10">
        <v>45736</v>
      </c>
      <c r="E1812" s="11" t="str">
        <f>+HYPERLINK("http://trademark.i-assist.jp/data/china/image_1928th/82786019.pdf","82786019")</f>
        <v>82786019</v>
      </c>
      <c r="F1812" s="9" t="s">
        <v>5007</v>
      </c>
      <c r="G1812" s="12" t="s">
        <v>5008</v>
      </c>
      <c r="H1812" s="9" t="s">
        <v>5009</v>
      </c>
      <c r="I1812" s="10">
        <v>45652</v>
      </c>
    </row>
    <row r="1813" spans="1:9" x14ac:dyDescent="0.15">
      <c r="A1813" s="9">
        <v>1812</v>
      </c>
      <c r="B1813" s="9" t="s">
        <v>9</v>
      </c>
      <c r="C1813" s="9">
        <v>1928</v>
      </c>
      <c r="D1813" s="10">
        <v>45736</v>
      </c>
      <c r="E1813" s="11" t="str">
        <f>+HYPERLINK("http://trademark.i-assist.jp/data/china/image_1928th/82786635.pdf","82786635")</f>
        <v>82786635</v>
      </c>
      <c r="F1813" s="9" t="s">
        <v>5010</v>
      </c>
      <c r="G1813" s="9" t="s">
        <v>5011</v>
      </c>
      <c r="H1813" s="9" t="s">
        <v>5012</v>
      </c>
      <c r="I1813" s="10">
        <v>45652</v>
      </c>
    </row>
    <row r="1814" spans="1:9" x14ac:dyDescent="0.15">
      <c r="A1814" s="9">
        <v>1813</v>
      </c>
      <c r="B1814" s="9" t="s">
        <v>9</v>
      </c>
      <c r="C1814" s="9">
        <v>1928</v>
      </c>
      <c r="D1814" s="10">
        <v>45736</v>
      </c>
      <c r="E1814" s="11" t="str">
        <f>+HYPERLINK("http://trademark.i-assist.jp/data/china/image_1928th/82786917.pdf","82786917")</f>
        <v>82786917</v>
      </c>
      <c r="F1814" s="9" t="s">
        <v>5013</v>
      </c>
      <c r="G1814" s="9" t="s">
        <v>5014</v>
      </c>
      <c r="H1814" s="9" t="s">
        <v>5015</v>
      </c>
      <c r="I1814" s="10">
        <v>45652</v>
      </c>
    </row>
    <row r="1815" spans="1:9" x14ac:dyDescent="0.15">
      <c r="A1815" s="9">
        <v>1814</v>
      </c>
      <c r="B1815" s="9" t="s">
        <v>9</v>
      </c>
      <c r="C1815" s="9">
        <v>1928</v>
      </c>
      <c r="D1815" s="10">
        <v>45736</v>
      </c>
      <c r="E1815" s="11" t="str">
        <f>+HYPERLINK("http://trademark.i-assist.jp/data/china/image_1928th/82787802.pdf","82787802")</f>
        <v>82787802</v>
      </c>
      <c r="F1815" s="12" t="s">
        <v>18</v>
      </c>
      <c r="G1815" s="9" t="s">
        <v>5016</v>
      </c>
      <c r="H1815" s="9" t="s">
        <v>5017</v>
      </c>
      <c r="I1815" s="10">
        <v>45652</v>
      </c>
    </row>
    <row r="1816" spans="1:9" x14ac:dyDescent="0.15">
      <c r="A1816" s="9">
        <v>1815</v>
      </c>
      <c r="B1816" s="9" t="s">
        <v>9</v>
      </c>
      <c r="C1816" s="9">
        <v>1928</v>
      </c>
      <c r="D1816" s="10">
        <v>45736</v>
      </c>
      <c r="E1816" s="11" t="str">
        <f>+HYPERLINK("http://trademark.i-assist.jp/data/china/image_1928th/82787931.pdf","82787931")</f>
        <v>82787931</v>
      </c>
      <c r="F1816" s="9" t="s">
        <v>5018</v>
      </c>
      <c r="G1816" s="9" t="s">
        <v>5019</v>
      </c>
      <c r="H1816" s="9" t="s">
        <v>5020</v>
      </c>
      <c r="I1816" s="10">
        <v>45652</v>
      </c>
    </row>
    <row r="1817" spans="1:9" x14ac:dyDescent="0.15">
      <c r="A1817" s="9">
        <v>1816</v>
      </c>
      <c r="B1817" s="9" t="s">
        <v>9</v>
      </c>
      <c r="C1817" s="9">
        <v>1928</v>
      </c>
      <c r="D1817" s="10">
        <v>45736</v>
      </c>
      <c r="E1817" s="11" t="str">
        <f>+HYPERLINK("http://trademark.i-assist.jp/data/china/image_1928th/82787997.pdf","82787997")</f>
        <v>82787997</v>
      </c>
      <c r="F1817" s="9" t="s">
        <v>5021</v>
      </c>
      <c r="G1817" s="9" t="s">
        <v>5022</v>
      </c>
      <c r="H1817" s="9" t="s">
        <v>5023</v>
      </c>
      <c r="I1817" s="10">
        <v>45652</v>
      </c>
    </row>
    <row r="1818" spans="1:9" x14ac:dyDescent="0.15">
      <c r="A1818" s="9">
        <v>1817</v>
      </c>
      <c r="B1818" s="9" t="s">
        <v>9</v>
      </c>
      <c r="C1818" s="9">
        <v>1928</v>
      </c>
      <c r="D1818" s="10">
        <v>45736</v>
      </c>
      <c r="E1818" s="11" t="str">
        <f>+HYPERLINK("http://trademark.i-assist.jp/data/china/image_1928th/82788181.pdf","82788181")</f>
        <v>82788181</v>
      </c>
      <c r="F1818" s="9" t="s">
        <v>4985</v>
      </c>
      <c r="G1818" s="12" t="s">
        <v>4986</v>
      </c>
      <c r="H1818" s="9" t="s">
        <v>5024</v>
      </c>
      <c r="I1818" s="10">
        <v>45652</v>
      </c>
    </row>
    <row r="1819" spans="1:9" x14ac:dyDescent="0.15">
      <c r="A1819" s="9">
        <v>1818</v>
      </c>
      <c r="B1819" s="9" t="s">
        <v>9</v>
      </c>
      <c r="C1819" s="9">
        <v>1928</v>
      </c>
      <c r="D1819" s="10">
        <v>45736</v>
      </c>
      <c r="E1819" s="11" t="str">
        <f>+HYPERLINK("http://trademark.i-assist.jp/data/china/image_1928th/82788629.pdf","82788629")</f>
        <v>82788629</v>
      </c>
      <c r="F1819" s="9" t="s">
        <v>5025</v>
      </c>
      <c r="G1819" s="9" t="s">
        <v>5026</v>
      </c>
      <c r="H1819" s="9" t="s">
        <v>5027</v>
      </c>
      <c r="I1819" s="10">
        <v>45652</v>
      </c>
    </row>
    <row r="1820" spans="1:9" x14ac:dyDescent="0.15">
      <c r="A1820" s="9">
        <v>1819</v>
      </c>
      <c r="B1820" s="9" t="s">
        <v>9</v>
      </c>
      <c r="C1820" s="9">
        <v>1928</v>
      </c>
      <c r="D1820" s="10">
        <v>45736</v>
      </c>
      <c r="E1820" s="11" t="str">
        <f>+HYPERLINK("http://trademark.i-assist.jp/data/china/image_1928th/82788849.pdf","82788849")</f>
        <v>82788849</v>
      </c>
      <c r="F1820" s="12" t="s">
        <v>18</v>
      </c>
      <c r="G1820" s="9" t="s">
        <v>5028</v>
      </c>
      <c r="H1820" s="9" t="s">
        <v>5029</v>
      </c>
      <c r="I1820" s="10">
        <v>45652</v>
      </c>
    </row>
    <row r="1821" spans="1:9" x14ac:dyDescent="0.15">
      <c r="A1821" s="9">
        <v>1820</v>
      </c>
      <c r="B1821" s="9" t="s">
        <v>9</v>
      </c>
      <c r="C1821" s="9">
        <v>1928</v>
      </c>
      <c r="D1821" s="10">
        <v>45736</v>
      </c>
      <c r="E1821" s="11" t="str">
        <f>+HYPERLINK("http://trademark.i-assist.jp/data/china/image_1928th/82788895.pdf","82788895")</f>
        <v>82788895</v>
      </c>
      <c r="F1821" s="9" t="s">
        <v>5030</v>
      </c>
      <c r="G1821" s="9" t="s">
        <v>5031</v>
      </c>
      <c r="H1821" s="12" t="s">
        <v>5032</v>
      </c>
      <c r="I1821" s="10">
        <v>45652</v>
      </c>
    </row>
    <row r="1822" spans="1:9" x14ac:dyDescent="0.15">
      <c r="A1822" s="9">
        <v>1821</v>
      </c>
      <c r="B1822" s="9" t="s">
        <v>9</v>
      </c>
      <c r="C1822" s="9">
        <v>1928</v>
      </c>
      <c r="D1822" s="10">
        <v>45736</v>
      </c>
      <c r="E1822" s="11" t="str">
        <f>+HYPERLINK("http://trademark.i-assist.jp/data/china/image_1928th/82789012.pdf","82789012")</f>
        <v>82789012</v>
      </c>
      <c r="F1822" s="9" t="s">
        <v>5033</v>
      </c>
      <c r="G1822" s="9" t="s">
        <v>5034</v>
      </c>
      <c r="H1822" s="9" t="s">
        <v>5035</v>
      </c>
      <c r="I1822" s="10">
        <v>45652</v>
      </c>
    </row>
    <row r="1823" spans="1:9" x14ac:dyDescent="0.15">
      <c r="A1823" s="9">
        <v>1822</v>
      </c>
      <c r="B1823" s="9" t="s">
        <v>9</v>
      </c>
      <c r="C1823" s="9">
        <v>1928</v>
      </c>
      <c r="D1823" s="10">
        <v>45736</v>
      </c>
      <c r="E1823" s="11" t="str">
        <f>+HYPERLINK("http://trademark.i-assist.jp/data/china/image_1928th/82789053.pdf","82789053")</f>
        <v>82789053</v>
      </c>
      <c r="F1823" s="9" t="s">
        <v>5036</v>
      </c>
      <c r="G1823" s="9" t="s">
        <v>5037</v>
      </c>
      <c r="H1823" s="9" t="s">
        <v>5038</v>
      </c>
      <c r="I1823" s="10">
        <v>45652</v>
      </c>
    </row>
    <row r="1824" spans="1:9" x14ac:dyDescent="0.15">
      <c r="A1824" s="9">
        <v>1823</v>
      </c>
      <c r="B1824" s="9" t="s">
        <v>9</v>
      </c>
      <c r="C1824" s="9">
        <v>1928</v>
      </c>
      <c r="D1824" s="10">
        <v>45736</v>
      </c>
      <c r="E1824" s="11" t="str">
        <f>+HYPERLINK("http://trademark.i-assist.jp/data/china/image_1928th/82789343.pdf","82789343")</f>
        <v>82789343</v>
      </c>
      <c r="F1824" s="9" t="s">
        <v>5039</v>
      </c>
      <c r="G1824" s="9" t="s">
        <v>5040</v>
      </c>
      <c r="H1824" s="9" t="s">
        <v>5041</v>
      </c>
      <c r="I1824" s="10">
        <v>45652</v>
      </c>
    </row>
    <row r="1825" spans="1:9" x14ac:dyDescent="0.15">
      <c r="A1825" s="9">
        <v>1824</v>
      </c>
      <c r="B1825" s="9" t="s">
        <v>9</v>
      </c>
      <c r="C1825" s="9">
        <v>1928</v>
      </c>
      <c r="D1825" s="10">
        <v>45736</v>
      </c>
      <c r="E1825" s="11" t="str">
        <f>+HYPERLINK("http://trademark.i-assist.jp/data/china/image_1928th/82790219.pdf","82790219")</f>
        <v>82790219</v>
      </c>
      <c r="F1825" s="9" t="s">
        <v>5042</v>
      </c>
      <c r="G1825" s="9" t="s">
        <v>5043</v>
      </c>
      <c r="H1825" s="9" t="s">
        <v>5044</v>
      </c>
      <c r="I1825" s="10">
        <v>45652</v>
      </c>
    </row>
    <row r="1826" spans="1:9" x14ac:dyDescent="0.15">
      <c r="A1826" s="9">
        <v>1825</v>
      </c>
      <c r="B1826" s="9" t="s">
        <v>9</v>
      </c>
      <c r="C1826" s="9">
        <v>1928</v>
      </c>
      <c r="D1826" s="10">
        <v>45736</v>
      </c>
      <c r="E1826" s="11" t="str">
        <f>+HYPERLINK("http://trademark.i-assist.jp/data/china/image_1928th/82790629.pdf","82790629")</f>
        <v>82790629</v>
      </c>
      <c r="F1826" s="9" t="s">
        <v>5045</v>
      </c>
      <c r="G1826" s="9" t="s">
        <v>4958</v>
      </c>
      <c r="H1826" s="9" t="s">
        <v>5046</v>
      </c>
      <c r="I1826" s="10">
        <v>45652</v>
      </c>
    </row>
    <row r="1827" spans="1:9" x14ac:dyDescent="0.15">
      <c r="A1827" s="9">
        <v>1826</v>
      </c>
      <c r="B1827" s="9" t="s">
        <v>9</v>
      </c>
      <c r="C1827" s="9">
        <v>1928</v>
      </c>
      <c r="D1827" s="10">
        <v>45736</v>
      </c>
      <c r="E1827" s="11" t="str">
        <f>+HYPERLINK("http://trademark.i-assist.jp/data/china/image_1928th/82790791.pdf","82790791")</f>
        <v>82790791</v>
      </c>
      <c r="F1827" s="9" t="s">
        <v>5047</v>
      </c>
      <c r="G1827" s="12" t="s">
        <v>76</v>
      </c>
      <c r="H1827" s="9" t="s">
        <v>5048</v>
      </c>
      <c r="I1827" s="10">
        <v>45652</v>
      </c>
    </row>
    <row r="1828" spans="1:9" x14ac:dyDescent="0.15">
      <c r="A1828" s="9">
        <v>1827</v>
      </c>
      <c r="B1828" s="9" t="s">
        <v>9</v>
      </c>
      <c r="C1828" s="9">
        <v>1928</v>
      </c>
      <c r="D1828" s="10">
        <v>45736</v>
      </c>
      <c r="E1828" s="11" t="str">
        <f>+HYPERLINK("http://trademark.i-assist.jp/data/china/image_1928th/82791375.pdf","82791375")</f>
        <v>82791375</v>
      </c>
      <c r="F1828" s="12" t="s">
        <v>5049</v>
      </c>
      <c r="G1828" s="12" t="s">
        <v>5050</v>
      </c>
      <c r="H1828" s="9" t="s">
        <v>5051</v>
      </c>
      <c r="I1828" s="10">
        <v>45652</v>
      </c>
    </row>
    <row r="1829" spans="1:9" x14ac:dyDescent="0.15">
      <c r="A1829" s="9">
        <v>1828</v>
      </c>
      <c r="B1829" s="9" t="s">
        <v>9</v>
      </c>
      <c r="C1829" s="9">
        <v>1928</v>
      </c>
      <c r="D1829" s="10">
        <v>45736</v>
      </c>
      <c r="E1829" s="11" t="str">
        <f>+HYPERLINK("http://trademark.i-assist.jp/data/china/image_1928th/82791493.pdf","82791493")</f>
        <v>82791493</v>
      </c>
      <c r="F1829" s="9" t="s">
        <v>5052</v>
      </c>
      <c r="G1829" s="9" t="s">
        <v>5053</v>
      </c>
      <c r="H1829" s="9" t="s">
        <v>5054</v>
      </c>
      <c r="I1829" s="10">
        <v>45652</v>
      </c>
    </row>
    <row r="1830" spans="1:9" x14ac:dyDescent="0.15">
      <c r="A1830" s="9">
        <v>1829</v>
      </c>
      <c r="B1830" s="9" t="s">
        <v>9</v>
      </c>
      <c r="C1830" s="9">
        <v>1928</v>
      </c>
      <c r="D1830" s="10">
        <v>45736</v>
      </c>
      <c r="E1830" s="11" t="str">
        <f>+HYPERLINK("http://trademark.i-assist.jp/data/china/image_1928th/82791620.pdf","82791620")</f>
        <v>82791620</v>
      </c>
      <c r="F1830" s="9" t="s">
        <v>5055</v>
      </c>
      <c r="G1830" s="9" t="s">
        <v>4933</v>
      </c>
      <c r="H1830" s="12" t="s">
        <v>5056</v>
      </c>
      <c r="I1830" s="10">
        <v>45652</v>
      </c>
    </row>
    <row r="1831" spans="1:9" x14ac:dyDescent="0.15">
      <c r="A1831" s="9">
        <v>1830</v>
      </c>
      <c r="B1831" s="9" t="s">
        <v>9</v>
      </c>
      <c r="C1831" s="9">
        <v>1928</v>
      </c>
      <c r="D1831" s="10">
        <v>45736</v>
      </c>
      <c r="E1831" s="11" t="str">
        <f>+HYPERLINK("http://trademark.i-assist.jp/data/china/image_1928th/82792059.pdf","82792059")</f>
        <v>82792059</v>
      </c>
      <c r="F1831" s="9" t="s">
        <v>5057</v>
      </c>
      <c r="G1831" s="12" t="s">
        <v>5058</v>
      </c>
      <c r="H1831" s="9" t="s">
        <v>5059</v>
      </c>
      <c r="I1831" s="10">
        <v>45652</v>
      </c>
    </row>
    <row r="1832" spans="1:9" x14ac:dyDescent="0.15">
      <c r="A1832" s="9">
        <v>1831</v>
      </c>
      <c r="B1832" s="9" t="s">
        <v>9</v>
      </c>
      <c r="C1832" s="9">
        <v>1928</v>
      </c>
      <c r="D1832" s="10">
        <v>45736</v>
      </c>
      <c r="E1832" s="11" t="str">
        <f>+HYPERLINK("http://trademark.i-assist.jp/data/china/image_1928th/82792199.pdf","82792199")</f>
        <v>82792199</v>
      </c>
      <c r="F1832" s="9" t="s">
        <v>5060</v>
      </c>
      <c r="G1832" s="9" t="s">
        <v>5061</v>
      </c>
      <c r="H1832" s="9" t="s">
        <v>5062</v>
      </c>
      <c r="I1832" s="10">
        <v>45652</v>
      </c>
    </row>
    <row r="1833" spans="1:9" x14ac:dyDescent="0.15">
      <c r="A1833" s="9">
        <v>1832</v>
      </c>
      <c r="B1833" s="9" t="s">
        <v>9</v>
      </c>
      <c r="C1833" s="9">
        <v>1928</v>
      </c>
      <c r="D1833" s="10">
        <v>45736</v>
      </c>
      <c r="E1833" s="11" t="str">
        <f>+HYPERLINK("http://trademark.i-assist.jp/data/china/image_1928th/82792273.pdf","82792273")</f>
        <v>82792273</v>
      </c>
      <c r="F1833" s="9" t="s">
        <v>5063</v>
      </c>
      <c r="G1833" s="9" t="s">
        <v>5064</v>
      </c>
      <c r="H1833" s="9" t="s">
        <v>5065</v>
      </c>
      <c r="I1833" s="10">
        <v>45652</v>
      </c>
    </row>
    <row r="1834" spans="1:9" x14ac:dyDescent="0.15">
      <c r="A1834" s="9">
        <v>1833</v>
      </c>
      <c r="B1834" s="9" t="s">
        <v>9</v>
      </c>
      <c r="C1834" s="9">
        <v>1928</v>
      </c>
      <c r="D1834" s="10">
        <v>45736</v>
      </c>
      <c r="E1834" s="11" t="str">
        <f>+HYPERLINK("http://trademark.i-assist.jp/data/china/image_1928th/82792992.pdf","82792992")</f>
        <v>82792992</v>
      </c>
      <c r="F1834" s="9" t="s">
        <v>5066</v>
      </c>
      <c r="G1834" s="9" t="s">
        <v>4933</v>
      </c>
      <c r="H1834" s="9" t="s">
        <v>5067</v>
      </c>
      <c r="I1834" s="10">
        <v>45652</v>
      </c>
    </row>
    <row r="1835" spans="1:9" x14ac:dyDescent="0.15">
      <c r="A1835" s="9">
        <v>1834</v>
      </c>
      <c r="B1835" s="9" t="s">
        <v>9</v>
      </c>
      <c r="C1835" s="9">
        <v>1928</v>
      </c>
      <c r="D1835" s="10">
        <v>45736</v>
      </c>
      <c r="E1835" s="11" t="str">
        <f>+HYPERLINK("http://trademark.i-assist.jp/data/china/image_1928th/82793260.pdf","82793260")</f>
        <v>82793260</v>
      </c>
      <c r="F1835" s="9" t="s">
        <v>5068</v>
      </c>
      <c r="G1835" s="12" t="s">
        <v>5069</v>
      </c>
      <c r="H1835" s="9" t="s">
        <v>5070</v>
      </c>
      <c r="I1835" s="10">
        <v>45652</v>
      </c>
    </row>
    <row r="1836" spans="1:9" x14ac:dyDescent="0.15">
      <c r="A1836" s="9">
        <v>1835</v>
      </c>
      <c r="B1836" s="9" t="s">
        <v>9</v>
      </c>
      <c r="C1836" s="9">
        <v>1928</v>
      </c>
      <c r="D1836" s="10">
        <v>45736</v>
      </c>
      <c r="E1836" s="11" t="str">
        <f>+HYPERLINK("http://trademark.i-assist.jp/data/china/image_1928th/82793999.pdf","82793999")</f>
        <v>82793999</v>
      </c>
      <c r="F1836" s="9" t="s">
        <v>5071</v>
      </c>
      <c r="G1836" s="9" t="s">
        <v>5072</v>
      </c>
      <c r="H1836" s="9" t="s">
        <v>5073</v>
      </c>
      <c r="I1836" s="10">
        <v>45652</v>
      </c>
    </row>
    <row r="1837" spans="1:9" x14ac:dyDescent="0.15">
      <c r="A1837" s="9">
        <v>1836</v>
      </c>
      <c r="B1837" s="9" t="s">
        <v>9</v>
      </c>
      <c r="C1837" s="9">
        <v>1928</v>
      </c>
      <c r="D1837" s="10">
        <v>45736</v>
      </c>
      <c r="E1837" s="11" t="str">
        <f>+HYPERLINK("http://trademark.i-assist.jp/data/china/image_1928th/82794373.pdf","82794373")</f>
        <v>82794373</v>
      </c>
      <c r="F1837" s="12" t="s">
        <v>5074</v>
      </c>
      <c r="G1837" s="9" t="s">
        <v>5075</v>
      </c>
      <c r="H1837" s="9" t="s">
        <v>5076</v>
      </c>
      <c r="I1837" s="10">
        <v>45652</v>
      </c>
    </row>
    <row r="1838" spans="1:9" x14ac:dyDescent="0.15">
      <c r="A1838" s="9">
        <v>1837</v>
      </c>
      <c r="B1838" s="9" t="s">
        <v>9</v>
      </c>
      <c r="C1838" s="9">
        <v>1928</v>
      </c>
      <c r="D1838" s="10">
        <v>45736</v>
      </c>
      <c r="E1838" s="11" t="str">
        <f>+HYPERLINK("http://trademark.i-assist.jp/data/china/image_1928th/82794707.pdf","82794707")</f>
        <v>82794707</v>
      </c>
      <c r="F1838" s="9" t="s">
        <v>5077</v>
      </c>
      <c r="G1838" s="9" t="s">
        <v>5078</v>
      </c>
      <c r="H1838" s="9" t="s">
        <v>5079</v>
      </c>
      <c r="I1838" s="10">
        <v>45652</v>
      </c>
    </row>
    <row r="1839" spans="1:9" x14ac:dyDescent="0.15">
      <c r="A1839" s="9">
        <v>1838</v>
      </c>
      <c r="B1839" s="9" t="s">
        <v>9</v>
      </c>
      <c r="C1839" s="9">
        <v>1928</v>
      </c>
      <c r="D1839" s="10">
        <v>45736</v>
      </c>
      <c r="E1839" s="11" t="str">
        <f>+HYPERLINK("http://trademark.i-assist.jp/data/china/image_1928th/82794941.pdf","82794941")</f>
        <v>82794941</v>
      </c>
      <c r="F1839" s="13" t="s">
        <v>5080</v>
      </c>
      <c r="G1839" s="12" t="s">
        <v>5081</v>
      </c>
      <c r="H1839" s="9" t="s">
        <v>5082</v>
      </c>
      <c r="I1839" s="10">
        <v>45652</v>
      </c>
    </row>
    <row r="1840" spans="1:9" x14ac:dyDescent="0.15">
      <c r="A1840" s="9">
        <v>1839</v>
      </c>
      <c r="B1840" s="9" t="s">
        <v>9</v>
      </c>
      <c r="C1840" s="9">
        <v>1928</v>
      </c>
      <c r="D1840" s="10">
        <v>45736</v>
      </c>
      <c r="E1840" s="11" t="str">
        <f>+HYPERLINK("http://trademark.i-assist.jp/data/china/image_1928th/82795234.pdf","82795234")</f>
        <v>82795234</v>
      </c>
      <c r="F1840" s="9" t="s">
        <v>5083</v>
      </c>
      <c r="G1840" s="9" t="s">
        <v>4933</v>
      </c>
      <c r="H1840" s="9" t="s">
        <v>5084</v>
      </c>
      <c r="I1840" s="10">
        <v>45652</v>
      </c>
    </row>
    <row r="1841" spans="1:9" x14ac:dyDescent="0.15">
      <c r="A1841" s="9">
        <v>1840</v>
      </c>
      <c r="B1841" s="9" t="s">
        <v>9</v>
      </c>
      <c r="C1841" s="9">
        <v>1928</v>
      </c>
      <c r="D1841" s="10">
        <v>45736</v>
      </c>
      <c r="E1841" s="11" t="str">
        <f>+HYPERLINK("http://trademark.i-assist.jp/data/china/image_1928th/82795564.pdf","82795564")</f>
        <v>82795564</v>
      </c>
      <c r="F1841" s="12" t="s">
        <v>5085</v>
      </c>
      <c r="G1841" s="9" t="s">
        <v>5086</v>
      </c>
      <c r="H1841" s="9" t="s">
        <v>5087</v>
      </c>
      <c r="I1841" s="10">
        <v>45652</v>
      </c>
    </row>
    <row r="1842" spans="1:9" x14ac:dyDescent="0.15">
      <c r="A1842" s="9">
        <v>1841</v>
      </c>
      <c r="B1842" s="9" t="s">
        <v>9</v>
      </c>
      <c r="C1842" s="9">
        <v>1928</v>
      </c>
      <c r="D1842" s="10">
        <v>45736</v>
      </c>
      <c r="E1842" s="11" t="str">
        <f>+HYPERLINK("http://trademark.i-assist.jp/data/china/image_1928th/82795927.pdf","82795927")</f>
        <v>82795927</v>
      </c>
      <c r="F1842" s="12" t="s">
        <v>5088</v>
      </c>
      <c r="G1842" s="9" t="s">
        <v>5089</v>
      </c>
      <c r="H1842" s="9" t="s">
        <v>5090</v>
      </c>
      <c r="I1842" s="10">
        <v>45652</v>
      </c>
    </row>
    <row r="1843" spans="1:9" x14ac:dyDescent="0.15">
      <c r="A1843" s="9">
        <v>1842</v>
      </c>
      <c r="B1843" s="9" t="s">
        <v>9</v>
      </c>
      <c r="C1843" s="9">
        <v>1928</v>
      </c>
      <c r="D1843" s="10">
        <v>45736</v>
      </c>
      <c r="E1843" s="11" t="str">
        <f>+HYPERLINK("http://trademark.i-assist.jp/data/china/image_1928th/82796890.pdf","82796890")</f>
        <v>82796890</v>
      </c>
      <c r="F1843" s="9" t="s">
        <v>5091</v>
      </c>
      <c r="G1843" s="12" t="s">
        <v>5092</v>
      </c>
      <c r="H1843" s="9" t="s">
        <v>5093</v>
      </c>
      <c r="I1843" s="10">
        <v>45652</v>
      </c>
    </row>
    <row r="1844" spans="1:9" x14ac:dyDescent="0.15">
      <c r="A1844" s="9">
        <v>1843</v>
      </c>
      <c r="B1844" s="9" t="s">
        <v>9</v>
      </c>
      <c r="C1844" s="9">
        <v>1928</v>
      </c>
      <c r="D1844" s="10">
        <v>45736</v>
      </c>
      <c r="E1844" s="11" t="str">
        <f>+HYPERLINK("http://trademark.i-assist.jp/data/china/image_1928th/82797642.pdf","82797642")</f>
        <v>82797642</v>
      </c>
      <c r="F1844" s="12" t="s">
        <v>5094</v>
      </c>
      <c r="G1844" s="9" t="s">
        <v>5095</v>
      </c>
      <c r="H1844" s="9" t="s">
        <v>5096</v>
      </c>
      <c r="I1844" s="10">
        <v>45652</v>
      </c>
    </row>
    <row r="1845" spans="1:9" x14ac:dyDescent="0.15">
      <c r="A1845" s="9">
        <v>1844</v>
      </c>
      <c r="B1845" s="9" t="s">
        <v>9</v>
      </c>
      <c r="C1845" s="9">
        <v>1928</v>
      </c>
      <c r="D1845" s="10">
        <v>45736</v>
      </c>
      <c r="E1845" s="11" t="str">
        <f>+HYPERLINK("http://trademark.i-assist.jp/data/china/image_1928th/82797981.pdf","82797981")</f>
        <v>82797981</v>
      </c>
      <c r="F1845" s="9" t="s">
        <v>5097</v>
      </c>
      <c r="G1845" s="9" t="s">
        <v>5098</v>
      </c>
      <c r="H1845" s="9" t="s">
        <v>5099</v>
      </c>
      <c r="I1845" s="10">
        <v>45652</v>
      </c>
    </row>
    <row r="1846" spans="1:9" x14ac:dyDescent="0.15">
      <c r="A1846" s="9">
        <v>1845</v>
      </c>
      <c r="B1846" s="9" t="s">
        <v>9</v>
      </c>
      <c r="C1846" s="9">
        <v>1928</v>
      </c>
      <c r="D1846" s="10">
        <v>45736</v>
      </c>
      <c r="E1846" s="11" t="str">
        <f>+HYPERLINK("http://trademark.i-assist.jp/data/china/image_1928th/82798007.pdf","82798007")</f>
        <v>82798007</v>
      </c>
      <c r="F1846" s="9" t="s">
        <v>5100</v>
      </c>
      <c r="G1846" s="9" t="s">
        <v>5101</v>
      </c>
      <c r="H1846" s="9" t="s">
        <v>5102</v>
      </c>
      <c r="I1846" s="10">
        <v>45652</v>
      </c>
    </row>
    <row r="1847" spans="1:9" x14ac:dyDescent="0.15">
      <c r="A1847" s="9">
        <v>1846</v>
      </c>
      <c r="B1847" s="9" t="s">
        <v>9</v>
      </c>
      <c r="C1847" s="9">
        <v>1928</v>
      </c>
      <c r="D1847" s="10">
        <v>45736</v>
      </c>
      <c r="E1847" s="11" t="str">
        <f>+HYPERLINK("http://trademark.i-assist.jp/data/china/image_1928th/82798291.pdf","82798291")</f>
        <v>82798291</v>
      </c>
      <c r="F1847" s="9" t="s">
        <v>5103</v>
      </c>
      <c r="G1847" s="9" t="s">
        <v>5104</v>
      </c>
      <c r="H1847" s="9" t="s">
        <v>5105</v>
      </c>
      <c r="I1847" s="10">
        <v>45652</v>
      </c>
    </row>
    <row r="1848" spans="1:9" x14ac:dyDescent="0.15">
      <c r="A1848" s="9">
        <v>1847</v>
      </c>
      <c r="B1848" s="9" t="s">
        <v>9</v>
      </c>
      <c r="C1848" s="9">
        <v>1928</v>
      </c>
      <c r="D1848" s="10">
        <v>45736</v>
      </c>
      <c r="E1848" s="11" t="str">
        <f>+HYPERLINK("http://trademark.i-assist.jp/data/china/image_1928th/82798528.pdf","82798528")</f>
        <v>82798528</v>
      </c>
      <c r="F1848" s="9" t="s">
        <v>5106</v>
      </c>
      <c r="G1848" s="9" t="s">
        <v>5107</v>
      </c>
      <c r="H1848" s="9" t="s">
        <v>10</v>
      </c>
      <c r="I1848" s="10">
        <v>45652</v>
      </c>
    </row>
    <row r="1849" spans="1:9" x14ac:dyDescent="0.15">
      <c r="A1849" s="9">
        <v>1848</v>
      </c>
      <c r="B1849" s="9" t="s">
        <v>9</v>
      </c>
      <c r="C1849" s="9">
        <v>1928</v>
      </c>
      <c r="D1849" s="10">
        <v>45736</v>
      </c>
      <c r="E1849" s="11" t="str">
        <f>+HYPERLINK("http://trademark.i-assist.jp/data/china/image_1928th/82798558.pdf","82798558")</f>
        <v>82798558</v>
      </c>
      <c r="F1849" s="9" t="s">
        <v>5108</v>
      </c>
      <c r="G1849" s="12" t="s">
        <v>5109</v>
      </c>
      <c r="H1849" s="12" t="s">
        <v>5110</v>
      </c>
      <c r="I1849" s="10">
        <v>45652</v>
      </c>
    </row>
    <row r="1850" spans="1:9" x14ac:dyDescent="0.15">
      <c r="A1850" s="9">
        <v>1849</v>
      </c>
      <c r="B1850" s="9" t="s">
        <v>9</v>
      </c>
      <c r="C1850" s="9">
        <v>1928</v>
      </c>
      <c r="D1850" s="10">
        <v>45736</v>
      </c>
      <c r="E1850" s="11" t="str">
        <f>+HYPERLINK("http://trademark.i-assist.jp/data/china/image_1928th/82799233.pdf","82799233")</f>
        <v>82799233</v>
      </c>
      <c r="F1850" s="9" t="s">
        <v>5111</v>
      </c>
      <c r="G1850" s="9" t="s">
        <v>5112</v>
      </c>
      <c r="H1850" s="9" t="s">
        <v>5113</v>
      </c>
      <c r="I1850" s="10">
        <v>45652</v>
      </c>
    </row>
    <row r="1851" spans="1:9" x14ac:dyDescent="0.15">
      <c r="A1851" s="9">
        <v>1850</v>
      </c>
      <c r="B1851" s="9" t="s">
        <v>9</v>
      </c>
      <c r="C1851" s="9">
        <v>1928</v>
      </c>
      <c r="D1851" s="10">
        <v>45736</v>
      </c>
      <c r="E1851" s="11" t="str">
        <f>+HYPERLINK("http://trademark.i-assist.jp/data/china/image_1928th/82800541.pdf","82800541")</f>
        <v>82800541</v>
      </c>
      <c r="F1851" s="9" t="s">
        <v>5114</v>
      </c>
      <c r="G1851" s="12" t="s">
        <v>5115</v>
      </c>
      <c r="H1851" s="9" t="s">
        <v>5116</v>
      </c>
      <c r="I1851" s="10">
        <v>45653</v>
      </c>
    </row>
    <row r="1852" spans="1:9" x14ac:dyDescent="0.15">
      <c r="A1852" s="9">
        <v>1851</v>
      </c>
      <c r="B1852" s="9" t="s">
        <v>9</v>
      </c>
      <c r="C1852" s="9">
        <v>1928</v>
      </c>
      <c r="D1852" s="10">
        <v>45736</v>
      </c>
      <c r="E1852" s="11" t="str">
        <f>+HYPERLINK("http://trademark.i-assist.jp/data/china/image_1928th/82800563.pdf","82800563")</f>
        <v>82800563</v>
      </c>
      <c r="F1852" s="9" t="s">
        <v>5117</v>
      </c>
      <c r="G1852" s="9" t="s">
        <v>5118</v>
      </c>
      <c r="H1852" s="9" t="s">
        <v>5119</v>
      </c>
      <c r="I1852" s="10">
        <v>45653</v>
      </c>
    </row>
    <row r="1853" spans="1:9" x14ac:dyDescent="0.15">
      <c r="A1853" s="9">
        <v>1852</v>
      </c>
      <c r="B1853" s="9" t="s">
        <v>9</v>
      </c>
      <c r="C1853" s="9">
        <v>1928</v>
      </c>
      <c r="D1853" s="10">
        <v>45736</v>
      </c>
      <c r="E1853" s="11" t="str">
        <f>+HYPERLINK("http://trademark.i-assist.jp/data/china/image_1928th/82800766.pdf","82800766")</f>
        <v>82800766</v>
      </c>
      <c r="F1853" s="12" t="s">
        <v>5120</v>
      </c>
      <c r="G1853" s="12" t="s">
        <v>5121</v>
      </c>
      <c r="H1853" s="9" t="s">
        <v>5122</v>
      </c>
      <c r="I1853" s="10">
        <v>45653</v>
      </c>
    </row>
    <row r="1854" spans="1:9" x14ac:dyDescent="0.15">
      <c r="A1854" s="9">
        <v>1853</v>
      </c>
      <c r="B1854" s="9" t="s">
        <v>9</v>
      </c>
      <c r="C1854" s="9">
        <v>1928</v>
      </c>
      <c r="D1854" s="10">
        <v>45736</v>
      </c>
      <c r="E1854" s="11" t="str">
        <f>+HYPERLINK("http://trademark.i-assist.jp/data/china/image_1928th/82800790.pdf","82800790")</f>
        <v>82800790</v>
      </c>
      <c r="F1854" s="9" t="s">
        <v>5123</v>
      </c>
      <c r="G1854" s="9" t="s">
        <v>5124</v>
      </c>
      <c r="H1854" s="9" t="s">
        <v>5125</v>
      </c>
      <c r="I1854" s="10">
        <v>45653</v>
      </c>
    </row>
    <row r="1855" spans="1:9" x14ac:dyDescent="0.15">
      <c r="A1855" s="9">
        <v>1854</v>
      </c>
      <c r="B1855" s="9" t="s">
        <v>9</v>
      </c>
      <c r="C1855" s="9">
        <v>1928</v>
      </c>
      <c r="D1855" s="10">
        <v>45736</v>
      </c>
      <c r="E1855" s="11" t="str">
        <f>+HYPERLINK("http://trademark.i-assist.jp/data/china/image_1928th/82801508.pdf","82801508")</f>
        <v>82801508</v>
      </c>
      <c r="F1855" s="9" t="s">
        <v>5126</v>
      </c>
      <c r="G1855" s="9" t="s">
        <v>5127</v>
      </c>
      <c r="H1855" s="9" t="s">
        <v>5128</v>
      </c>
      <c r="I1855" s="10">
        <v>45653</v>
      </c>
    </row>
    <row r="1856" spans="1:9" x14ac:dyDescent="0.15">
      <c r="A1856" s="9">
        <v>1855</v>
      </c>
      <c r="B1856" s="9" t="s">
        <v>9</v>
      </c>
      <c r="C1856" s="9">
        <v>1928</v>
      </c>
      <c r="D1856" s="10">
        <v>45736</v>
      </c>
      <c r="E1856" s="11" t="str">
        <f>+HYPERLINK("http://trademark.i-assist.jp/data/china/image_1928th/82802486.pdf","82802486")</f>
        <v>82802486</v>
      </c>
      <c r="F1856" s="9" t="s">
        <v>5129</v>
      </c>
      <c r="G1856" s="12" t="s">
        <v>5130</v>
      </c>
      <c r="H1856" s="9" t="s">
        <v>5131</v>
      </c>
      <c r="I1856" s="10">
        <v>45653</v>
      </c>
    </row>
    <row r="1857" spans="1:9" x14ac:dyDescent="0.15">
      <c r="A1857" s="9">
        <v>1856</v>
      </c>
      <c r="B1857" s="9" t="s">
        <v>9</v>
      </c>
      <c r="C1857" s="9">
        <v>1928</v>
      </c>
      <c r="D1857" s="10">
        <v>45736</v>
      </c>
      <c r="E1857" s="11" t="str">
        <f>+HYPERLINK("http://trademark.i-assist.jp/data/china/image_1928th/82802505.pdf","82802505")</f>
        <v>82802505</v>
      </c>
      <c r="F1857" s="9" t="s">
        <v>5132</v>
      </c>
      <c r="G1857" s="9" t="s">
        <v>5133</v>
      </c>
      <c r="H1857" s="9" t="s">
        <v>5134</v>
      </c>
      <c r="I1857" s="10">
        <v>45653</v>
      </c>
    </row>
    <row r="1858" spans="1:9" x14ac:dyDescent="0.15">
      <c r="A1858" s="9">
        <v>1857</v>
      </c>
      <c r="B1858" s="9" t="s">
        <v>9</v>
      </c>
      <c r="C1858" s="9">
        <v>1928</v>
      </c>
      <c r="D1858" s="10">
        <v>45736</v>
      </c>
      <c r="E1858" s="11" t="str">
        <f>+HYPERLINK("http://trademark.i-assist.jp/data/china/image_1928th/82802814.pdf","82802814")</f>
        <v>82802814</v>
      </c>
      <c r="F1858" s="12" t="s">
        <v>5135</v>
      </c>
      <c r="G1858" s="12" t="s">
        <v>5136</v>
      </c>
      <c r="H1858" s="9" t="s">
        <v>5137</v>
      </c>
      <c r="I1858" s="10">
        <v>45653</v>
      </c>
    </row>
    <row r="1859" spans="1:9" x14ac:dyDescent="0.15">
      <c r="A1859" s="9">
        <v>1858</v>
      </c>
      <c r="B1859" s="9" t="s">
        <v>9</v>
      </c>
      <c r="C1859" s="9">
        <v>1928</v>
      </c>
      <c r="D1859" s="10">
        <v>45736</v>
      </c>
      <c r="E1859" s="11" t="str">
        <f>+HYPERLINK("http://trademark.i-assist.jp/data/china/image_1928th/82802928.pdf","82802928")</f>
        <v>82802928</v>
      </c>
      <c r="F1859" s="9" t="s">
        <v>5138</v>
      </c>
      <c r="G1859" s="9" t="s">
        <v>67</v>
      </c>
      <c r="H1859" s="9" t="s">
        <v>5139</v>
      </c>
      <c r="I1859" s="10">
        <v>45653</v>
      </c>
    </row>
    <row r="1860" spans="1:9" x14ac:dyDescent="0.15">
      <c r="A1860" s="9">
        <v>1859</v>
      </c>
      <c r="B1860" s="9" t="s">
        <v>9</v>
      </c>
      <c r="C1860" s="9">
        <v>1928</v>
      </c>
      <c r="D1860" s="10">
        <v>45736</v>
      </c>
      <c r="E1860" s="11" t="str">
        <f>+HYPERLINK("http://trademark.i-assist.jp/data/china/image_1928th/82803885.pdf","82803885")</f>
        <v>82803885</v>
      </c>
      <c r="F1860" s="9" t="s">
        <v>5140</v>
      </c>
      <c r="G1860" s="13" t="s">
        <v>5141</v>
      </c>
      <c r="H1860" s="9" t="s">
        <v>5142</v>
      </c>
      <c r="I1860" s="10">
        <v>45653</v>
      </c>
    </row>
    <row r="1861" spans="1:9" x14ac:dyDescent="0.15">
      <c r="A1861" s="9">
        <v>1860</v>
      </c>
      <c r="B1861" s="9" t="s">
        <v>9</v>
      </c>
      <c r="C1861" s="9">
        <v>1928</v>
      </c>
      <c r="D1861" s="10">
        <v>45736</v>
      </c>
      <c r="E1861" s="11" t="str">
        <f>+HYPERLINK("http://trademark.i-assist.jp/data/china/image_1928th/82804081.pdf","82804081")</f>
        <v>82804081</v>
      </c>
      <c r="F1861" s="9" t="s">
        <v>5143</v>
      </c>
      <c r="G1861" s="9" t="s">
        <v>5144</v>
      </c>
      <c r="H1861" s="9" t="s">
        <v>5145</v>
      </c>
      <c r="I1861" s="10">
        <v>45653</v>
      </c>
    </row>
    <row r="1862" spans="1:9" x14ac:dyDescent="0.15">
      <c r="A1862" s="9">
        <v>1861</v>
      </c>
      <c r="B1862" s="9" t="s">
        <v>9</v>
      </c>
      <c r="C1862" s="9">
        <v>1928</v>
      </c>
      <c r="D1862" s="10">
        <v>45736</v>
      </c>
      <c r="E1862" s="11" t="str">
        <f>+HYPERLINK("http://trademark.i-assist.jp/data/china/image_1928th/82804151.pdf","82804151")</f>
        <v>82804151</v>
      </c>
      <c r="F1862" s="9" t="s">
        <v>5146</v>
      </c>
      <c r="G1862" s="9" t="s">
        <v>5147</v>
      </c>
      <c r="H1862" s="9" t="s">
        <v>5148</v>
      </c>
      <c r="I1862" s="10">
        <v>45653</v>
      </c>
    </row>
    <row r="1863" spans="1:9" x14ac:dyDescent="0.15">
      <c r="A1863" s="9">
        <v>1862</v>
      </c>
      <c r="B1863" s="9" t="s">
        <v>9</v>
      </c>
      <c r="C1863" s="9">
        <v>1928</v>
      </c>
      <c r="D1863" s="10">
        <v>45736</v>
      </c>
      <c r="E1863" s="11" t="str">
        <f>+HYPERLINK("http://trademark.i-assist.jp/data/china/image_1928th/82804710.pdf","82804710")</f>
        <v>82804710</v>
      </c>
      <c r="F1863" s="12" t="s">
        <v>5149</v>
      </c>
      <c r="G1863" s="9" t="s">
        <v>5150</v>
      </c>
      <c r="H1863" s="9" t="s">
        <v>5151</v>
      </c>
      <c r="I1863" s="10">
        <v>45653</v>
      </c>
    </row>
    <row r="1864" spans="1:9" x14ac:dyDescent="0.15">
      <c r="A1864" s="9">
        <v>1863</v>
      </c>
      <c r="B1864" s="9" t="s">
        <v>9</v>
      </c>
      <c r="C1864" s="9">
        <v>1928</v>
      </c>
      <c r="D1864" s="10">
        <v>45736</v>
      </c>
      <c r="E1864" s="11" t="str">
        <f>+HYPERLINK("http://trademark.i-assist.jp/data/china/image_1928th/82805221.pdf","82805221")</f>
        <v>82805221</v>
      </c>
      <c r="F1864" s="9" t="s">
        <v>5152</v>
      </c>
      <c r="G1864" s="12" t="s">
        <v>5153</v>
      </c>
      <c r="H1864" s="9" t="s">
        <v>5154</v>
      </c>
      <c r="I1864" s="10">
        <v>45653</v>
      </c>
    </row>
    <row r="1865" spans="1:9" x14ac:dyDescent="0.15">
      <c r="A1865" s="9">
        <v>1864</v>
      </c>
      <c r="B1865" s="9" t="s">
        <v>9</v>
      </c>
      <c r="C1865" s="9">
        <v>1928</v>
      </c>
      <c r="D1865" s="10">
        <v>45736</v>
      </c>
      <c r="E1865" s="11" t="str">
        <f>+HYPERLINK("http://trademark.i-assist.jp/data/china/image_1928th/82806218.pdf","82806218")</f>
        <v>82806218</v>
      </c>
      <c r="F1865" s="12" t="s">
        <v>18</v>
      </c>
      <c r="G1865" s="9" t="s">
        <v>5155</v>
      </c>
      <c r="H1865" s="9" t="s">
        <v>5156</v>
      </c>
      <c r="I1865" s="10">
        <v>45653</v>
      </c>
    </row>
    <row r="1866" spans="1:9" x14ac:dyDescent="0.15">
      <c r="A1866" s="9">
        <v>1865</v>
      </c>
      <c r="B1866" s="9" t="s">
        <v>9</v>
      </c>
      <c r="C1866" s="9">
        <v>1928</v>
      </c>
      <c r="D1866" s="10">
        <v>45736</v>
      </c>
      <c r="E1866" s="11" t="str">
        <f>+HYPERLINK("http://trademark.i-assist.jp/data/china/image_1928th/82808781.pdf","82808781")</f>
        <v>82808781</v>
      </c>
      <c r="F1866" s="12" t="s">
        <v>18</v>
      </c>
      <c r="G1866" s="9" t="s">
        <v>5157</v>
      </c>
      <c r="H1866" s="9" t="s">
        <v>5158</v>
      </c>
      <c r="I1866" s="10">
        <v>45653</v>
      </c>
    </row>
    <row r="1867" spans="1:9" x14ac:dyDescent="0.15">
      <c r="A1867" s="9">
        <v>1866</v>
      </c>
      <c r="B1867" s="9" t="s">
        <v>9</v>
      </c>
      <c r="C1867" s="9">
        <v>1928</v>
      </c>
      <c r="D1867" s="10">
        <v>45736</v>
      </c>
      <c r="E1867" s="11" t="str">
        <f>+HYPERLINK("http://trademark.i-assist.jp/data/china/image_1928th/82811981.pdf","82811981")</f>
        <v>82811981</v>
      </c>
      <c r="F1867" s="12" t="s">
        <v>18</v>
      </c>
      <c r="G1867" s="9" t="s">
        <v>5155</v>
      </c>
      <c r="H1867" s="9" t="s">
        <v>5159</v>
      </c>
      <c r="I1867" s="10">
        <v>45653</v>
      </c>
    </row>
    <row r="1868" spans="1:9" x14ac:dyDescent="0.15">
      <c r="A1868" s="9">
        <v>1867</v>
      </c>
      <c r="B1868" s="9" t="s">
        <v>9</v>
      </c>
      <c r="C1868" s="9">
        <v>1928</v>
      </c>
      <c r="D1868" s="10">
        <v>45736</v>
      </c>
      <c r="E1868" s="11" t="str">
        <f>+HYPERLINK("http://trademark.i-assist.jp/data/china/image_1928th/82813483.pdf","82813483")</f>
        <v>82813483</v>
      </c>
      <c r="F1868" s="9" t="s">
        <v>5160</v>
      </c>
      <c r="G1868" s="12" t="s">
        <v>5161</v>
      </c>
      <c r="H1868" s="9" t="s">
        <v>5162</v>
      </c>
      <c r="I1868" s="10">
        <v>45653</v>
      </c>
    </row>
    <row r="1869" spans="1:9" x14ac:dyDescent="0.15">
      <c r="A1869" s="9">
        <v>1868</v>
      </c>
      <c r="B1869" s="9" t="s">
        <v>9</v>
      </c>
      <c r="C1869" s="9">
        <v>1928</v>
      </c>
      <c r="D1869" s="10">
        <v>45736</v>
      </c>
      <c r="E1869" s="11" t="str">
        <f>+HYPERLINK("http://trademark.i-assist.jp/data/china/image_1928th/82814033.pdf","82814033")</f>
        <v>82814033</v>
      </c>
      <c r="F1869" s="9" t="s">
        <v>5163</v>
      </c>
      <c r="G1869" s="9" t="s">
        <v>5164</v>
      </c>
      <c r="H1869" s="9" t="s">
        <v>5165</v>
      </c>
      <c r="I1869" s="10">
        <v>45653</v>
      </c>
    </row>
    <row r="1870" spans="1:9" x14ac:dyDescent="0.15">
      <c r="A1870" s="9">
        <v>1869</v>
      </c>
      <c r="B1870" s="9" t="s">
        <v>9</v>
      </c>
      <c r="C1870" s="9">
        <v>1928</v>
      </c>
      <c r="D1870" s="10">
        <v>45736</v>
      </c>
      <c r="E1870" s="11" t="str">
        <f>+HYPERLINK("http://trademark.i-assist.jp/data/china/image_1928th/82814294.pdf","82814294")</f>
        <v>82814294</v>
      </c>
      <c r="F1870" s="12" t="s">
        <v>18</v>
      </c>
      <c r="G1870" s="9" t="s">
        <v>5155</v>
      </c>
      <c r="H1870" s="9" t="s">
        <v>5166</v>
      </c>
      <c r="I1870" s="10">
        <v>45653</v>
      </c>
    </row>
    <row r="1871" spans="1:9" x14ac:dyDescent="0.15">
      <c r="A1871" s="9">
        <v>1870</v>
      </c>
      <c r="B1871" s="9" t="s">
        <v>9</v>
      </c>
      <c r="C1871" s="9">
        <v>1928</v>
      </c>
      <c r="D1871" s="10">
        <v>45736</v>
      </c>
      <c r="E1871" s="11" t="str">
        <f>+HYPERLINK("http://trademark.i-assist.jp/data/china/image_1928th/82814510.pdf","82814510")</f>
        <v>82814510</v>
      </c>
      <c r="F1871" s="9" t="s">
        <v>5167</v>
      </c>
      <c r="G1871" s="9" t="s">
        <v>82</v>
      </c>
      <c r="H1871" s="9" t="s">
        <v>5168</v>
      </c>
      <c r="I1871" s="10">
        <v>45653</v>
      </c>
    </row>
    <row r="1872" spans="1:9" x14ac:dyDescent="0.15">
      <c r="A1872" s="9">
        <v>1871</v>
      </c>
      <c r="B1872" s="9" t="s">
        <v>9</v>
      </c>
      <c r="C1872" s="9">
        <v>1928</v>
      </c>
      <c r="D1872" s="10">
        <v>45736</v>
      </c>
      <c r="E1872" s="11" t="str">
        <f>+HYPERLINK("http://trademark.i-assist.jp/data/china/image_1928th/82815241.pdf","82815241")</f>
        <v>82815241</v>
      </c>
      <c r="F1872" s="12" t="s">
        <v>5169</v>
      </c>
      <c r="G1872" s="12" t="s">
        <v>5170</v>
      </c>
      <c r="H1872" s="9" t="s">
        <v>5171</v>
      </c>
      <c r="I1872" s="10">
        <v>45653</v>
      </c>
    </row>
    <row r="1873" spans="1:9" x14ac:dyDescent="0.15">
      <c r="A1873" s="9">
        <v>1872</v>
      </c>
      <c r="B1873" s="9" t="s">
        <v>9</v>
      </c>
      <c r="C1873" s="9">
        <v>1928</v>
      </c>
      <c r="D1873" s="10">
        <v>45736</v>
      </c>
      <c r="E1873" s="11" t="str">
        <f>+HYPERLINK("http://trademark.i-assist.jp/data/china/image_1928th/82815357.pdf","82815357")</f>
        <v>82815357</v>
      </c>
      <c r="F1873" s="9" t="s">
        <v>5172</v>
      </c>
      <c r="G1873" s="9" t="s">
        <v>67</v>
      </c>
      <c r="H1873" s="12" t="s">
        <v>5173</v>
      </c>
      <c r="I1873" s="10">
        <v>45653</v>
      </c>
    </row>
    <row r="1874" spans="1:9" x14ac:dyDescent="0.15">
      <c r="A1874" s="9">
        <v>1873</v>
      </c>
      <c r="B1874" s="9" t="s">
        <v>9</v>
      </c>
      <c r="C1874" s="9">
        <v>1928</v>
      </c>
      <c r="D1874" s="10">
        <v>45736</v>
      </c>
      <c r="E1874" s="11" t="str">
        <f>+HYPERLINK("http://trademark.i-assist.jp/data/china/image_1928th/82816955.pdf","82816955")</f>
        <v>82816955</v>
      </c>
      <c r="F1874" s="9" t="s">
        <v>5174</v>
      </c>
      <c r="G1874" s="9" t="s">
        <v>5175</v>
      </c>
      <c r="H1874" s="9" t="s">
        <v>5176</v>
      </c>
      <c r="I1874" s="10">
        <v>45653</v>
      </c>
    </row>
    <row r="1875" spans="1:9" x14ac:dyDescent="0.15">
      <c r="A1875" s="9">
        <v>1874</v>
      </c>
      <c r="B1875" s="9" t="s">
        <v>9</v>
      </c>
      <c r="C1875" s="9">
        <v>1928</v>
      </c>
      <c r="D1875" s="10">
        <v>45736</v>
      </c>
      <c r="E1875" s="11" t="str">
        <f>+HYPERLINK("http://trademark.i-assist.jp/data/china/image_1928th/82818252.pdf","82818252")</f>
        <v>82818252</v>
      </c>
      <c r="F1875" s="12" t="s">
        <v>5177</v>
      </c>
      <c r="G1875" s="9" t="s">
        <v>5127</v>
      </c>
      <c r="H1875" s="9" t="s">
        <v>5178</v>
      </c>
      <c r="I1875" s="10">
        <v>45653</v>
      </c>
    </row>
    <row r="1876" spans="1:9" x14ac:dyDescent="0.15">
      <c r="A1876" s="9">
        <v>1875</v>
      </c>
      <c r="B1876" s="9" t="s">
        <v>9</v>
      </c>
      <c r="C1876" s="9">
        <v>1928</v>
      </c>
      <c r="D1876" s="10">
        <v>45736</v>
      </c>
      <c r="E1876" s="11" t="str">
        <f>+HYPERLINK("http://trademark.i-assist.jp/data/china/image_1928th/82818585.pdf","82818585")</f>
        <v>82818585</v>
      </c>
      <c r="F1876" s="9" t="s">
        <v>5179</v>
      </c>
      <c r="G1876" s="9" t="s">
        <v>5180</v>
      </c>
      <c r="H1876" s="9" t="s">
        <v>5181</v>
      </c>
      <c r="I1876" s="10">
        <v>45653</v>
      </c>
    </row>
    <row r="1877" spans="1:9" x14ac:dyDescent="0.15">
      <c r="A1877" s="9">
        <v>1876</v>
      </c>
      <c r="B1877" s="9" t="s">
        <v>9</v>
      </c>
      <c r="C1877" s="9">
        <v>1928</v>
      </c>
      <c r="D1877" s="10">
        <v>45736</v>
      </c>
      <c r="E1877" s="11" t="str">
        <f>+HYPERLINK("http://trademark.i-assist.jp/data/china/image_1928th/82818765.pdf","82818765")</f>
        <v>82818765</v>
      </c>
      <c r="F1877" s="9" t="s">
        <v>5182</v>
      </c>
      <c r="G1877" s="12" t="s">
        <v>5183</v>
      </c>
      <c r="H1877" s="9" t="s">
        <v>5184</v>
      </c>
      <c r="I1877" s="10">
        <v>45653</v>
      </c>
    </row>
    <row r="1878" spans="1:9" x14ac:dyDescent="0.15">
      <c r="A1878" s="9">
        <v>1877</v>
      </c>
      <c r="B1878" s="9" t="s">
        <v>9</v>
      </c>
      <c r="C1878" s="9">
        <v>1928</v>
      </c>
      <c r="D1878" s="10">
        <v>45736</v>
      </c>
      <c r="E1878" s="11" t="str">
        <f>+HYPERLINK("http://trademark.i-assist.jp/data/china/image_1928th/82819140.pdf","82819140")</f>
        <v>82819140</v>
      </c>
      <c r="F1878" s="9" t="s">
        <v>5185</v>
      </c>
      <c r="G1878" s="9" t="s">
        <v>5186</v>
      </c>
      <c r="H1878" s="9" t="s">
        <v>5187</v>
      </c>
      <c r="I1878" s="10">
        <v>45653</v>
      </c>
    </row>
    <row r="1879" spans="1:9" x14ac:dyDescent="0.15">
      <c r="A1879" s="9">
        <v>1878</v>
      </c>
      <c r="B1879" s="9" t="s">
        <v>9</v>
      </c>
      <c r="C1879" s="9">
        <v>1928</v>
      </c>
      <c r="D1879" s="10">
        <v>45736</v>
      </c>
      <c r="E1879" s="11" t="str">
        <f>+HYPERLINK("http://trademark.i-assist.jp/data/china/image_1928th/82820508.pdf","82820508")</f>
        <v>82820508</v>
      </c>
      <c r="F1879" s="9" t="s">
        <v>5188</v>
      </c>
      <c r="G1879" s="9" t="s">
        <v>82</v>
      </c>
      <c r="H1879" s="12" t="s">
        <v>5189</v>
      </c>
      <c r="I1879" s="10">
        <v>45653</v>
      </c>
    </row>
    <row r="1880" spans="1:9" x14ac:dyDescent="0.15">
      <c r="A1880" s="9">
        <v>1879</v>
      </c>
      <c r="B1880" s="9" t="s">
        <v>9</v>
      </c>
      <c r="C1880" s="9">
        <v>1928</v>
      </c>
      <c r="D1880" s="10">
        <v>45736</v>
      </c>
      <c r="E1880" s="11" t="str">
        <f>+HYPERLINK("http://trademark.i-assist.jp/data/china/image_1928th/82823061.pdf","82823061")</f>
        <v>82823061</v>
      </c>
      <c r="F1880" s="9" t="s">
        <v>5190</v>
      </c>
      <c r="G1880" s="9" t="s">
        <v>5191</v>
      </c>
      <c r="H1880" s="9" t="s">
        <v>5192</v>
      </c>
      <c r="I1880" s="10">
        <v>45653</v>
      </c>
    </row>
    <row r="1881" spans="1:9" x14ac:dyDescent="0.15">
      <c r="A1881" s="9">
        <v>1880</v>
      </c>
      <c r="B1881" s="9" t="s">
        <v>9</v>
      </c>
      <c r="C1881" s="9">
        <v>1928</v>
      </c>
      <c r="D1881" s="10">
        <v>45736</v>
      </c>
      <c r="E1881" s="11" t="str">
        <f>+HYPERLINK("http://trademark.i-assist.jp/data/china/image_1928th/82823809.pdf","82823809")</f>
        <v>82823809</v>
      </c>
      <c r="F1881" s="9" t="s">
        <v>5193</v>
      </c>
      <c r="G1881" s="9" t="s">
        <v>5194</v>
      </c>
      <c r="H1881" s="9" t="s">
        <v>5195</v>
      </c>
      <c r="I1881" s="10">
        <v>45654</v>
      </c>
    </row>
    <row r="1882" spans="1:9" x14ac:dyDescent="0.15">
      <c r="A1882" s="9">
        <v>1881</v>
      </c>
      <c r="B1882" s="9" t="s">
        <v>9</v>
      </c>
      <c r="C1882" s="9">
        <v>1928</v>
      </c>
      <c r="D1882" s="10">
        <v>45736</v>
      </c>
      <c r="E1882" s="11" t="str">
        <f>+HYPERLINK("http://trademark.i-assist.jp/data/china/image_1928th/82823988.pdf","82823988")</f>
        <v>82823988</v>
      </c>
      <c r="F1882" s="9" t="s">
        <v>5196</v>
      </c>
      <c r="G1882" s="9" t="s">
        <v>5197</v>
      </c>
      <c r="H1882" s="9" t="s">
        <v>5198</v>
      </c>
      <c r="I1882" s="10">
        <v>45654</v>
      </c>
    </row>
    <row r="1883" spans="1:9" x14ac:dyDescent="0.15">
      <c r="A1883" s="9">
        <v>1882</v>
      </c>
      <c r="B1883" s="9" t="s">
        <v>9</v>
      </c>
      <c r="C1883" s="9">
        <v>1928</v>
      </c>
      <c r="D1883" s="10">
        <v>45736</v>
      </c>
      <c r="E1883" s="11" t="str">
        <f>+HYPERLINK("http://trademark.i-assist.jp/data/china/image_1928th/82825509.pdf","82825509")</f>
        <v>82825509</v>
      </c>
      <c r="F1883" s="12" t="s">
        <v>18</v>
      </c>
      <c r="G1883" s="9" t="s">
        <v>5199</v>
      </c>
      <c r="H1883" s="9" t="s">
        <v>5200</v>
      </c>
      <c r="I1883" s="10">
        <v>45654</v>
      </c>
    </row>
    <row r="1884" spans="1:9" x14ac:dyDescent="0.15">
      <c r="A1884" s="9">
        <v>1883</v>
      </c>
      <c r="B1884" s="9" t="s">
        <v>9</v>
      </c>
      <c r="C1884" s="9">
        <v>1928</v>
      </c>
      <c r="D1884" s="10">
        <v>45736</v>
      </c>
      <c r="E1884" s="11" t="str">
        <f>+HYPERLINK("http://trademark.i-assist.jp/data/china/image_1928th/82825557.pdf","82825557")</f>
        <v>82825557</v>
      </c>
      <c r="F1884" s="9" t="s">
        <v>5201</v>
      </c>
      <c r="G1884" s="12" t="s">
        <v>5202</v>
      </c>
      <c r="H1884" s="9" t="s">
        <v>5203</v>
      </c>
      <c r="I1884" s="10">
        <v>45654</v>
      </c>
    </row>
    <row r="1885" spans="1:9" x14ac:dyDescent="0.15">
      <c r="A1885" s="9">
        <v>1884</v>
      </c>
      <c r="B1885" s="9" t="s">
        <v>9</v>
      </c>
      <c r="C1885" s="9">
        <v>1928</v>
      </c>
      <c r="D1885" s="10">
        <v>45736</v>
      </c>
      <c r="E1885" s="11" t="str">
        <f>+HYPERLINK("http://trademark.i-assist.jp/data/china/image_1928th/82825579.pdf","82825579")</f>
        <v>82825579</v>
      </c>
      <c r="F1885" s="9" t="s">
        <v>5204</v>
      </c>
      <c r="G1885" s="9" t="s">
        <v>5205</v>
      </c>
      <c r="H1885" s="9" t="s">
        <v>5206</v>
      </c>
      <c r="I1885" s="10">
        <v>45654</v>
      </c>
    </row>
    <row r="1886" spans="1:9" x14ac:dyDescent="0.15">
      <c r="A1886" s="9">
        <v>1885</v>
      </c>
      <c r="B1886" s="9" t="s">
        <v>9</v>
      </c>
      <c r="C1886" s="9">
        <v>1928</v>
      </c>
      <c r="D1886" s="10">
        <v>45736</v>
      </c>
      <c r="E1886" s="11" t="str">
        <f>+HYPERLINK("http://trademark.i-assist.jp/data/china/image_1928th/82827573.pdf","82827573")</f>
        <v>82827573</v>
      </c>
      <c r="F1886" s="9" t="s">
        <v>5207</v>
      </c>
      <c r="G1886" s="9" t="s">
        <v>5208</v>
      </c>
      <c r="H1886" s="9" t="s">
        <v>5209</v>
      </c>
      <c r="I1886" s="10">
        <v>45654</v>
      </c>
    </row>
    <row r="1887" spans="1:9" x14ac:dyDescent="0.15">
      <c r="A1887" s="9">
        <v>1886</v>
      </c>
      <c r="B1887" s="9" t="s">
        <v>9</v>
      </c>
      <c r="C1887" s="9">
        <v>1928</v>
      </c>
      <c r="D1887" s="10">
        <v>45736</v>
      </c>
      <c r="E1887" s="11" t="str">
        <f>+HYPERLINK("http://trademark.i-assist.jp/data/china/image_1928th/82829420.pdf","82829420")</f>
        <v>82829420</v>
      </c>
      <c r="F1887" s="9" t="s">
        <v>5210</v>
      </c>
      <c r="G1887" s="9" t="s">
        <v>5211</v>
      </c>
      <c r="H1887" s="9" t="s">
        <v>5212</v>
      </c>
      <c r="I1887" s="10">
        <v>45654</v>
      </c>
    </row>
    <row r="1888" spans="1:9" x14ac:dyDescent="0.15">
      <c r="A1888" s="9">
        <v>1887</v>
      </c>
      <c r="B1888" s="9" t="s">
        <v>9</v>
      </c>
      <c r="C1888" s="9">
        <v>1928</v>
      </c>
      <c r="D1888" s="10">
        <v>45736</v>
      </c>
      <c r="E1888" s="11" t="str">
        <f>+HYPERLINK("http://trademark.i-assist.jp/data/china/image_1928th/82829860.pdf","82829860")</f>
        <v>82829860</v>
      </c>
      <c r="F1888" s="9" t="s">
        <v>5213</v>
      </c>
      <c r="G1888" s="9" t="s">
        <v>5214</v>
      </c>
      <c r="H1888" s="9" t="s">
        <v>5215</v>
      </c>
      <c r="I1888" s="10">
        <v>45654</v>
      </c>
    </row>
    <row r="1889" spans="1:9" x14ac:dyDescent="0.15">
      <c r="A1889" s="9">
        <v>1888</v>
      </c>
      <c r="B1889" s="9" t="s">
        <v>9</v>
      </c>
      <c r="C1889" s="9">
        <v>1928</v>
      </c>
      <c r="D1889" s="10">
        <v>45736</v>
      </c>
      <c r="E1889" s="11" t="str">
        <f>+HYPERLINK("http://trademark.i-assist.jp/data/china/image_1928th/82831225.pdf","82831225")</f>
        <v>82831225</v>
      </c>
      <c r="F1889" s="12" t="s">
        <v>5216</v>
      </c>
      <c r="G1889" s="9" t="s">
        <v>51</v>
      </c>
      <c r="H1889" s="9" t="s">
        <v>5217</v>
      </c>
      <c r="I1889" s="10">
        <v>45655</v>
      </c>
    </row>
    <row r="1890" spans="1:9" x14ac:dyDescent="0.15">
      <c r="A1890" s="9">
        <v>1889</v>
      </c>
      <c r="B1890" s="9" t="s">
        <v>9</v>
      </c>
      <c r="C1890" s="9">
        <v>1928</v>
      </c>
      <c r="D1890" s="10">
        <v>45736</v>
      </c>
      <c r="E1890" s="11" t="str">
        <f>+HYPERLINK("http://trademark.i-assist.jp/data/china/image_1928th/82831285.pdf","82831285")</f>
        <v>82831285</v>
      </c>
      <c r="F1890" s="12" t="s">
        <v>5218</v>
      </c>
      <c r="G1890" s="12" t="s">
        <v>5219</v>
      </c>
      <c r="H1890" s="9" t="s">
        <v>5220</v>
      </c>
      <c r="I1890" s="10">
        <v>45655</v>
      </c>
    </row>
    <row r="1891" spans="1:9" x14ac:dyDescent="0.15">
      <c r="A1891" s="9">
        <v>1890</v>
      </c>
      <c r="B1891" s="9" t="s">
        <v>9</v>
      </c>
      <c r="C1891" s="9">
        <v>1928</v>
      </c>
      <c r="D1891" s="10">
        <v>45736</v>
      </c>
      <c r="E1891" s="11" t="str">
        <f>+HYPERLINK("http://trademark.i-assist.jp/data/china/image_1928th/82831864.pdf","82831864")</f>
        <v>82831864</v>
      </c>
      <c r="F1891" s="9" t="s">
        <v>5221</v>
      </c>
      <c r="G1891" s="12" t="s">
        <v>99</v>
      </c>
      <c r="H1891" s="9" t="s">
        <v>5222</v>
      </c>
      <c r="I1891" s="10">
        <v>45655</v>
      </c>
    </row>
    <row r="1892" spans="1:9" x14ac:dyDescent="0.15">
      <c r="A1892" s="9">
        <v>1891</v>
      </c>
      <c r="B1892" s="9" t="s">
        <v>9</v>
      </c>
      <c r="C1892" s="9">
        <v>1928</v>
      </c>
      <c r="D1892" s="10">
        <v>45736</v>
      </c>
      <c r="E1892" s="11" t="str">
        <f>+HYPERLINK("http://trademark.i-assist.jp/data/china/image_1928th/82831994.pdf","82831994")</f>
        <v>82831994</v>
      </c>
      <c r="F1892" s="12" t="s">
        <v>5223</v>
      </c>
      <c r="G1892" s="9" t="s">
        <v>5224</v>
      </c>
      <c r="H1892" s="9" t="s">
        <v>5225</v>
      </c>
      <c r="I1892" s="10">
        <v>45655</v>
      </c>
    </row>
    <row r="1893" spans="1:9" x14ac:dyDescent="0.15">
      <c r="A1893" s="9">
        <v>1892</v>
      </c>
      <c r="B1893" s="9" t="s">
        <v>9</v>
      </c>
      <c r="C1893" s="9">
        <v>1928</v>
      </c>
      <c r="D1893" s="10">
        <v>45736</v>
      </c>
      <c r="E1893" s="11" t="str">
        <f>+HYPERLINK("http://trademark.i-assist.jp/data/china/image_1928th/82832036.pdf","82832036")</f>
        <v>82832036</v>
      </c>
      <c r="F1893" s="12" t="s">
        <v>5226</v>
      </c>
      <c r="G1893" s="9" t="s">
        <v>51</v>
      </c>
      <c r="H1893" s="9" t="s">
        <v>5227</v>
      </c>
      <c r="I1893" s="10">
        <v>45655</v>
      </c>
    </row>
    <row r="1894" spans="1:9" x14ac:dyDescent="0.15">
      <c r="A1894" s="9">
        <v>1893</v>
      </c>
      <c r="B1894" s="9" t="s">
        <v>9</v>
      </c>
      <c r="C1894" s="9">
        <v>1928</v>
      </c>
      <c r="D1894" s="10">
        <v>45736</v>
      </c>
      <c r="E1894" s="11" t="str">
        <f>+HYPERLINK("http://trademark.i-assist.jp/data/china/image_1928th/82832510.pdf","82832510")</f>
        <v>82832510</v>
      </c>
      <c r="F1894" s="9" t="s">
        <v>5228</v>
      </c>
      <c r="G1894" s="9" t="s">
        <v>51</v>
      </c>
      <c r="H1894" s="9" t="s">
        <v>5229</v>
      </c>
      <c r="I1894" s="10">
        <v>45655</v>
      </c>
    </row>
    <row r="1895" spans="1:9" x14ac:dyDescent="0.15">
      <c r="A1895" s="9">
        <v>1894</v>
      </c>
      <c r="B1895" s="9" t="s">
        <v>9</v>
      </c>
      <c r="C1895" s="9">
        <v>1928</v>
      </c>
      <c r="D1895" s="10">
        <v>45736</v>
      </c>
      <c r="E1895" s="11" t="str">
        <f>+HYPERLINK("http://trademark.i-assist.jp/data/china/image_1928th/82832714.pdf","82832714")</f>
        <v>82832714</v>
      </c>
      <c r="F1895" s="9" t="s">
        <v>5230</v>
      </c>
      <c r="G1895" s="9" t="s">
        <v>5231</v>
      </c>
      <c r="H1895" s="9" t="s">
        <v>5232</v>
      </c>
      <c r="I1895" s="10">
        <v>45655</v>
      </c>
    </row>
    <row r="1896" spans="1:9" x14ac:dyDescent="0.15">
      <c r="A1896" s="9">
        <v>1895</v>
      </c>
      <c r="B1896" s="9" t="s">
        <v>9</v>
      </c>
      <c r="C1896" s="9">
        <v>1928</v>
      </c>
      <c r="D1896" s="10">
        <v>45736</v>
      </c>
      <c r="E1896" s="11" t="str">
        <f>+HYPERLINK("http://trademark.i-assist.jp/data/china/image_1928th/82832735.pdf","82832735")</f>
        <v>82832735</v>
      </c>
      <c r="F1896" s="9" t="s">
        <v>5233</v>
      </c>
      <c r="G1896" s="9" t="s">
        <v>5234</v>
      </c>
      <c r="H1896" s="9" t="s">
        <v>5235</v>
      </c>
      <c r="I1896" s="10">
        <v>45655</v>
      </c>
    </row>
    <row r="1897" spans="1:9" x14ac:dyDescent="0.15">
      <c r="A1897" s="9">
        <v>1896</v>
      </c>
      <c r="B1897" s="9" t="s">
        <v>9</v>
      </c>
      <c r="C1897" s="9">
        <v>1928</v>
      </c>
      <c r="D1897" s="10">
        <v>45736</v>
      </c>
      <c r="E1897" s="11" t="str">
        <f>+HYPERLINK("http://trademark.i-assist.jp/data/china/image_1928th/82832795.pdf","82832795")</f>
        <v>82832795</v>
      </c>
      <c r="F1897" s="9" t="s">
        <v>5236</v>
      </c>
      <c r="G1897" s="9" t="s">
        <v>5237</v>
      </c>
      <c r="H1897" s="9" t="s">
        <v>5238</v>
      </c>
      <c r="I1897" s="10">
        <v>45655</v>
      </c>
    </row>
    <row r="1898" spans="1:9" x14ac:dyDescent="0.15">
      <c r="A1898" s="9">
        <v>1897</v>
      </c>
      <c r="B1898" s="9" t="s">
        <v>9</v>
      </c>
      <c r="C1898" s="9">
        <v>1928</v>
      </c>
      <c r="D1898" s="10">
        <v>45736</v>
      </c>
      <c r="E1898" s="11" t="str">
        <f>+HYPERLINK("http://trademark.i-assist.jp/data/china/image_1928th/82832940.pdf","82832940")</f>
        <v>82832940</v>
      </c>
      <c r="F1898" s="9" t="s">
        <v>5239</v>
      </c>
      <c r="G1898" s="12" t="s">
        <v>5240</v>
      </c>
      <c r="H1898" s="12" t="s">
        <v>5241</v>
      </c>
      <c r="I1898" s="10">
        <v>45655</v>
      </c>
    </row>
    <row r="1899" spans="1:9" x14ac:dyDescent="0.15">
      <c r="A1899" s="9">
        <v>1898</v>
      </c>
      <c r="B1899" s="9" t="s">
        <v>9</v>
      </c>
      <c r="C1899" s="9">
        <v>1928</v>
      </c>
      <c r="D1899" s="10">
        <v>45736</v>
      </c>
      <c r="E1899" s="11" t="str">
        <f>+HYPERLINK("http://trademark.i-assist.jp/data/china/image_1928th/82833274.pdf","82833274")</f>
        <v>82833274</v>
      </c>
      <c r="F1899" s="9" t="s">
        <v>5242</v>
      </c>
      <c r="G1899" s="12" t="s">
        <v>99</v>
      </c>
      <c r="H1899" s="9" t="s">
        <v>5243</v>
      </c>
      <c r="I1899" s="10">
        <v>45655</v>
      </c>
    </row>
    <row r="1900" spans="1:9" x14ac:dyDescent="0.15">
      <c r="A1900" s="9">
        <v>1899</v>
      </c>
      <c r="B1900" s="9" t="s">
        <v>9</v>
      </c>
      <c r="C1900" s="9">
        <v>1928</v>
      </c>
      <c r="D1900" s="10">
        <v>45736</v>
      </c>
      <c r="E1900" s="11" t="str">
        <f>+HYPERLINK("http://trademark.i-assist.jp/data/china/image_1928th/82833398.pdf","82833398")</f>
        <v>82833398</v>
      </c>
      <c r="F1900" s="9" t="s">
        <v>5244</v>
      </c>
      <c r="G1900" s="12" t="s">
        <v>5245</v>
      </c>
      <c r="H1900" s="9" t="s">
        <v>5246</v>
      </c>
      <c r="I1900" s="10">
        <v>45655</v>
      </c>
    </row>
    <row r="1901" spans="1:9" x14ac:dyDescent="0.15">
      <c r="A1901" s="9">
        <v>1900</v>
      </c>
      <c r="B1901" s="9" t="s">
        <v>9</v>
      </c>
      <c r="C1901" s="9">
        <v>1928</v>
      </c>
      <c r="D1901" s="10">
        <v>45736</v>
      </c>
      <c r="E1901" s="11" t="str">
        <f>+HYPERLINK("http://trademark.i-assist.jp/data/china/image_1928th/82833560.pdf","82833560")</f>
        <v>82833560</v>
      </c>
      <c r="F1901" s="12" t="s">
        <v>18</v>
      </c>
      <c r="G1901" s="12" t="s">
        <v>5247</v>
      </c>
      <c r="H1901" s="9" t="s">
        <v>5248</v>
      </c>
      <c r="I1901" s="10">
        <v>45655</v>
      </c>
    </row>
    <row r="1902" spans="1:9" x14ac:dyDescent="0.15">
      <c r="A1902" s="9">
        <v>1901</v>
      </c>
      <c r="B1902" s="9" t="s">
        <v>9</v>
      </c>
      <c r="C1902" s="9">
        <v>1928</v>
      </c>
      <c r="D1902" s="10">
        <v>45736</v>
      </c>
      <c r="E1902" s="11" t="str">
        <f>+HYPERLINK("http://trademark.i-assist.jp/data/china/image_1928th/82834938.pdf","82834938")</f>
        <v>82834938</v>
      </c>
      <c r="F1902" s="12" t="s">
        <v>5249</v>
      </c>
      <c r="G1902" s="9" t="s">
        <v>5250</v>
      </c>
      <c r="H1902" s="9" t="s">
        <v>5251</v>
      </c>
      <c r="I1902" s="10">
        <v>45656</v>
      </c>
    </row>
    <row r="1903" spans="1:9" x14ac:dyDescent="0.15">
      <c r="A1903" s="9">
        <v>1902</v>
      </c>
      <c r="B1903" s="9" t="s">
        <v>9</v>
      </c>
      <c r="C1903" s="9">
        <v>1928</v>
      </c>
      <c r="D1903" s="10">
        <v>45736</v>
      </c>
      <c r="E1903" s="11" t="str">
        <f>+HYPERLINK("http://trademark.i-assist.jp/data/china/image_1928th/82835429.pdf","82835429")</f>
        <v>82835429</v>
      </c>
      <c r="F1903" s="9" t="s">
        <v>5252</v>
      </c>
      <c r="G1903" s="9" t="s">
        <v>3896</v>
      </c>
      <c r="H1903" s="9" t="s">
        <v>5253</v>
      </c>
      <c r="I1903" s="10">
        <v>45656</v>
      </c>
    </row>
    <row r="1904" spans="1:9" x14ac:dyDescent="0.15">
      <c r="A1904" s="9">
        <v>1903</v>
      </c>
      <c r="B1904" s="9" t="s">
        <v>9</v>
      </c>
      <c r="C1904" s="9">
        <v>1928</v>
      </c>
      <c r="D1904" s="10">
        <v>45736</v>
      </c>
      <c r="E1904" s="11" t="str">
        <f>+HYPERLINK("http://trademark.i-assist.jp/data/china/image_1928th/82835990.pdf","82835990")</f>
        <v>82835990</v>
      </c>
      <c r="F1904" s="9" t="s">
        <v>5254</v>
      </c>
      <c r="G1904" s="9" t="s">
        <v>5255</v>
      </c>
      <c r="H1904" s="9" t="s">
        <v>5256</v>
      </c>
      <c r="I1904" s="10">
        <v>45656</v>
      </c>
    </row>
    <row r="1905" spans="1:9" x14ac:dyDescent="0.15">
      <c r="A1905" s="9">
        <v>1904</v>
      </c>
      <c r="B1905" s="9" t="s">
        <v>9</v>
      </c>
      <c r="C1905" s="9">
        <v>1928</v>
      </c>
      <c r="D1905" s="10">
        <v>45736</v>
      </c>
      <c r="E1905" s="11" t="str">
        <f>+HYPERLINK("http://trademark.i-assist.jp/data/china/image_1928th/82837465.pdf","82837465")</f>
        <v>82837465</v>
      </c>
      <c r="F1905" s="12" t="s">
        <v>5257</v>
      </c>
      <c r="G1905" s="9" t="s">
        <v>5258</v>
      </c>
      <c r="H1905" s="9" t="s">
        <v>5259</v>
      </c>
      <c r="I1905" s="10">
        <v>45656</v>
      </c>
    </row>
    <row r="1906" spans="1:9" x14ac:dyDescent="0.15">
      <c r="A1906" s="9">
        <v>1905</v>
      </c>
      <c r="B1906" s="9" t="s">
        <v>9</v>
      </c>
      <c r="C1906" s="9">
        <v>1928</v>
      </c>
      <c r="D1906" s="10">
        <v>45736</v>
      </c>
      <c r="E1906" s="11" t="str">
        <f>+HYPERLINK("http://trademark.i-assist.jp/data/china/image_1928th/82837887.pdf","82837887")</f>
        <v>82837887</v>
      </c>
      <c r="F1906" s="12" t="s">
        <v>5260</v>
      </c>
      <c r="G1906" s="9" t="s">
        <v>5261</v>
      </c>
      <c r="H1906" s="12" t="s">
        <v>5262</v>
      </c>
      <c r="I1906" s="10">
        <v>45656</v>
      </c>
    </row>
    <row r="1907" spans="1:9" x14ac:dyDescent="0.15">
      <c r="A1907" s="9">
        <v>1906</v>
      </c>
      <c r="B1907" s="9" t="s">
        <v>9</v>
      </c>
      <c r="C1907" s="9">
        <v>1928</v>
      </c>
      <c r="D1907" s="10">
        <v>45736</v>
      </c>
      <c r="E1907" s="11" t="str">
        <f>+HYPERLINK("http://trademark.i-assist.jp/data/china/image_1928th/82841235.pdf","82841235")</f>
        <v>82841235</v>
      </c>
      <c r="F1907" s="9" t="s">
        <v>5263</v>
      </c>
      <c r="G1907" s="9" t="s">
        <v>503</v>
      </c>
      <c r="H1907" s="9" t="s">
        <v>5264</v>
      </c>
      <c r="I1907" s="10">
        <v>45656</v>
      </c>
    </row>
    <row r="1908" spans="1:9" x14ac:dyDescent="0.15">
      <c r="A1908" s="9">
        <v>1907</v>
      </c>
      <c r="B1908" s="9" t="s">
        <v>9</v>
      </c>
      <c r="C1908" s="9">
        <v>1928</v>
      </c>
      <c r="D1908" s="10">
        <v>45736</v>
      </c>
      <c r="E1908" s="11" t="str">
        <f>+HYPERLINK("http://trademark.i-assist.jp/data/china/image_1928th/82841893.pdf","82841893")</f>
        <v>82841893</v>
      </c>
      <c r="F1908" s="9" t="s">
        <v>5265</v>
      </c>
      <c r="G1908" s="9" t="s">
        <v>5266</v>
      </c>
      <c r="H1908" s="9" t="s">
        <v>5267</v>
      </c>
      <c r="I1908" s="10">
        <v>45656</v>
      </c>
    </row>
    <row r="1909" spans="1:9" x14ac:dyDescent="0.15">
      <c r="A1909" s="9">
        <v>1908</v>
      </c>
      <c r="B1909" s="9" t="s">
        <v>9</v>
      </c>
      <c r="C1909" s="9">
        <v>1928</v>
      </c>
      <c r="D1909" s="10">
        <v>45736</v>
      </c>
      <c r="E1909" s="11" t="str">
        <f>+HYPERLINK("http://trademark.i-assist.jp/data/china/image_1928th/82842036.pdf","82842036")</f>
        <v>82842036</v>
      </c>
      <c r="F1909" s="12" t="s">
        <v>18</v>
      </c>
      <c r="G1909" s="9" t="s">
        <v>5268</v>
      </c>
      <c r="H1909" s="9" t="s">
        <v>5269</v>
      </c>
      <c r="I1909" s="10">
        <v>45656</v>
      </c>
    </row>
    <row r="1910" spans="1:9" x14ac:dyDescent="0.15">
      <c r="A1910" s="9">
        <v>1909</v>
      </c>
      <c r="B1910" s="9" t="s">
        <v>9</v>
      </c>
      <c r="C1910" s="9">
        <v>1928</v>
      </c>
      <c r="D1910" s="10">
        <v>45736</v>
      </c>
      <c r="E1910" s="11" t="str">
        <f>+HYPERLINK("http://trademark.i-assist.jp/data/china/image_1928th/82847782.pdf","82847782")</f>
        <v>82847782</v>
      </c>
      <c r="F1910" s="12" t="s">
        <v>18</v>
      </c>
      <c r="G1910" s="9" t="s">
        <v>5270</v>
      </c>
      <c r="H1910" s="9" t="s">
        <v>5271</v>
      </c>
      <c r="I1910" s="10">
        <v>45656</v>
      </c>
    </row>
    <row r="1911" spans="1:9" x14ac:dyDescent="0.15">
      <c r="A1911" s="9">
        <v>1910</v>
      </c>
      <c r="B1911" s="9" t="s">
        <v>9</v>
      </c>
      <c r="C1911" s="9">
        <v>1928</v>
      </c>
      <c r="D1911" s="10">
        <v>45736</v>
      </c>
      <c r="E1911" s="11" t="str">
        <f>+HYPERLINK("http://trademark.i-assist.jp/data/china/image_1928th/82851042.pdf","82851042")</f>
        <v>82851042</v>
      </c>
      <c r="F1911" s="9" t="s">
        <v>5272</v>
      </c>
      <c r="G1911" s="9" t="s">
        <v>5273</v>
      </c>
      <c r="H1911" s="9" t="s">
        <v>5274</v>
      </c>
      <c r="I1911" s="10">
        <v>45656</v>
      </c>
    </row>
    <row r="1912" spans="1:9" x14ac:dyDescent="0.15">
      <c r="A1912" s="9">
        <v>1911</v>
      </c>
      <c r="B1912" s="9" t="s">
        <v>9</v>
      </c>
      <c r="C1912" s="9">
        <v>1928</v>
      </c>
      <c r="D1912" s="10">
        <v>45736</v>
      </c>
      <c r="E1912" s="11" t="str">
        <f>+HYPERLINK("http://trademark.i-assist.jp/data/china/image_1928th/82851696.pdf","82851696")</f>
        <v>82851696</v>
      </c>
      <c r="F1912" s="12" t="s">
        <v>5275</v>
      </c>
      <c r="G1912" s="9" t="s">
        <v>5276</v>
      </c>
      <c r="H1912" s="12" t="s">
        <v>5277</v>
      </c>
      <c r="I1912" s="10">
        <v>45656</v>
      </c>
    </row>
    <row r="1913" spans="1:9" x14ac:dyDescent="0.15">
      <c r="A1913" s="9">
        <v>1912</v>
      </c>
      <c r="B1913" s="9" t="s">
        <v>9</v>
      </c>
      <c r="C1913" s="9">
        <v>1928</v>
      </c>
      <c r="D1913" s="10">
        <v>45736</v>
      </c>
      <c r="E1913" s="11" t="str">
        <f>+HYPERLINK("http://trademark.i-assist.jp/data/china/image_1928th/82851721.pdf","82851721")</f>
        <v>82851721</v>
      </c>
      <c r="F1913" s="12" t="s">
        <v>5278</v>
      </c>
      <c r="G1913" s="9" t="s">
        <v>5276</v>
      </c>
      <c r="H1913" s="9" t="s">
        <v>5279</v>
      </c>
      <c r="I1913" s="10">
        <v>45656</v>
      </c>
    </row>
    <row r="1914" spans="1:9" x14ac:dyDescent="0.15">
      <c r="A1914" s="9">
        <v>1913</v>
      </c>
      <c r="B1914" s="9" t="s">
        <v>9</v>
      </c>
      <c r="C1914" s="9">
        <v>1928</v>
      </c>
      <c r="D1914" s="10">
        <v>45736</v>
      </c>
      <c r="E1914" s="11" t="str">
        <f>+HYPERLINK("http://trademark.i-assist.jp/data/china/image_1928th/82852863.pdf","82852863")</f>
        <v>82852863</v>
      </c>
      <c r="F1914" s="9" t="s">
        <v>5280</v>
      </c>
      <c r="G1914" s="9" t="s">
        <v>5281</v>
      </c>
      <c r="H1914" s="9" t="s">
        <v>5282</v>
      </c>
      <c r="I1914" s="10">
        <v>45656</v>
      </c>
    </row>
    <row r="1915" spans="1:9" x14ac:dyDescent="0.15">
      <c r="A1915" s="9">
        <v>1914</v>
      </c>
      <c r="B1915" s="9" t="s">
        <v>9</v>
      </c>
      <c r="C1915" s="9">
        <v>1928</v>
      </c>
      <c r="D1915" s="10">
        <v>45736</v>
      </c>
      <c r="E1915" s="11" t="str">
        <f>+HYPERLINK("http://trademark.i-assist.jp/data/china/image_1928th/82854001.pdf","82854001")</f>
        <v>82854001</v>
      </c>
      <c r="F1915" s="9" t="s">
        <v>5283</v>
      </c>
      <c r="G1915" s="9" t="s">
        <v>5284</v>
      </c>
      <c r="H1915" s="12" t="s">
        <v>5285</v>
      </c>
      <c r="I1915" s="10">
        <v>45656</v>
      </c>
    </row>
    <row r="1916" spans="1:9" x14ac:dyDescent="0.15">
      <c r="A1916" s="9">
        <v>1915</v>
      </c>
      <c r="B1916" s="9" t="s">
        <v>9</v>
      </c>
      <c r="C1916" s="9">
        <v>1928</v>
      </c>
      <c r="D1916" s="10">
        <v>45736</v>
      </c>
      <c r="E1916" s="11" t="str">
        <f>+HYPERLINK("http://trademark.i-assist.jp/data/china/image_1928th/82854040.pdf","82854040")</f>
        <v>82854040</v>
      </c>
      <c r="F1916" s="12" t="s">
        <v>18</v>
      </c>
      <c r="G1916" s="9" t="s">
        <v>5286</v>
      </c>
      <c r="H1916" s="9" t="s">
        <v>5287</v>
      </c>
      <c r="I1916" s="10">
        <v>45656</v>
      </c>
    </row>
    <row r="1917" spans="1:9" x14ac:dyDescent="0.15">
      <c r="A1917" s="9">
        <v>1916</v>
      </c>
      <c r="B1917" s="9" t="s">
        <v>9</v>
      </c>
      <c r="C1917" s="9">
        <v>1928</v>
      </c>
      <c r="D1917" s="10">
        <v>45736</v>
      </c>
      <c r="E1917" s="11" t="str">
        <f>+HYPERLINK("http://trademark.i-assist.jp/data/china/image_1928th/82854386.pdf","82854386")</f>
        <v>82854386</v>
      </c>
      <c r="F1917" s="9" t="s">
        <v>5288</v>
      </c>
      <c r="G1917" s="12" t="s">
        <v>5289</v>
      </c>
      <c r="H1917" s="12" t="s">
        <v>5290</v>
      </c>
      <c r="I1917" s="10">
        <v>45656</v>
      </c>
    </row>
    <row r="1918" spans="1:9" x14ac:dyDescent="0.15">
      <c r="A1918" s="9">
        <v>1917</v>
      </c>
      <c r="B1918" s="9" t="s">
        <v>9</v>
      </c>
      <c r="C1918" s="9">
        <v>1928</v>
      </c>
      <c r="D1918" s="10">
        <v>45736</v>
      </c>
      <c r="E1918" s="11" t="str">
        <f>+HYPERLINK("http://trademark.i-assist.jp/data/china/image_1928th/82854965.pdf","82854965")</f>
        <v>82854965</v>
      </c>
      <c r="F1918" s="12" t="s">
        <v>18</v>
      </c>
      <c r="G1918" s="12" t="s">
        <v>5291</v>
      </c>
      <c r="H1918" s="9" t="s">
        <v>5292</v>
      </c>
      <c r="I1918" s="10">
        <v>45656</v>
      </c>
    </row>
    <row r="1919" spans="1:9" x14ac:dyDescent="0.15">
      <c r="A1919" s="9">
        <v>1918</v>
      </c>
      <c r="B1919" s="9" t="s">
        <v>9</v>
      </c>
      <c r="C1919" s="9">
        <v>1928</v>
      </c>
      <c r="D1919" s="10">
        <v>45736</v>
      </c>
      <c r="E1919" s="11" t="str">
        <f>+HYPERLINK("http://trademark.i-assist.jp/data/china/image_1928th/82855332.pdf","82855332")</f>
        <v>82855332</v>
      </c>
      <c r="F1919" s="9" t="s">
        <v>5293</v>
      </c>
      <c r="G1919" s="12" t="s">
        <v>5294</v>
      </c>
      <c r="H1919" s="9" t="s">
        <v>5295</v>
      </c>
      <c r="I1919" s="10">
        <v>45656</v>
      </c>
    </row>
    <row r="1920" spans="1:9" x14ac:dyDescent="0.15">
      <c r="A1920" s="9">
        <v>1919</v>
      </c>
      <c r="B1920" s="9" t="s">
        <v>9</v>
      </c>
      <c r="C1920" s="9">
        <v>1928</v>
      </c>
      <c r="D1920" s="10">
        <v>45736</v>
      </c>
      <c r="E1920" s="11" t="str">
        <f>+HYPERLINK("http://trademark.i-assist.jp/data/china/image_1928th/82857783.pdf","82857783")</f>
        <v>82857783</v>
      </c>
      <c r="F1920" s="9" t="s">
        <v>5296</v>
      </c>
      <c r="G1920" s="12" t="s">
        <v>5297</v>
      </c>
      <c r="H1920" s="12" t="s">
        <v>5298</v>
      </c>
      <c r="I1920" s="10">
        <v>45656</v>
      </c>
    </row>
    <row r="1921" spans="1:9" x14ac:dyDescent="0.15">
      <c r="A1921" s="9">
        <v>1920</v>
      </c>
      <c r="B1921" s="9" t="s">
        <v>9</v>
      </c>
      <c r="C1921" s="9">
        <v>1928</v>
      </c>
      <c r="D1921" s="10">
        <v>45736</v>
      </c>
      <c r="E1921" s="11" t="str">
        <f>+HYPERLINK("http://trademark.i-assist.jp/data/china/image_1928th/82858520.pdf","82858520")</f>
        <v>82858520</v>
      </c>
      <c r="F1921" s="12" t="s">
        <v>5299</v>
      </c>
      <c r="G1921" s="9" t="s">
        <v>2110</v>
      </c>
      <c r="H1921" s="9" t="s">
        <v>5300</v>
      </c>
      <c r="I1921" s="10">
        <v>45656</v>
      </c>
    </row>
    <row r="1922" spans="1:9" x14ac:dyDescent="0.15">
      <c r="A1922" s="9">
        <v>1921</v>
      </c>
      <c r="B1922" s="9" t="s">
        <v>9</v>
      </c>
      <c r="C1922" s="9">
        <v>1928</v>
      </c>
      <c r="D1922" s="10">
        <v>45736</v>
      </c>
      <c r="E1922" s="11" t="str">
        <f>+HYPERLINK("http://trademark.i-assist.jp/data/china/image_1928th/82861875.pdf","82861875")</f>
        <v>82861875</v>
      </c>
      <c r="F1922" s="12" t="s">
        <v>5301</v>
      </c>
      <c r="G1922" s="9" t="s">
        <v>5302</v>
      </c>
      <c r="H1922" s="9" t="s">
        <v>5303</v>
      </c>
      <c r="I1922" s="10">
        <v>45657</v>
      </c>
    </row>
    <row r="1923" spans="1:9" x14ac:dyDescent="0.15">
      <c r="A1923" s="9">
        <v>1922</v>
      </c>
      <c r="B1923" s="9" t="s">
        <v>9</v>
      </c>
      <c r="C1923" s="9">
        <v>1928</v>
      </c>
      <c r="D1923" s="10">
        <v>45736</v>
      </c>
      <c r="E1923" s="11" t="str">
        <f>+HYPERLINK("http://trademark.i-assist.jp/data/china/image_1928th/82865024.pdf","82865024")</f>
        <v>82865024</v>
      </c>
      <c r="F1923" s="9" t="s">
        <v>5304</v>
      </c>
      <c r="G1923" s="9" t="s">
        <v>5305</v>
      </c>
      <c r="H1923" s="9" t="s">
        <v>5306</v>
      </c>
      <c r="I1923" s="10">
        <v>45657</v>
      </c>
    </row>
    <row r="1924" spans="1:9" x14ac:dyDescent="0.15">
      <c r="A1924" s="9">
        <v>1923</v>
      </c>
      <c r="B1924" s="9" t="s">
        <v>9</v>
      </c>
      <c r="C1924" s="9">
        <v>1928</v>
      </c>
      <c r="D1924" s="10">
        <v>45736</v>
      </c>
      <c r="E1924" s="11" t="str">
        <f>+HYPERLINK("http://trademark.i-assist.jp/data/china/image_1928th/82865952.pdf","82865952")</f>
        <v>82865952</v>
      </c>
      <c r="F1924" s="9" t="s">
        <v>5307</v>
      </c>
      <c r="G1924" s="9" t="s">
        <v>5308</v>
      </c>
      <c r="H1924" s="9" t="s">
        <v>5309</v>
      </c>
      <c r="I1924" s="10">
        <v>45657</v>
      </c>
    </row>
    <row r="1925" spans="1:9" x14ac:dyDescent="0.15">
      <c r="A1925" s="9">
        <v>1924</v>
      </c>
      <c r="B1925" s="9" t="s">
        <v>9</v>
      </c>
      <c r="C1925" s="9">
        <v>1928</v>
      </c>
      <c r="D1925" s="10">
        <v>45736</v>
      </c>
      <c r="E1925" s="11" t="str">
        <f>+HYPERLINK("http://trademark.i-assist.jp/data/china/image_1928th/82870501.pdf","82870501")</f>
        <v>82870501</v>
      </c>
      <c r="F1925" s="9" t="s">
        <v>5310</v>
      </c>
      <c r="G1925" s="9" t="s">
        <v>5311</v>
      </c>
      <c r="H1925" s="9" t="s">
        <v>5312</v>
      </c>
      <c r="I1925" s="10">
        <v>45657</v>
      </c>
    </row>
    <row r="1926" spans="1:9" x14ac:dyDescent="0.15">
      <c r="A1926" s="9">
        <v>1925</v>
      </c>
      <c r="B1926" s="9" t="s">
        <v>9</v>
      </c>
      <c r="C1926" s="9">
        <v>1928</v>
      </c>
      <c r="D1926" s="10">
        <v>45736</v>
      </c>
      <c r="E1926" s="11" t="str">
        <f>+HYPERLINK("http://trademark.i-assist.jp/data/china/image_1928th/82876441.pdf","82876441")</f>
        <v>82876441</v>
      </c>
      <c r="F1926" s="12" t="s">
        <v>5313</v>
      </c>
      <c r="G1926" s="9" t="s">
        <v>5314</v>
      </c>
      <c r="H1926" s="9" t="s">
        <v>5315</v>
      </c>
      <c r="I1926" s="10">
        <v>45657</v>
      </c>
    </row>
    <row r="1927" spans="1:9" x14ac:dyDescent="0.15">
      <c r="A1927" s="9">
        <v>1926</v>
      </c>
      <c r="B1927" s="9" t="s">
        <v>9</v>
      </c>
      <c r="C1927" s="9">
        <v>1928</v>
      </c>
      <c r="D1927" s="10">
        <v>45736</v>
      </c>
      <c r="E1927" s="11" t="str">
        <f>+HYPERLINK("http://trademark.i-assist.jp/data/china/image_1928th/82877036.pdf","82877036")</f>
        <v>82877036</v>
      </c>
      <c r="F1927" s="9" t="s">
        <v>5316</v>
      </c>
      <c r="G1927" s="9" t="s">
        <v>5317</v>
      </c>
      <c r="H1927" s="12" t="s">
        <v>5318</v>
      </c>
      <c r="I1927" s="10">
        <v>45657</v>
      </c>
    </row>
    <row r="1928" spans="1:9" x14ac:dyDescent="0.15">
      <c r="A1928" s="9">
        <v>1927</v>
      </c>
      <c r="B1928" s="9" t="s">
        <v>9</v>
      </c>
      <c r="C1928" s="9">
        <v>1928</v>
      </c>
      <c r="D1928" s="10">
        <v>45736</v>
      </c>
      <c r="E1928" s="11" t="str">
        <f>+HYPERLINK("http://trademark.i-assist.jp/data/china/image_1928th/82877994.pdf","82877994")</f>
        <v>82877994</v>
      </c>
      <c r="F1928" s="12" t="s">
        <v>5319</v>
      </c>
      <c r="G1928" s="12" t="s">
        <v>5320</v>
      </c>
      <c r="H1928" s="9" t="s">
        <v>5321</v>
      </c>
      <c r="I1928" s="10">
        <v>45657</v>
      </c>
    </row>
    <row r="1929" spans="1:9" x14ac:dyDescent="0.15">
      <c r="A1929" s="9">
        <v>1928</v>
      </c>
      <c r="B1929" s="9" t="s">
        <v>9</v>
      </c>
      <c r="C1929" s="9">
        <v>1928</v>
      </c>
      <c r="D1929" s="10">
        <v>45736</v>
      </c>
      <c r="E1929" s="11" t="str">
        <f>+HYPERLINK("http://trademark.i-assist.jp/data/china/image_1928th/82880466.pdf","82880466")</f>
        <v>82880466</v>
      </c>
      <c r="F1929" s="9" t="s">
        <v>5322</v>
      </c>
      <c r="G1929" s="9" t="s">
        <v>5323</v>
      </c>
      <c r="H1929" s="9" t="s">
        <v>5324</v>
      </c>
      <c r="I1929" s="10">
        <v>45657</v>
      </c>
    </row>
    <row r="1930" spans="1:9" x14ac:dyDescent="0.15">
      <c r="A1930" s="9">
        <v>1929</v>
      </c>
      <c r="B1930" s="9" t="s">
        <v>9</v>
      </c>
      <c r="C1930" s="9">
        <v>1928</v>
      </c>
      <c r="D1930" s="10">
        <v>45736</v>
      </c>
      <c r="E1930" s="11" t="str">
        <f>+HYPERLINK("http://trademark.i-assist.jp/data/china/image_1928th/82881856.pdf","82881856")</f>
        <v>82881856</v>
      </c>
      <c r="F1930" s="9" t="s">
        <v>5325</v>
      </c>
      <c r="G1930" s="12" t="s">
        <v>5326</v>
      </c>
      <c r="H1930" s="9" t="s">
        <v>5327</v>
      </c>
      <c r="I1930" s="10">
        <v>45657</v>
      </c>
    </row>
    <row r="1931" spans="1:9" x14ac:dyDescent="0.15">
      <c r="A1931" s="9">
        <v>1930</v>
      </c>
      <c r="B1931" s="9" t="s">
        <v>9</v>
      </c>
      <c r="C1931" s="9">
        <v>1928</v>
      </c>
      <c r="D1931" s="10">
        <v>45736</v>
      </c>
      <c r="E1931" s="11" t="str">
        <f>+HYPERLINK("http://trademark.i-assist.jp/data/china/image_1928th/82884739.pdf","82884739")</f>
        <v>82884739</v>
      </c>
      <c r="F1931" s="9" t="s">
        <v>5328</v>
      </c>
      <c r="G1931" s="9" t="s">
        <v>5329</v>
      </c>
      <c r="H1931" s="9" t="s">
        <v>5330</v>
      </c>
      <c r="I1931" s="10">
        <v>45657</v>
      </c>
    </row>
    <row r="1932" spans="1:9" x14ac:dyDescent="0.15">
      <c r="A1932" s="9">
        <v>1931</v>
      </c>
      <c r="B1932" s="9" t="s">
        <v>9</v>
      </c>
      <c r="C1932" s="9">
        <v>1928</v>
      </c>
      <c r="D1932" s="10">
        <v>45736</v>
      </c>
      <c r="E1932" s="11" t="str">
        <f>+HYPERLINK("http://trademark.i-assist.jp/data/china/image_1928th/82890284.pdf","82890284")</f>
        <v>82890284</v>
      </c>
      <c r="F1932" s="9" t="s">
        <v>5331</v>
      </c>
      <c r="G1932" s="12" t="s">
        <v>5332</v>
      </c>
      <c r="H1932" s="9" t="s">
        <v>5333</v>
      </c>
      <c r="I1932" s="10">
        <v>45658</v>
      </c>
    </row>
    <row r="1933" spans="1:9" x14ac:dyDescent="0.15">
      <c r="A1933" s="9">
        <v>1932</v>
      </c>
      <c r="B1933" s="9" t="s">
        <v>9</v>
      </c>
      <c r="C1933" s="9">
        <v>1928</v>
      </c>
      <c r="D1933" s="10">
        <v>45736</v>
      </c>
      <c r="E1933" s="11" t="str">
        <f>+HYPERLINK("http://trademark.i-assist.jp/data/china/image_1928th/82893206.pdf","82893206")</f>
        <v>82893206</v>
      </c>
      <c r="F1933" s="9" t="s">
        <v>5334</v>
      </c>
      <c r="G1933" s="9" t="s">
        <v>5335</v>
      </c>
      <c r="H1933" s="12" t="s">
        <v>5336</v>
      </c>
      <c r="I1933" s="10">
        <v>45659</v>
      </c>
    </row>
    <row r="1934" spans="1:9" x14ac:dyDescent="0.15">
      <c r="A1934" s="9">
        <v>1933</v>
      </c>
      <c r="B1934" s="9" t="s">
        <v>9</v>
      </c>
      <c r="C1934" s="9">
        <v>1928</v>
      </c>
      <c r="D1934" s="10">
        <v>45736</v>
      </c>
      <c r="E1934" s="11" t="str">
        <f>+HYPERLINK("http://trademark.i-assist.jp/data/china/image_1928th/82896023.pdf","82896023")</f>
        <v>82896023</v>
      </c>
      <c r="F1934" s="9" t="s">
        <v>5337</v>
      </c>
      <c r="G1934" s="9" t="s">
        <v>5338</v>
      </c>
      <c r="H1934" s="9" t="s">
        <v>5339</v>
      </c>
      <c r="I1934" s="10">
        <v>45659</v>
      </c>
    </row>
    <row r="1935" spans="1:9" x14ac:dyDescent="0.15">
      <c r="A1935" s="9">
        <v>1934</v>
      </c>
      <c r="B1935" s="9" t="s">
        <v>9</v>
      </c>
      <c r="C1935" s="9">
        <v>1928</v>
      </c>
      <c r="D1935" s="10">
        <v>45736</v>
      </c>
      <c r="E1935" s="11" t="str">
        <f>+HYPERLINK("http://trademark.i-assist.jp/data/china/image_1928th/82896129.pdf","82896129")</f>
        <v>82896129</v>
      </c>
      <c r="F1935" s="9" t="s">
        <v>5340</v>
      </c>
      <c r="G1935" s="9" t="s">
        <v>5341</v>
      </c>
      <c r="H1935" s="9" t="s">
        <v>5342</v>
      </c>
      <c r="I1935" s="10">
        <v>45659</v>
      </c>
    </row>
    <row r="1936" spans="1:9" x14ac:dyDescent="0.15">
      <c r="A1936" s="9">
        <v>1935</v>
      </c>
      <c r="B1936" s="9" t="s">
        <v>9</v>
      </c>
      <c r="C1936" s="9">
        <v>1928</v>
      </c>
      <c r="D1936" s="10">
        <v>45736</v>
      </c>
      <c r="E1936" s="11" t="str">
        <f>+HYPERLINK("http://trademark.i-assist.jp/data/china/image_1928th/82896705.pdf","82896705")</f>
        <v>82896705</v>
      </c>
      <c r="F1936" s="9" t="s">
        <v>5343</v>
      </c>
      <c r="G1936" s="9" t="s">
        <v>5344</v>
      </c>
      <c r="H1936" s="9" t="s">
        <v>5345</v>
      </c>
      <c r="I1936" s="10">
        <v>45659</v>
      </c>
    </row>
    <row r="1937" spans="1:9" x14ac:dyDescent="0.15">
      <c r="A1937" s="9">
        <v>1936</v>
      </c>
      <c r="B1937" s="9" t="s">
        <v>9</v>
      </c>
      <c r="C1937" s="9">
        <v>1928</v>
      </c>
      <c r="D1937" s="10">
        <v>45736</v>
      </c>
      <c r="E1937" s="11" t="str">
        <f>+HYPERLINK("http://trademark.i-assist.jp/data/china/image_1928th/82898490.pdf","82898490")</f>
        <v>82898490</v>
      </c>
      <c r="F1937" s="9" t="s">
        <v>5346</v>
      </c>
      <c r="G1937" s="9" t="s">
        <v>2910</v>
      </c>
      <c r="H1937" s="9" t="s">
        <v>5347</v>
      </c>
      <c r="I1937" s="10">
        <v>45659</v>
      </c>
    </row>
    <row r="1938" spans="1:9" x14ac:dyDescent="0.15">
      <c r="A1938" s="9">
        <v>1937</v>
      </c>
      <c r="B1938" s="9" t="s">
        <v>9</v>
      </c>
      <c r="C1938" s="9">
        <v>1928</v>
      </c>
      <c r="D1938" s="10">
        <v>45736</v>
      </c>
      <c r="E1938" s="11" t="str">
        <f>+HYPERLINK("http://trademark.i-assist.jp/data/china/image_1928th/82900748.pdf","82900748")</f>
        <v>82900748</v>
      </c>
      <c r="F1938" s="9" t="s">
        <v>5348</v>
      </c>
      <c r="G1938" s="9" t="s">
        <v>2910</v>
      </c>
      <c r="H1938" s="9" t="s">
        <v>5349</v>
      </c>
      <c r="I1938" s="10">
        <v>45659</v>
      </c>
    </row>
    <row r="1939" spans="1:9" x14ac:dyDescent="0.15">
      <c r="A1939" s="9">
        <v>1938</v>
      </c>
      <c r="B1939" s="9" t="s">
        <v>9</v>
      </c>
      <c r="C1939" s="9">
        <v>1928</v>
      </c>
      <c r="D1939" s="10">
        <v>45736</v>
      </c>
      <c r="E1939" s="11" t="str">
        <f>+HYPERLINK("http://trademark.i-assist.jp/data/china/image_1928th/82903950.pdf","82903950")</f>
        <v>82903950</v>
      </c>
      <c r="F1939" s="9" t="s">
        <v>5350</v>
      </c>
      <c r="G1939" s="9" t="s">
        <v>5351</v>
      </c>
      <c r="H1939" s="9" t="s">
        <v>5352</v>
      </c>
      <c r="I1939" s="10">
        <v>45659</v>
      </c>
    </row>
    <row r="1940" spans="1:9" x14ac:dyDescent="0.15">
      <c r="A1940" s="9">
        <v>1939</v>
      </c>
      <c r="B1940" s="9" t="s">
        <v>9</v>
      </c>
      <c r="C1940" s="9">
        <v>1928</v>
      </c>
      <c r="D1940" s="10">
        <v>45736</v>
      </c>
      <c r="E1940" s="11" t="str">
        <f>+HYPERLINK("http://trademark.i-assist.jp/data/china/image_1928th/82904544.pdf","82904544")</f>
        <v>82904544</v>
      </c>
      <c r="F1940" s="9" t="s">
        <v>5353</v>
      </c>
      <c r="G1940" s="9" t="s">
        <v>5354</v>
      </c>
      <c r="H1940" s="9" t="s">
        <v>5355</v>
      </c>
      <c r="I1940" s="10">
        <v>45659</v>
      </c>
    </row>
    <row r="1941" spans="1:9" x14ac:dyDescent="0.15">
      <c r="A1941" s="9">
        <v>1940</v>
      </c>
      <c r="B1941" s="9" t="s">
        <v>9</v>
      </c>
      <c r="C1941" s="9">
        <v>1928</v>
      </c>
      <c r="D1941" s="10">
        <v>45736</v>
      </c>
      <c r="E1941" s="11" t="str">
        <f>+HYPERLINK("http://trademark.i-assist.jp/data/china/image_1928th/82909164.pdf","82909164")</f>
        <v>82909164</v>
      </c>
      <c r="F1941" s="9" t="s">
        <v>5356</v>
      </c>
      <c r="G1941" s="9" t="s">
        <v>64</v>
      </c>
      <c r="H1941" s="9" t="s">
        <v>5357</v>
      </c>
      <c r="I1941" s="10">
        <v>45659</v>
      </c>
    </row>
    <row r="1942" spans="1:9" x14ac:dyDescent="0.15">
      <c r="A1942" s="9">
        <v>1941</v>
      </c>
      <c r="B1942" s="9" t="s">
        <v>9</v>
      </c>
      <c r="C1942" s="9">
        <v>1928</v>
      </c>
      <c r="D1942" s="10">
        <v>45736</v>
      </c>
      <c r="E1942" s="11" t="str">
        <f>+HYPERLINK("http://trademark.i-assist.jp/data/china/image_1928th/82910304.pdf","82910304")</f>
        <v>82910304</v>
      </c>
      <c r="F1942" s="9" t="s">
        <v>5358</v>
      </c>
      <c r="G1942" s="9" t="s">
        <v>64</v>
      </c>
      <c r="H1942" s="9" t="s">
        <v>5359</v>
      </c>
      <c r="I1942" s="10">
        <v>45659</v>
      </c>
    </row>
    <row r="1943" spans="1:9" x14ac:dyDescent="0.15">
      <c r="A1943" s="9">
        <v>1942</v>
      </c>
      <c r="B1943" s="9" t="s">
        <v>9</v>
      </c>
      <c r="C1943" s="9">
        <v>1928</v>
      </c>
      <c r="D1943" s="10">
        <v>45736</v>
      </c>
      <c r="E1943" s="11" t="str">
        <f>+HYPERLINK("http://trademark.i-assist.jp/data/china/image_1928th/82911797.pdf","82911797")</f>
        <v>82911797</v>
      </c>
      <c r="F1943" s="9" t="s">
        <v>5360</v>
      </c>
      <c r="G1943" s="9" t="s">
        <v>5361</v>
      </c>
      <c r="H1943" s="9" t="s">
        <v>5362</v>
      </c>
      <c r="I1943" s="10">
        <v>45660</v>
      </c>
    </row>
    <row r="1944" spans="1:9" x14ac:dyDescent="0.15">
      <c r="A1944" s="9">
        <v>1943</v>
      </c>
      <c r="B1944" s="9" t="s">
        <v>9</v>
      </c>
      <c r="C1944" s="9">
        <v>1928</v>
      </c>
      <c r="D1944" s="10">
        <v>45736</v>
      </c>
      <c r="E1944" s="11" t="str">
        <f>+HYPERLINK("http://trademark.i-assist.jp/data/china/image_1928th/82913194.pdf","82913194")</f>
        <v>82913194</v>
      </c>
      <c r="F1944" s="9" t="s">
        <v>5363</v>
      </c>
      <c r="G1944" s="9" t="s">
        <v>5364</v>
      </c>
      <c r="H1944" s="9" t="s">
        <v>5365</v>
      </c>
      <c r="I1944" s="10">
        <v>45660</v>
      </c>
    </row>
    <row r="1945" spans="1:9" x14ac:dyDescent="0.15">
      <c r="A1945" s="9">
        <v>1944</v>
      </c>
      <c r="B1945" s="9" t="s">
        <v>9</v>
      </c>
      <c r="C1945" s="9">
        <v>1928</v>
      </c>
      <c r="D1945" s="10">
        <v>45736</v>
      </c>
      <c r="E1945" s="11" t="str">
        <f>+HYPERLINK("http://trademark.i-assist.jp/data/china/image_1928th/82915754.pdf","82915754")</f>
        <v>82915754</v>
      </c>
      <c r="F1945" s="9" t="s">
        <v>5366</v>
      </c>
      <c r="G1945" s="9" t="s">
        <v>5367</v>
      </c>
      <c r="H1945" s="12" t="s">
        <v>5368</v>
      </c>
      <c r="I1945" s="10">
        <v>45660</v>
      </c>
    </row>
    <row r="1946" spans="1:9" x14ac:dyDescent="0.15">
      <c r="A1946" s="9">
        <v>1945</v>
      </c>
      <c r="B1946" s="9" t="s">
        <v>9</v>
      </c>
      <c r="C1946" s="9">
        <v>1928</v>
      </c>
      <c r="D1946" s="10">
        <v>45736</v>
      </c>
      <c r="E1946" s="11" t="str">
        <f>+HYPERLINK("http://trademark.i-assist.jp/data/china/image_1928th/82916131.pdf","82916131")</f>
        <v>82916131</v>
      </c>
      <c r="F1946" s="9" t="s">
        <v>5369</v>
      </c>
      <c r="G1946" s="9" t="s">
        <v>5370</v>
      </c>
      <c r="H1946" s="9" t="s">
        <v>5371</v>
      </c>
      <c r="I1946" s="10">
        <v>45660</v>
      </c>
    </row>
    <row r="1947" spans="1:9" x14ac:dyDescent="0.15">
      <c r="A1947" s="9">
        <v>1946</v>
      </c>
      <c r="B1947" s="9" t="s">
        <v>9</v>
      </c>
      <c r="C1947" s="9">
        <v>1928</v>
      </c>
      <c r="D1947" s="10">
        <v>45736</v>
      </c>
      <c r="E1947" s="11" t="str">
        <f>+HYPERLINK("http://trademark.i-assist.jp/data/china/image_1928th/82917314.pdf","82917314")</f>
        <v>82917314</v>
      </c>
      <c r="F1947" s="9" t="s">
        <v>5372</v>
      </c>
      <c r="G1947" s="9" t="s">
        <v>5373</v>
      </c>
      <c r="H1947" s="9" t="s">
        <v>5374</v>
      </c>
      <c r="I1947" s="10">
        <v>45660</v>
      </c>
    </row>
    <row r="1948" spans="1:9" x14ac:dyDescent="0.15">
      <c r="A1948" s="9">
        <v>1947</v>
      </c>
      <c r="B1948" s="9" t="s">
        <v>9</v>
      </c>
      <c r="C1948" s="9">
        <v>1928</v>
      </c>
      <c r="D1948" s="10">
        <v>45736</v>
      </c>
      <c r="E1948" s="11" t="str">
        <f>+HYPERLINK("http://trademark.i-assist.jp/data/china/image_1928th/82922609.pdf","82922609")</f>
        <v>82922609</v>
      </c>
      <c r="F1948" s="9" t="s">
        <v>5375</v>
      </c>
      <c r="G1948" s="9" t="s">
        <v>5376</v>
      </c>
      <c r="H1948" s="9" t="s">
        <v>5377</v>
      </c>
      <c r="I1948" s="10">
        <v>45660</v>
      </c>
    </row>
    <row r="1949" spans="1:9" x14ac:dyDescent="0.15">
      <c r="A1949" s="9">
        <v>1948</v>
      </c>
      <c r="B1949" s="9" t="s">
        <v>9</v>
      </c>
      <c r="C1949" s="9">
        <v>1928</v>
      </c>
      <c r="D1949" s="10">
        <v>45736</v>
      </c>
      <c r="E1949" s="11" t="str">
        <f>+HYPERLINK("http://trademark.i-assist.jp/data/china/image_1928th/82924598.pdf","82924598")</f>
        <v>82924598</v>
      </c>
      <c r="F1949" s="9" t="s">
        <v>5378</v>
      </c>
      <c r="G1949" s="9" t="s">
        <v>5379</v>
      </c>
      <c r="H1949" s="9" t="s">
        <v>5380</v>
      </c>
      <c r="I1949" s="10">
        <v>45660</v>
      </c>
    </row>
    <row r="1950" spans="1:9" x14ac:dyDescent="0.15">
      <c r="A1950" s="9">
        <v>1949</v>
      </c>
      <c r="B1950" s="9" t="s">
        <v>9</v>
      </c>
      <c r="C1950" s="9">
        <v>1928</v>
      </c>
      <c r="D1950" s="10">
        <v>45736</v>
      </c>
      <c r="E1950" s="11" t="str">
        <f>+HYPERLINK("http://trademark.i-assist.jp/data/china/image_1928th/82924693.pdf","82924693")</f>
        <v>82924693</v>
      </c>
      <c r="F1950" s="12" t="s">
        <v>18</v>
      </c>
      <c r="G1950" s="9" t="s">
        <v>5381</v>
      </c>
      <c r="H1950" s="9" t="s">
        <v>5382</v>
      </c>
      <c r="I1950" s="10">
        <v>45660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1928th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2025-04-08T07:55:22Z</dcterms:modified>
</cp:coreProperties>
</file>