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7\"/>
    </mc:Choice>
  </mc:AlternateContent>
  <xr:revisionPtr revIDLastSave="0" documentId="13_ncr:1_{FB8B3A5E-5325-47F6-BA79-90BD38412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27th" sheetId="2" r:id="rId1"/>
  </sheets>
  <definedNames>
    <definedName name="_xlnm._FilterDatabase" localSheetId="0" hidden="1">'1927th'!$A$1:$I$1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37" i="2" l="1"/>
  <c r="E3136" i="2"/>
  <c r="E3135" i="2"/>
  <c r="E3134" i="2"/>
  <c r="E3133" i="2"/>
  <c r="E3132" i="2"/>
  <c r="E3131" i="2"/>
  <c r="E3130" i="2"/>
  <c r="E3129" i="2"/>
  <c r="E3128" i="2"/>
  <c r="E3127" i="2"/>
  <c r="E3126" i="2"/>
  <c r="E3125" i="2"/>
  <c r="E3124" i="2"/>
  <c r="E3123" i="2"/>
  <c r="E3122" i="2"/>
  <c r="E3121" i="2"/>
  <c r="E3120" i="2"/>
  <c r="E3119" i="2"/>
  <c r="E3118" i="2"/>
  <c r="E3117" i="2"/>
  <c r="E3116" i="2"/>
  <c r="E3115" i="2"/>
  <c r="E3114" i="2"/>
  <c r="E3113" i="2"/>
  <c r="E3112" i="2"/>
  <c r="E3111" i="2"/>
  <c r="E3110" i="2"/>
  <c r="E3109" i="2"/>
  <c r="E3108" i="2"/>
  <c r="E3107" i="2"/>
  <c r="E3106" i="2"/>
  <c r="E3105" i="2"/>
  <c r="E3104" i="2"/>
  <c r="E3103" i="2"/>
  <c r="E3102" i="2"/>
  <c r="E3101" i="2"/>
  <c r="E3100" i="2"/>
  <c r="E3099" i="2"/>
  <c r="E3098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3061" i="2"/>
  <c r="E3060" i="2"/>
  <c r="E3059" i="2"/>
  <c r="E3058" i="2"/>
  <c r="E3057" i="2"/>
  <c r="E3056" i="2"/>
  <c r="E3055" i="2"/>
  <c r="E3054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32" i="2"/>
  <c r="E3031" i="2"/>
  <c r="E3030" i="2"/>
  <c r="E3029" i="2"/>
  <c r="E3028" i="2"/>
  <c r="E3027" i="2"/>
  <c r="E3026" i="2"/>
  <c r="E3025" i="2"/>
  <c r="E3024" i="2"/>
  <c r="E3023" i="2"/>
  <c r="E3022" i="2"/>
  <c r="E3021" i="2"/>
  <c r="E3020" i="2"/>
  <c r="E3019" i="2"/>
  <c r="E3018" i="2"/>
  <c r="E3017" i="2"/>
  <c r="E3016" i="2"/>
  <c r="E3015" i="2"/>
  <c r="E3014" i="2"/>
  <c r="E3013" i="2"/>
  <c r="E3012" i="2"/>
  <c r="E3011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<sst xmlns="http://schemas.openxmlformats.org/spreadsheetml/2006/main" count="12553" uniqueCount="8550">
  <si>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</si>
  <si>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</si>
  <si>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</si>
  <si>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</si>
  <si>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</si>
  <si>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</si>
  <si>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</si>
  <si>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</si>
  <si>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</si>
  <si>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</si>
  <si>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白酒</t>
  </si>
  <si>
    <t>卢莹</t>
  </si>
  <si>
    <t>酒鬼酒股份有限公司</t>
  </si>
  <si>
    <t>曾建国</t>
  </si>
  <si>
    <t>邱邱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</si>
  <si>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</si>
  <si>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</si>
  <si>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</si>
  <si>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</si>
  <si>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）生</t>
    </r>
    <r>
      <rPr>
        <sz val="11"/>
        <color theme="1"/>
        <rFont val="ＭＳ Ｐゴシック"/>
        <family val="3"/>
        <charset val="134"/>
        <scheme val="minor"/>
      </rPr>
      <t>态农业产业发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</si>
  <si>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</si>
  <si>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酒仙控股集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</si>
  <si>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</si>
  <si>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</si>
  <si>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河南拾美餐旅文化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</si>
  <si>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</si>
  <si>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t>胡利勤</t>
  </si>
  <si>
    <r>
      <t>荐山企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</si>
  <si>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</si>
  <si>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t>李江</t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</si>
  <si>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</si>
  <si>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</si>
  <si>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胡粤浪</t>
  </si>
  <si>
    <r>
      <t>张</t>
    </r>
    <r>
      <rPr>
        <sz val="11"/>
        <color theme="1"/>
        <rFont val="ＭＳ Ｐゴシック"/>
        <family val="3"/>
        <charset val="128"/>
        <scheme val="minor"/>
      </rPr>
      <t>雨</t>
    </r>
  </si>
  <si>
    <t>江婷婷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</si>
  <si>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容企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</si>
  <si>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召</t>
    </r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</si>
  <si>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</si>
  <si>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李佳佳</t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</si>
  <si>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</si>
  <si>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</si>
  <si>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刘洋</t>
  </si>
  <si>
    <r>
      <t>上海米澳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</si>
  <si>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胡友生</t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</si>
  <si>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</si>
  <si>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杭州文商酒客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</si>
  <si>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紫椹生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</si>
  <si>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t>王自升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</si>
  <si>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小康科技有限公司</t>
    </r>
  </si>
  <si>
    <t>姚玉珍</t>
  </si>
  <si>
    <t>付文波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</si>
  <si>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</si>
  <si>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谭乐</t>
    </r>
    <r>
      <rPr>
        <sz val="11"/>
        <color theme="1"/>
        <rFont val="ＭＳ Ｐゴシック"/>
        <family val="3"/>
        <charset val="128"/>
        <scheme val="minor"/>
      </rPr>
      <t>怡</t>
    </r>
  </si>
  <si>
    <t>阮志林</t>
  </si>
  <si>
    <r>
      <t>周口百斯特威酒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</si>
  <si>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曾奇英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</si>
  <si>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寰憬融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</si>
  <si>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</si>
  <si>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四川三江源酒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</si>
  <si>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</si>
  <si>
    <t>郭立娜</t>
  </si>
  <si>
    <t>刘站芳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</si>
  <si>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震洲五醍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</si>
  <si>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</si>
  <si>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体健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</si>
  <si>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</si>
  <si>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杜家</t>
    </r>
    <r>
      <rPr>
        <sz val="11"/>
        <color theme="1"/>
        <rFont val="ＭＳ Ｐゴシック"/>
        <family val="3"/>
        <charset val="134"/>
        <scheme val="minor"/>
      </rPr>
      <t>辉</t>
    </r>
  </si>
  <si>
    <t>王勇</t>
  </si>
  <si>
    <r>
      <t>里巴斯和阿</t>
    </r>
    <r>
      <rPr>
        <sz val="11"/>
        <color theme="1"/>
        <rFont val="ＭＳ Ｐゴシック"/>
        <family val="3"/>
        <charset val="134"/>
        <scheme val="minor"/>
      </rPr>
      <t>让</t>
    </r>
    <r>
      <rPr>
        <sz val="11"/>
        <color theme="1"/>
        <rFont val="ＭＳ Ｐゴシック"/>
        <family val="3"/>
        <charset val="128"/>
        <scheme val="minor"/>
      </rPr>
      <t>堤耶</t>
    </r>
    <r>
      <rPr>
        <sz val="11"/>
        <color theme="1"/>
        <rFont val="ＭＳ Ｐゴシック"/>
        <family val="3"/>
        <charset val="134"/>
        <scheme val="minor"/>
      </rPr>
      <t>农业联</t>
    </r>
    <r>
      <rPr>
        <sz val="11"/>
        <color theme="1"/>
        <rFont val="ＭＳ Ｐゴシック"/>
        <family val="3"/>
        <charset val="128"/>
        <scheme val="minor"/>
      </rPr>
      <t>合公司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</si>
  <si>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渠粮酒供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</si>
  <si>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策略工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</si>
  <si>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朝英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</si>
  <si>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（北京）健康科技有限公司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</si>
  <si>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杨枫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</si>
  <si>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上海境舒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</si>
  <si>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赛诺</t>
    </r>
    <r>
      <rPr>
        <sz val="11"/>
        <color theme="1"/>
        <rFont val="ＭＳ Ｐゴシック"/>
        <family val="3"/>
        <charset val="128"/>
        <scheme val="minor"/>
      </rPr>
      <t>美焱科技有限公司</t>
    </r>
  </si>
  <si>
    <r>
      <t>杨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</si>
  <si>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</si>
  <si>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</si>
  <si>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</si>
  <si>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</si>
  <si>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桃花江</t>
  </si>
  <si>
    <r>
      <t>湖南福园花卉苗木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</si>
  <si>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</si>
  <si>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t>叶慧慧</t>
  </si>
  <si>
    <r>
      <t>北京融生活控股集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</si>
  <si>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</si>
  <si>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t>李芳芳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</si>
  <si>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</si>
  <si>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t>李新国</t>
  </si>
  <si>
    <r>
      <t>中国中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</si>
  <si>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余志雄</t>
  </si>
  <si>
    <r>
      <t>豆</t>
    </r>
    <r>
      <rPr>
        <sz val="11"/>
        <color theme="1"/>
        <rFont val="ＭＳ Ｐゴシック"/>
        <family val="3"/>
        <charset val="134"/>
        <scheme val="minor"/>
      </rPr>
      <t>贤军</t>
    </r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</si>
  <si>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</si>
  <si>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津帝王酒</t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</si>
  <si>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</si>
  <si>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南京洑小仙品牌管理有限公司</t>
  </si>
  <si>
    <r>
      <t>湖北康甲酒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</si>
  <si>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</si>
  <si>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王彦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</si>
  <si>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</si>
  <si>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州壹德酒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</si>
  <si>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曾令</t>
    </r>
    <r>
      <rPr>
        <sz val="11"/>
        <color theme="1"/>
        <rFont val="ＭＳ Ｐゴシック"/>
        <family val="3"/>
        <charset val="134"/>
        <scheme val="minor"/>
      </rPr>
      <t>锐</t>
    </r>
  </si>
  <si>
    <t>梁文英</t>
  </si>
  <si>
    <r>
      <t>苟</t>
    </r>
    <r>
      <rPr>
        <sz val="11"/>
        <color theme="1"/>
        <rFont val="ＭＳ Ｐゴシック"/>
        <family val="3"/>
        <charset val="134"/>
        <scheme val="minor"/>
      </rPr>
      <t>跃进</t>
    </r>
  </si>
  <si>
    <r>
      <t>莫玉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</si>
  <si>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</si>
  <si>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平武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同源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</si>
  <si>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王建宇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</si>
  <si>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</si>
  <si>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葡萄酒</t>
  </si>
  <si>
    <r>
      <t>襄汾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林广告有限公司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</si>
  <si>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</si>
  <si>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湖北枝江酒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</si>
  <si>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夏秉清</t>
  </si>
  <si>
    <r>
      <t>京城酒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</si>
  <si>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陈军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</si>
  <si>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陈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</si>
  <si>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红艳</t>
    </r>
  </si>
  <si>
    <r>
      <t>梅州市嘉豪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</si>
  <si>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天下文化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</si>
  <si>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朱玉鑫</t>
  </si>
  <si>
    <t>李遵永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</si>
  <si>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沙知花知果网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</si>
  <si>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天津粤唯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</si>
  <si>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山西后浪酒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</si>
  <si>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安徽永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</si>
  <si>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</si>
  <si>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t>翟文斌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</si>
  <si>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</si>
  <si>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河南中喜佳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</si>
  <si>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</si>
  <si>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李俊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</si>
  <si>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何天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</si>
  <si>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江西武功山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</si>
  <si>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邓丽</t>
    </r>
    <r>
      <rPr>
        <sz val="11"/>
        <color theme="1"/>
        <rFont val="ＭＳ Ｐゴシック"/>
        <family val="3"/>
        <charset val="128"/>
        <scheme val="minor"/>
      </rPr>
      <t>娟</t>
    </r>
  </si>
  <si>
    <t>张亚辉</t>
  </si>
  <si>
    <r>
      <t>洪雅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庙镇</t>
    </r>
    <r>
      <rPr>
        <sz val="11"/>
        <color theme="1"/>
        <rFont val="ＭＳ Ｐゴシック"/>
        <family val="3"/>
        <charset val="128"/>
        <scheme val="minor"/>
      </rPr>
      <t>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</si>
  <si>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席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</si>
  <si>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>廖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</si>
  <si>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</si>
  <si>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</si>
  <si>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</si>
  <si>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</si>
  <si>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刘石榴</t>
  </si>
  <si>
    <r>
      <t>河北取舍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</si>
  <si>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鹿九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</si>
  <si>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春市馨鹿堂鹿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</si>
  <si>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徐沛******************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</si>
  <si>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州酒博士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</si>
  <si>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州凡仙酒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</si>
  <si>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苏凤兰</t>
  </si>
  <si>
    <t>王星星</t>
  </si>
  <si>
    <r>
      <t>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</si>
  <si>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神木市鑫科文健康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</si>
  <si>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继红</t>
    </r>
  </si>
  <si>
    <r>
      <t>徐海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</si>
  <si>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美娟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</si>
  <si>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</si>
  <si>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宝丰物</t>
    </r>
    <r>
      <rPr>
        <sz val="11"/>
        <color theme="1"/>
        <rFont val="ＭＳ Ｐゴシック"/>
        <family val="3"/>
        <charset val="134"/>
        <scheme val="minor"/>
      </rPr>
      <t>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</si>
  <si>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杜和平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</si>
  <si>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</si>
  <si>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姜燚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</si>
  <si>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彪声</t>
    </r>
  </si>
  <si>
    <r>
      <t>马艳</t>
    </r>
    <r>
      <rPr>
        <sz val="11"/>
        <color theme="1"/>
        <rFont val="ＭＳ Ｐゴシック"/>
        <family val="3"/>
        <charset val="128"/>
        <scheme val="minor"/>
      </rPr>
      <t>茹</t>
    </r>
  </si>
  <si>
    <r>
      <t>汝南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天中山酒行</t>
    </r>
  </si>
  <si>
    <r>
      <t>四川峨眉山蜀国仙芽茶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</si>
  <si>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北京奕名文化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</si>
  <si>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裕祥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</si>
  <si>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驭飞</t>
    </r>
    <r>
      <rPr>
        <sz val="11"/>
        <color theme="1"/>
        <rFont val="ＭＳ Ｐゴシック"/>
        <family val="3"/>
        <charset val="128"/>
        <scheme val="minor"/>
      </rPr>
      <t>金海商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</si>
  <si>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龙马</t>
    </r>
    <r>
      <rPr>
        <sz val="11"/>
        <color theme="1"/>
        <rFont val="ＭＳ Ｐゴシック"/>
        <family val="3"/>
        <charset val="128"/>
        <scheme val="minor"/>
      </rPr>
      <t>潭区游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兵工作室（个体工商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</si>
  <si>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江小白品牌管理有限公司</t>
    </r>
  </si>
  <si>
    <t>深圳喜味大咖食品有限公司</t>
  </si>
  <si>
    <r>
      <t>胡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</si>
  <si>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冉子</t>
    </r>
    <r>
      <rPr>
        <sz val="11"/>
        <color theme="1"/>
        <rFont val="ＭＳ Ｐゴシック"/>
        <family val="3"/>
        <charset val="134"/>
        <scheme val="minor"/>
      </rPr>
      <t>硕</t>
    </r>
  </si>
  <si>
    <t>無し</t>
  </si>
  <si>
    <r>
      <t>北京光</t>
    </r>
    <r>
      <rPr>
        <sz val="11"/>
        <color theme="1"/>
        <rFont val="ＭＳ Ｐゴシック"/>
        <family val="3"/>
        <charset val="134"/>
        <scheme val="minor"/>
      </rPr>
      <t>华鸿</t>
    </r>
    <r>
      <rPr>
        <sz val="11"/>
        <color theme="1"/>
        <rFont val="ＭＳ Ｐゴシック"/>
        <family val="3"/>
        <charset val="128"/>
        <scheme val="minor"/>
      </rPr>
      <t>智科技有限公司</t>
    </r>
  </si>
  <si>
    <t>田留洋</t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</si>
  <si>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高氏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</si>
  <si>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阳</t>
    </r>
  </si>
  <si>
    <t>徐海翔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</si>
  <si>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素酒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</si>
  <si>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景金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</si>
  <si>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御露堂生物科技(沭阳)有限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</si>
  <si>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田浪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</si>
  <si>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州八百科技有限公司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</si>
  <si>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州肆山文化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</si>
  <si>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方毅</t>
    </r>
  </si>
  <si>
    <t>方健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</si>
  <si>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淦达投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</si>
  <si>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久科技有限公司</t>
    </r>
  </si>
  <si>
    <t>李可童</t>
  </si>
  <si>
    <r>
      <t>刘</t>
    </r>
    <r>
      <rPr>
        <sz val="11"/>
        <color theme="1"/>
        <rFont val="ＭＳ Ｐゴシック"/>
        <family val="3"/>
        <charset val="134"/>
        <scheme val="minor"/>
      </rPr>
      <t>艳华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</si>
  <si>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</si>
  <si>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勐海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松章鄙百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</si>
  <si>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江西浅</t>
    </r>
    <r>
      <rPr>
        <sz val="11"/>
        <color theme="1"/>
        <rFont val="ＭＳ Ｐゴシック"/>
        <family val="3"/>
        <charset val="134"/>
        <scheme val="minor"/>
      </rPr>
      <t>馋贸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</si>
  <si>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莹</t>
    </r>
    <r>
      <rPr>
        <sz val="11"/>
        <color theme="1"/>
        <rFont val="ＭＳ Ｐゴシック"/>
        <family val="3"/>
        <charset val="128"/>
        <scheme val="minor"/>
      </rPr>
      <t>达星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</si>
  <si>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东莹</t>
    </r>
    <r>
      <rPr>
        <sz val="11"/>
        <color theme="1"/>
        <rFont val="ＭＳ Ｐゴシック"/>
        <family val="3"/>
        <charset val="128"/>
        <scheme val="minor"/>
      </rPr>
      <t>达星耀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</si>
  <si>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刘超</t>
  </si>
  <si>
    <r>
      <t>株洲文瑾酒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</si>
  <si>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双英</t>
    </r>
  </si>
  <si>
    <r>
      <t>谢东</t>
    </r>
    <r>
      <rPr>
        <sz val="11"/>
        <color theme="1"/>
        <rFont val="ＭＳ Ｐゴシック"/>
        <family val="3"/>
        <charset val="128"/>
        <scheme val="minor"/>
      </rPr>
      <t>朋</t>
    </r>
  </si>
  <si>
    <t>董建忠</t>
  </si>
  <si>
    <r>
      <t>龙见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</si>
  <si>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市德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</si>
  <si>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山西海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</si>
  <si>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顿</t>
    </r>
    <r>
      <rPr>
        <sz val="11"/>
        <color theme="1"/>
        <rFont val="ＭＳ Ｐゴシック"/>
        <family val="3"/>
        <charset val="128"/>
        <scheme val="minor"/>
      </rPr>
      <t>思念</t>
    </r>
  </si>
  <si>
    <t>刘佯佯</t>
  </si>
  <si>
    <t>董兆舜</t>
  </si>
  <si>
    <t>黄酒</t>
  </si>
  <si>
    <t>郭怡楷</t>
  </si>
  <si>
    <r>
      <t>山西升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智投文化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</si>
  <si>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t>王静</t>
  </si>
  <si>
    <r>
      <t>绥</t>
    </r>
    <r>
      <rPr>
        <sz val="11"/>
        <color theme="1"/>
        <rFont val="ＭＳ Ｐゴシック"/>
        <family val="3"/>
        <charset val="128"/>
        <scheme val="minor"/>
      </rPr>
      <t>棱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</si>
  <si>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义华</t>
    </r>
    <r>
      <rPr>
        <sz val="11"/>
        <color theme="1"/>
        <rFont val="ＭＳ Ｐゴシック"/>
        <family val="3"/>
        <charset val="128"/>
        <scheme val="minor"/>
      </rPr>
      <t>瑞房地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</si>
  <si>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御露堂生物科技（沭阳）有限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</si>
  <si>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</si>
  <si>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王友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</si>
  <si>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范忠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</si>
  <si>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</si>
  <si>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邳州源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</si>
  <si>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班迪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</si>
  <si>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州市学控食品有限公司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</si>
  <si>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论剑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</si>
  <si>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t>南通喜善运力物流有限公司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</si>
  <si>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</si>
  <si>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远浈</t>
    </r>
  </si>
  <si>
    <t>李万琴</t>
  </si>
  <si>
    <t>刘巧梅</t>
  </si>
  <si>
    <r>
      <t>深圳市盛世一方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</si>
  <si>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</si>
  <si>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</si>
  <si>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大瓷坊酒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</si>
  <si>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</si>
  <si>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北京德科瑞医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</si>
  <si>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春明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</si>
  <si>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宝而瑞企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</si>
  <si>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王德芳</t>
  </si>
  <si>
    <r>
      <t>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</si>
  <si>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北京雁栖湖会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</si>
  <si>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璞萃（成都）品牌管理有限公司</t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</si>
  <si>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</si>
  <si>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天成生</t>
    </r>
  </si>
  <si>
    <r>
      <t>成都晴天瑞博商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</si>
  <si>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蒸煮提取物(利口酒和烈酒);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米酒; 葡萄酒; 青稞酒; 料酒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</si>
  <si>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</si>
  <si>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昧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</si>
  <si>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</si>
  <si>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吟九</t>
  </si>
  <si>
    <r>
      <t>张</t>
    </r>
    <r>
      <rPr>
        <sz val="11"/>
        <color theme="1"/>
        <rFont val="ＭＳ Ｐゴシック"/>
        <family val="3"/>
        <charset val="128"/>
        <scheme val="minor"/>
      </rPr>
      <t>灵枝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</si>
  <si>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</si>
  <si>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八六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</si>
  <si>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阳市丰谷酒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</si>
  <si>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清酒（日本米酒）; 米酒; 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</si>
  <si>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一路常虹</t>
  </si>
  <si>
    <r>
      <t>福州微秀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</si>
  <si>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利口酒; 食用酒精; 清酒（日本米酒）; 威士忌;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</si>
  <si>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沙亨</t>
  </si>
  <si>
    <t>宋宏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</si>
  <si>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</si>
  <si>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思杏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</si>
  <si>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市夏雁服装商行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</si>
  <si>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果酒（含酒精）</t>
    </r>
  </si>
  <si>
    <t>泓泰</t>
  </si>
  <si>
    <r>
      <t>宁波市泓泰酒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</si>
  <si>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</si>
  <si>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壹酒坊</t>
    </r>
  </si>
  <si>
    <r>
      <t>濮阳市兆和商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</si>
  <si>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</si>
  <si>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武梁曲</t>
  </si>
  <si>
    <t>姚斌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</si>
  <si>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</si>
  <si>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美的</t>
  </si>
  <si>
    <t>方子林</t>
  </si>
  <si>
    <r>
      <t>青稞酒; 黄酒; 米酒; 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</si>
  <si>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</si>
  <si>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</si>
  <si>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青稞酒; 葡萄酒</t>
    </r>
  </si>
  <si>
    <r>
      <t>金沙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</si>
  <si>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</si>
  <si>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</si>
  <si>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LX</t>
  </si>
  <si>
    <t>株式会社LX控股</t>
  </si>
  <si>
    <r>
      <t>薄荷酒; 果酒(含酒精); 开胃酒;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</si>
  <si>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聚酒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</si>
  <si>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</si>
  <si>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</si>
  <si>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</si>
  <si>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t>柔承</t>
  </si>
  <si>
    <r>
      <t>莓有星星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</si>
  <si>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</si>
  <si>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童子功</t>
  </si>
  <si>
    <r>
      <t>酱饮尝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</si>
  <si>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</si>
  <si>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</si>
  <si>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州盛享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</si>
  <si>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</si>
  <si>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L'ENCLOS DES DOMAINES EDMOND DE ROTHSCHILD</t>
  </si>
  <si>
    <r>
      <t>爱</t>
    </r>
    <r>
      <rPr>
        <sz val="11"/>
        <color theme="1"/>
        <rFont val="ＭＳ Ｐゴシック"/>
        <family val="3"/>
        <charset val="128"/>
        <scheme val="minor"/>
      </rPr>
      <t>德蒙•德•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斯柴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德男爵葡萄酒公司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</si>
  <si>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葡萄酒</t>
    </r>
  </si>
  <si>
    <t>喜莱客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</si>
  <si>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莱仕食品集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</si>
  <si>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</si>
  <si>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t>恒益丰</t>
  </si>
  <si>
    <t>暮山紫</t>
  </si>
  <si>
    <r>
      <t>四川地酒天藏宝金酒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</si>
  <si>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烈酒;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</si>
  <si>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王子礼遇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</si>
  <si>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汽酒; 白酒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</si>
  <si>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新路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</si>
  <si>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州酩作酒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</si>
  <si>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</si>
  <si>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美宜佳</t>
  </si>
  <si>
    <t>美宜佳控股有限公司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</si>
  <si>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</si>
  <si>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</si>
  <si>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</t>
    </r>
  </si>
  <si>
    <t>九 九阳</t>
  </si>
  <si>
    <r>
      <t>上海旭宁投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</si>
  <si>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</si>
  <si>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VANDI</t>
  </si>
  <si>
    <r>
      <t>梵蒂酩悦酒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（成都）有限公司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</si>
  <si>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</si>
  <si>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方城郡</t>
  </si>
  <si>
    <t>天津千山广告有限公司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</si>
  <si>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</si>
  <si>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和一</t>
  </si>
  <si>
    <t>李国英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</si>
  <si>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白酒; 果酒（含酒精）; 食用酒精; 清酒（日本米酒）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</si>
  <si>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山印象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</si>
  <si>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山市稀好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品水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</si>
  <si>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</t>
    </r>
  </si>
  <si>
    <t>慢江湖</t>
  </si>
  <si>
    <r>
      <t>成都朋友帮文化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</si>
  <si>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杜松子酒; 威士忌; 白酒</t>
    </r>
  </si>
  <si>
    <t>紫茎花</t>
  </si>
  <si>
    <r>
      <t>紫茎</t>
    </r>
    <r>
      <rPr>
        <sz val="11"/>
        <color theme="1"/>
        <rFont val="ＭＳ Ｐゴシック"/>
        <family val="3"/>
        <charset val="134"/>
        <scheme val="minor"/>
      </rPr>
      <t>泽兰</t>
    </r>
    <r>
      <rPr>
        <sz val="11"/>
        <color theme="1"/>
        <rFont val="ＭＳ Ｐゴシック"/>
        <family val="3"/>
        <charset val="128"/>
        <scheme val="minor"/>
      </rPr>
      <t>中医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科技（云南）有限公司</t>
    </r>
  </si>
  <si>
    <r>
      <t>果酒（含酒精）; 苦味酒; 餐后酒（利口酒和烈酒）;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</si>
  <si>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年</t>
    </r>
  </si>
  <si>
    <t>朱萍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</si>
  <si>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</si>
  <si>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</si>
  <si>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</si>
  <si>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LAUNCH 首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</si>
  <si>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北京琅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</si>
  <si>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</si>
  <si>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半山微</t>
  </si>
  <si>
    <r>
      <t>北京恒宇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通汽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</si>
  <si>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朗姆酒; 威士忌; 果酒（含酒精）; 白酒;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</si>
  <si>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VIVO</t>
  </si>
  <si>
    <r>
      <t>维</t>
    </r>
    <r>
      <rPr>
        <sz val="11"/>
        <color theme="1"/>
        <rFont val="ＭＳ Ｐゴシック"/>
        <family val="3"/>
        <charset val="128"/>
        <scheme val="minor"/>
      </rPr>
      <t>沃移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通信有限公司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</si>
  <si>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白酒; 食用酒精;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</si>
  <si>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逍遥子</t>
  </si>
  <si>
    <r>
      <t>合肥老将酒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</si>
  <si>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青稞酒;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</si>
  <si>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t>情景30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</si>
  <si>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</si>
  <si>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情景 酒</t>
  </si>
  <si>
    <t>醉刘邦</t>
  </si>
  <si>
    <r>
      <t>徐州市旭隆酒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</si>
  <si>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</si>
  <si>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留余治家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</si>
  <si>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州留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</si>
  <si>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</si>
  <si>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玖酒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</si>
  <si>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成都市茂森酒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</si>
  <si>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伏特加酒; 白酒;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</si>
  <si>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</si>
  <si>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丽虾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</si>
  <si>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汽酒;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</si>
  <si>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毛巷子</t>
  </si>
  <si>
    <r>
      <t>卢</t>
    </r>
    <r>
      <rPr>
        <sz val="11"/>
        <color theme="1"/>
        <rFont val="ＭＳ Ｐゴシック"/>
        <family val="3"/>
        <charset val="128"/>
        <scheme val="minor"/>
      </rPr>
      <t>珊萍******************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</si>
  <si>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</si>
  <si>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仙洞</t>
    </r>
  </si>
  <si>
    <r>
      <t>山西白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仙洞旅游开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</si>
  <si>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伏特加酒; 威士忌</t>
    </r>
  </si>
  <si>
    <t>荣主工坊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</si>
  <si>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醉梦粮原酒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</si>
  <si>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</si>
  <si>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苏汤</t>
  </si>
  <si>
    <r>
      <t>灌南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一品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</si>
  <si>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</t>
    </r>
  </si>
  <si>
    <r>
      <t>皮埃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塞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</si>
  <si>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杰克</t>
    </r>
    <r>
      <rPr>
        <sz val="11"/>
        <color theme="1"/>
        <rFont val="ＭＳ Ｐゴシック"/>
        <family val="3"/>
        <charset val="134"/>
        <scheme val="minor"/>
      </rPr>
      <t>逊</t>
    </r>
    <r>
      <rPr>
        <sz val="11"/>
        <color theme="1"/>
        <rFont val="ＭＳ Ｐゴシック"/>
        <family val="3"/>
        <charset val="128"/>
        <scheme val="minor"/>
      </rPr>
      <t>家族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</si>
  <si>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</si>
  <si>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</si>
  <si>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沃柯迪雅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</si>
  <si>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地保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</si>
  <si>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今喜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</si>
  <si>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</si>
  <si>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蒸煮提取物（利口酒和烈酒）; 白干酒（中国白酒）;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</si>
  <si>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</si>
  <si>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</si>
  <si>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州曲酒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</si>
  <si>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</si>
  <si>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弘 年真古藏 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</si>
  <si>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</si>
  <si>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嫁牌 喜藏原</t>
  </si>
  <si>
    <r>
      <t>通其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乾 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</si>
  <si>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州交牌酒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</si>
  <si>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老古太酒</t>
  </si>
  <si>
    <r>
      <t>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古太酒厂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</si>
  <si>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</si>
  <si>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维纳</t>
    </r>
    <r>
      <rPr>
        <sz val="11"/>
        <color theme="1"/>
        <rFont val="ＭＳ Ｐゴシック"/>
        <family val="3"/>
        <charset val="128"/>
        <scheme val="minor"/>
      </rPr>
      <t>康佳阿拖拉公司</t>
    </r>
  </si>
  <si>
    <t>葡萄酒; 起泡葡萄酒; 汽酒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</si>
  <si>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汽酒; 清酒; 黄酒; 利口酒</t>
    </r>
  </si>
  <si>
    <t>遵丰</t>
  </si>
  <si>
    <r>
      <t>张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</si>
  <si>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</si>
  <si>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贵约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</si>
  <si>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</si>
  <si>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年藏古 J 50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</si>
  <si>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</si>
  <si>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G35 年真原</t>
  </si>
  <si>
    <t>神之水滴</t>
  </si>
  <si>
    <r>
      <t>李</t>
    </r>
    <r>
      <rPr>
        <sz val="11"/>
        <color theme="1"/>
        <rFont val="ＭＳ Ｐゴシック"/>
        <family val="3"/>
        <charset val="134"/>
        <scheme val="minor"/>
      </rPr>
      <t>继兰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</si>
  <si>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白葡萄酒; 加烈葡萄酒; 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</si>
  <si>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小牛佳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</si>
  <si>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溪市小牛家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</si>
  <si>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蜂蜜酒;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</si>
  <si>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BERESFORD</t>
  </si>
  <si>
    <r>
      <t>比克福德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易私人有限公司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</si>
  <si>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</si>
  <si>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加烈葡萄酒; 白酒</t>
    </r>
  </si>
  <si>
    <t>感悟</t>
  </si>
  <si>
    <t>曾雷</t>
  </si>
  <si>
    <r>
      <t>高粱酒;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青稞酒</t>
    </r>
  </si>
  <si>
    <t>陶澍</t>
  </si>
  <si>
    <r>
      <t>益阳市陶澍酒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</si>
  <si>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清酒; 果酒; 威士忌; 佐餐酒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</si>
  <si>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鹳窝</t>
    </r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</si>
  <si>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</si>
  <si>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</si>
  <si>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</si>
  <si>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</si>
  <si>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岳老</t>
    </r>
    <r>
      <rPr>
        <sz val="11"/>
        <color theme="1"/>
        <rFont val="ＭＳ Ｐゴシック"/>
        <family val="3"/>
        <charset val="134"/>
        <scheme val="minor"/>
      </rPr>
      <t>爷</t>
    </r>
  </si>
  <si>
    <t>岳毅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</si>
  <si>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</si>
  <si>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吴越醉江南</t>
  </si>
  <si>
    <t>姜慧</t>
  </si>
  <si>
    <r>
      <t>水果汽酒;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甜酒; 梅酒; 葡萄酒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</si>
  <si>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山金京牛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</si>
  <si>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山酒厂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</si>
  <si>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</si>
  <si>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府</t>
    </r>
  </si>
  <si>
    <t>姚娜娜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</si>
  <si>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</si>
  <si>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</si>
  <si>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JIEKEXIONGMAO</t>
  </si>
  <si>
    <r>
      <t>河南杰熊供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</si>
  <si>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</si>
  <si>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焦氏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</si>
  <si>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河北百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</si>
  <si>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</si>
  <si>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落日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</si>
  <si>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门贝</t>
    </r>
    <r>
      <rPr>
        <sz val="11"/>
        <color theme="1"/>
        <rFont val="ＭＳ Ｐゴシック"/>
        <family val="3"/>
        <charset val="128"/>
        <scheme val="minor"/>
      </rPr>
      <t>壳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</si>
  <si>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葡萄酒; 蒸煮提取物（利口酒和烈酒）; 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</si>
  <si>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卿云歌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</si>
  <si>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击</t>
    </r>
    <r>
      <rPr>
        <sz val="11"/>
        <color theme="1"/>
        <rFont val="ＭＳ Ｐゴシック"/>
        <family val="3"/>
        <charset val="128"/>
        <scheme val="minor"/>
      </rPr>
      <t>壤卿云酒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</si>
  <si>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</si>
  <si>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</si>
  <si>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己科技有限公司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</si>
  <si>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</si>
  <si>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奇点求学</t>
  </si>
  <si>
    <r>
      <t>北京奇点新商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</si>
  <si>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</si>
  <si>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饪赢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</si>
  <si>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汉饪赢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</si>
  <si>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威士忌; 白酒; 米酒</t>
    </r>
  </si>
  <si>
    <r>
      <t>杨们</t>
    </r>
    <r>
      <rPr>
        <sz val="11"/>
        <color theme="1"/>
        <rFont val="ＭＳ Ｐゴシック"/>
        <family val="3"/>
        <charset val="128"/>
        <scheme val="minor"/>
      </rPr>
      <t>女将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</si>
  <si>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市牛大厨餐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</si>
  <si>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</t>
    </r>
  </si>
  <si>
    <r>
      <t>坤田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耕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</si>
  <si>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权县</t>
    </r>
    <r>
      <rPr>
        <sz val="11"/>
        <color theme="1"/>
        <rFont val="ＭＳ Ｐゴシック"/>
        <family val="3"/>
        <charset val="128"/>
        <scheme val="minor"/>
      </rPr>
      <t>坤田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耕文化园有限公司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</si>
  <si>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</si>
  <si>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狂雪</t>
  </si>
  <si>
    <r>
      <t>游</t>
    </r>
    <r>
      <rPr>
        <sz val="11"/>
        <color theme="1"/>
        <rFont val="ＭＳ Ｐゴシック"/>
        <family val="3"/>
        <charset val="134"/>
        <scheme val="minor"/>
      </rPr>
      <t>读</t>
    </r>
    <r>
      <rPr>
        <sz val="11"/>
        <color theme="1"/>
        <rFont val="ＭＳ Ｐゴシック"/>
        <family val="3"/>
        <charset val="128"/>
        <scheme val="minor"/>
      </rPr>
      <t>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科技（上海）有限公司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</si>
  <si>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</si>
  <si>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乐</t>
    </r>
  </si>
  <si>
    <t>成思嘉</t>
  </si>
  <si>
    <r>
      <t xml:space="preserve">开胃酒; 米酒;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</si>
  <si>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t>褚将</t>
  </si>
  <si>
    <r>
      <t>云南褚酒庄园酒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</si>
  <si>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</si>
  <si>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CHATEAU PUYFROMAGE</t>
  </si>
  <si>
    <r>
      <t>普芙奥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格酒庄</t>
    </r>
  </si>
  <si>
    <t>嚣</t>
  </si>
  <si>
    <t>杨贵长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</si>
  <si>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</si>
  <si>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仙醉清花</t>
  </si>
  <si>
    <t>李卓</t>
  </si>
  <si>
    <r>
      <t>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高粱酒; 食用酒精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</si>
  <si>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东爱马</t>
    </r>
    <r>
      <rPr>
        <sz val="11"/>
        <color theme="1"/>
        <rFont val="ＭＳ Ｐゴシック"/>
        <family val="3"/>
        <charset val="128"/>
        <scheme val="minor"/>
      </rPr>
      <t>人体育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</si>
  <si>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</si>
  <si>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LIXIAOCHUN</t>
  </si>
  <si>
    <t>李琴</t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</si>
  <si>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</si>
  <si>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</si>
  <si>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央广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</si>
  <si>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</si>
  <si>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瑧酒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</si>
  <si>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州恩牌酒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</si>
  <si>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</si>
  <si>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福瓷</t>
  </si>
  <si>
    <r>
      <t>顾卫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</si>
  <si>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</si>
  <si>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</si>
  <si>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上海那座山商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</si>
  <si>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甜酒; 黄酒; 青稞酒; 果酒（含酒精）; 高粱酒;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</si>
  <si>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SCIWELL</t>
  </si>
  <si>
    <r>
      <t>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德人西安幸福制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</si>
  <si>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白酒;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</si>
  <si>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果酒（含酒精）;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</si>
  <si>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北虎</t>
    </r>
  </si>
  <si>
    <t>王平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</si>
  <si>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威士忌; 白干酒（中国白酒）</t>
    </r>
  </si>
  <si>
    <t>久降堂</t>
  </si>
  <si>
    <t>上海久降堂食品科技有限公司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</si>
  <si>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</si>
  <si>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春和窖 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瓶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</si>
  <si>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</si>
  <si>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</si>
  <si>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众台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</si>
  <si>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鹰狮龙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</si>
  <si>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露酒; 米酒; 白酒; 甜酒; 清酒; 烈酒;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</si>
  <si>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方嘉禾</t>
    </r>
  </si>
  <si>
    <r>
      <t>麦欧医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科技（嘉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</si>
  <si>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日式甜米酒;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汽酒; 清酒（日本米酒）; 果酒（含酒精）</t>
    </r>
  </si>
  <si>
    <t>今鼎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</si>
  <si>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</si>
  <si>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白干酒（中国白酒）</t>
    </r>
  </si>
  <si>
    <t>首藏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</si>
  <si>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威士忌; 黄酒; 白酒</t>
    </r>
  </si>
  <si>
    <t>炉意坊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</si>
  <si>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春炉意坊文化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</si>
  <si>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葡萄酒; 米酒; 清酒;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</si>
  <si>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黄小荔</t>
  </si>
  <si>
    <r>
      <t>深圳市黄田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</si>
  <si>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</si>
  <si>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勋</t>
    </r>
    <r>
      <rPr>
        <sz val="11"/>
        <color theme="1"/>
        <rFont val="ＭＳ Ｐゴシック"/>
        <family val="3"/>
        <charset val="128"/>
        <scheme val="minor"/>
      </rPr>
      <t>酒年份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</si>
  <si>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昆山市玉山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森客来食品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</si>
  <si>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黄酒; 白酒</t>
    </r>
  </si>
  <si>
    <t>褚窖</t>
  </si>
  <si>
    <r>
      <t>葡萄酒;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</si>
  <si>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褚梦庄园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</si>
  <si>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</si>
  <si>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年份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</si>
  <si>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</si>
  <si>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信朋醇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</si>
  <si>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州信朋酒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</si>
  <si>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果酒; 清酒（日本米酒）; 清酒; 青稞酒; 高粱酒;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</si>
  <si>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巴河梦</t>
  </si>
  <si>
    <r>
      <t>四川巴河大曲酒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</si>
  <si>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米酒; 白酒; 高粱酒; 黄酒</t>
    </r>
  </si>
  <si>
    <t>太和珍荣</t>
  </si>
  <si>
    <r>
      <t>蒋达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</si>
  <si>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</si>
  <si>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楚庄天下</t>
  </si>
  <si>
    <r>
      <t>广州金樽酒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</si>
  <si>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薄荷酒;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</si>
  <si>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与君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</si>
  <si>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唐山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</si>
  <si>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</si>
  <si>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财</t>
  </si>
  <si>
    <r>
      <t>财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</si>
  <si>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黄酒; 伏特加酒;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</si>
  <si>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清酒; 黄酒; 食用酒精;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</si>
  <si>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桂一号</t>
  </si>
  <si>
    <r>
      <t>桂林湘山酒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</si>
  <si>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</si>
  <si>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道江湖</t>
  </si>
  <si>
    <r>
      <t>李洪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</si>
  <si>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五加皮酒（中国混合烈酒）;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</si>
  <si>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MAICANA</t>
  </si>
  <si>
    <r>
      <t>JC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斯特分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</si>
  <si>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雅克城堡</t>
  </si>
  <si>
    <t>路易雅都有限公司</t>
  </si>
  <si>
    <t>涂氏家族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</si>
  <si>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露酒; 白酒; 果酒; 葡萄酒</t>
    </r>
  </si>
  <si>
    <t>江南·梦蝶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</si>
  <si>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灌河潮酒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</si>
  <si>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白酒; 甜果酒;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</si>
  <si>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TASSINAIA</t>
  </si>
  <si>
    <r>
      <t>皮奥佐-迪-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西尼</t>
    </r>
    <r>
      <rPr>
        <sz val="11"/>
        <color theme="1"/>
        <rFont val="ＭＳ Ｐゴシック"/>
        <family val="3"/>
        <charset val="134"/>
        <scheme val="minor"/>
      </rPr>
      <t>亚诺</t>
    </r>
    <r>
      <rPr>
        <sz val="11"/>
        <color theme="1"/>
        <rFont val="ＭＳ Ｐゴシック"/>
        <family val="3"/>
        <charset val="128"/>
        <scheme val="minor"/>
      </rPr>
      <t>-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托里奥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</si>
  <si>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</si>
  <si>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昌盛世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</si>
  <si>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</si>
  <si>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</si>
  <si>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慧藏</t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</si>
  <si>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</si>
  <si>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</si>
  <si>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元巴蜀</t>
  </si>
  <si>
    <t>文静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</si>
  <si>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</si>
  <si>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里伴</t>
    </r>
  </si>
  <si>
    <r>
      <t>杭州市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居中心管理有限公司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</si>
  <si>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</si>
  <si>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晋雁泉</t>
  </si>
  <si>
    <r>
      <t>朔州市国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燃气具安装有限公司</t>
    </r>
  </si>
  <si>
    <t>白酒; 黄酒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</si>
  <si>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</si>
  <si>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t>谷藏</t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</si>
  <si>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平山美众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</si>
  <si>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青梅酒;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混合威士忌酒</t>
    </r>
  </si>
  <si>
    <r>
      <t>从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</si>
  <si>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广州正航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</si>
  <si>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利口酒;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</si>
  <si>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茶韵</t>
  </si>
  <si>
    <r>
      <t>婺源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大茶叶有限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</si>
  <si>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开胃酒; 米酒</t>
    </r>
  </si>
  <si>
    <t>周佳木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</si>
  <si>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</si>
  <si>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匠台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</si>
  <si>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</si>
  <si>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苹果酒</t>
    </r>
  </si>
  <si>
    <t>宝泉清花</t>
  </si>
  <si>
    <r>
      <t>霍牡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</si>
  <si>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</si>
  <si>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架</t>
    </r>
    <r>
      <rPr>
        <sz val="11"/>
        <color theme="1"/>
        <rFont val="ＭＳ Ｐゴシック"/>
        <family val="3"/>
        <charset val="134"/>
        <scheme val="minor"/>
      </rPr>
      <t>桥</t>
    </r>
  </si>
  <si>
    <t>南昌小伴科技有限公司</t>
  </si>
  <si>
    <r>
      <t>开胃酒; 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苦味酒;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</si>
  <si>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泽润东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</si>
  <si>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市北区烟酒茶礼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意文化工作室(个体工商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</si>
  <si>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米酒;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</si>
  <si>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论</t>
    </r>
    <r>
      <rPr>
        <sz val="11"/>
        <color theme="1"/>
        <rFont val="ＭＳ Ｐゴシック"/>
        <family val="3"/>
        <charset val="129"/>
        <scheme val="minor"/>
      </rPr>
      <t>怀</t>
    </r>
  </si>
  <si>
    <t>徐占喆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</si>
  <si>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黄酒</t>
    </r>
  </si>
  <si>
    <t>商道清花</t>
  </si>
  <si>
    <r>
      <t xml:space="preserve">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</si>
  <si>
    <t>情景酒*聚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</si>
  <si>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</si>
  <si>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淘小冷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</si>
  <si>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天成</t>
    </r>
    <r>
      <rPr>
        <sz val="11"/>
        <color theme="1"/>
        <rFont val="ＭＳ Ｐゴシック"/>
        <family val="3"/>
        <charset val="134"/>
        <scheme val="minor"/>
      </rPr>
      <t>实业贸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</si>
  <si>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</si>
  <si>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如意葫芦</t>
  </si>
  <si>
    <r>
      <t>郑</t>
    </r>
    <r>
      <rPr>
        <sz val="11"/>
        <color theme="1"/>
        <rFont val="ＭＳ Ｐゴシック"/>
        <family val="3"/>
        <charset val="128"/>
        <scheme val="minor"/>
      </rPr>
      <t>富魁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</si>
  <si>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白酒;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</si>
  <si>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南佐</t>
  </si>
  <si>
    <r>
      <t>庆</t>
    </r>
    <r>
      <rPr>
        <sz val="11"/>
        <color theme="1"/>
        <rFont val="ＭＳ Ｐゴシック"/>
        <family val="3"/>
        <charset val="128"/>
        <scheme val="minor"/>
      </rPr>
      <t>阳南佐部落文化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</si>
  <si>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</si>
  <si>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唐琰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</si>
  <si>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唐琰酒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</si>
  <si>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果酒(含酒精); 清酒(日本米酒);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</si>
  <si>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W WOER</t>
  </si>
  <si>
    <r>
      <t>深圳市沃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核材股份有限公司</t>
    </r>
  </si>
  <si>
    <r>
      <t xml:space="preserve">黄酒; 利口酒; 蜂蜜酒; 葡萄酒; 米酒;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</si>
  <si>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r>
      <t>秦韵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</si>
  <si>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显军</t>
    </r>
  </si>
  <si>
    <t>黄酒; 葡萄酒; 米酒; 梨酒; 果酒（含酒精）; 果酒; 烈酒; 白酒; 高粱酒; 青稞酒</t>
  </si>
  <si>
    <t>甘沟</t>
  </si>
  <si>
    <r>
      <t>武夷山市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善百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</si>
  <si>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清酒（日本米酒）; 葡萄酒; 米酒</t>
    </r>
  </si>
  <si>
    <r>
      <t>鲁坛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</si>
  <si>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武夷山市根深百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</si>
  <si>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</si>
  <si>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DUKE'S SWORD</t>
  </si>
  <si>
    <r>
      <t>广州海沿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</si>
  <si>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混合威士忌酒</t>
    </r>
  </si>
  <si>
    <t>黄淮金谷</t>
  </si>
  <si>
    <r>
      <t>河南五谷春酒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</si>
  <si>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</si>
  <si>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劝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</si>
  <si>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州阳关大曲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</si>
  <si>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黄酒; 葡萄酒;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</si>
  <si>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古笠春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</si>
  <si>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州瑞浦科技有限公司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</si>
  <si>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</si>
  <si>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r>
      <t>秉衡匠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</si>
  <si>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西茅香衡酒商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</si>
  <si>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</si>
  <si>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</si>
  <si>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众坤</t>
  </si>
  <si>
    <r>
      <t>坤山酒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</si>
  <si>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果酒（含酒精）;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高粱酒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</si>
  <si>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禾尽起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</si>
  <si>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</si>
  <si>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</si>
  <si>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全禧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</si>
  <si>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</si>
  <si>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米酒;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</si>
  <si>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迎粮醇</t>
  </si>
  <si>
    <t>曾爽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</si>
  <si>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黄酒; 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</si>
  <si>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沱牌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</si>
  <si>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利口酒;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</si>
  <si>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道虚子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</si>
  <si>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道医中医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</si>
  <si>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食用酒精;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蒸煮提取物（利口酒和烈酒）; 开胃酒; 黄酒; 利口酒</t>
    </r>
  </si>
  <si>
    <t>小帽台</t>
  </si>
  <si>
    <r>
      <t>河南瀚之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</si>
  <si>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汽酒; 米酒; 白酒; 葡萄酒; 果酒（含酒精）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</si>
  <si>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赐</t>
    </r>
  </si>
  <si>
    <t>斯沃克食品有限公司</t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</si>
  <si>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米酒;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</si>
  <si>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瓷王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</si>
  <si>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</si>
  <si>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 xml:space="preserve">果酒（含酒精）; 蜂蜜酒;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米酒; 食用酒精; 黄酒</t>
    </r>
  </si>
  <si>
    <t>燕皇都</t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</si>
  <si>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</si>
  <si>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汽酒; 威士忌;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</si>
  <si>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</si>
  <si>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邢台廖氏商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</si>
  <si>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果酒; 葡萄酒; 白酒;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</si>
  <si>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酣河</t>
  </si>
  <si>
    <r>
      <t>惠州稻香十里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</si>
  <si>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</si>
  <si>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荀洲宴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</si>
  <si>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汾香酒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</si>
  <si>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白葡萄酒; 果酒; 高粱酒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</si>
  <si>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 金礼</t>
    </r>
    <r>
      <rPr>
        <sz val="11"/>
        <color theme="1"/>
        <rFont val="ＭＳ Ｐゴシック"/>
        <family val="3"/>
        <charset val="134"/>
        <scheme val="minor"/>
      </rPr>
      <t>宾</t>
    </r>
  </si>
  <si>
    <t>中国双喜（控股）股份有限公司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</si>
  <si>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</si>
  <si>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一梦江湖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</si>
  <si>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醇柔香韵科技有限公司</t>
    </r>
  </si>
  <si>
    <r>
      <t>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</si>
  <si>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熟仁</t>
  </si>
  <si>
    <r>
      <t>河南逍遥道酒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</si>
  <si>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食用酒精; 果酒（含酒精）</t>
    </r>
  </si>
  <si>
    <t>梁将</t>
  </si>
  <si>
    <r>
      <t>湖北梁湖良品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</si>
  <si>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</t>
    </r>
  </si>
  <si>
    <t>杏花村崇字号</t>
  </si>
  <si>
    <t>山西杏花村汾酒厂股份有限公司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</si>
  <si>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</si>
  <si>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t>杏花村老四大酒坊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</si>
  <si>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</si>
  <si>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殿香</t>
    </r>
  </si>
  <si>
    <r>
      <t>湖北文峰酒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</si>
  <si>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</si>
  <si>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PN PENINHONGJIUGUAN</t>
  </si>
  <si>
    <r>
      <t>四川佩尼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</si>
  <si>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</si>
  <si>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璀璨基</t>
  </si>
  <si>
    <t>黄阳洋</t>
  </si>
  <si>
    <r>
      <t xml:space="preserve">米酒; 葡萄酒; 威士忌;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</t>
    </r>
  </si>
  <si>
    <t>哈菲</t>
  </si>
  <si>
    <r>
      <t>杜志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</si>
  <si>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高粱酒;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</si>
  <si>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上品 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上品牌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</si>
  <si>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清酒; 果酒; 黄酒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</si>
  <si>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人</t>
    </r>
  </si>
  <si>
    <t>王启俊</t>
  </si>
  <si>
    <r>
      <t xml:space="preserve">利口酒; 米酒; 梨酒; 清酒（日本米酒）;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</si>
  <si>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舍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</si>
  <si>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汉闲</t>
    </r>
    <r>
      <rPr>
        <sz val="11"/>
        <color theme="1"/>
        <rFont val="ＭＳ Ｐゴシック"/>
        <family val="3"/>
        <charset val="128"/>
        <scheme val="minor"/>
      </rPr>
      <t>云餐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</si>
  <si>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伏特加酒</t>
    </r>
  </si>
  <si>
    <t>BLUE CLAW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</si>
  <si>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港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</si>
  <si>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伏特加酒; 甜酒; 汽酒; 利口酒</t>
    </r>
  </si>
  <si>
    <t>朱浩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</si>
  <si>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</si>
  <si>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窖源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</si>
  <si>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</si>
  <si>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</si>
  <si>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独孤信</t>
  </si>
  <si>
    <r>
      <t>亳州市井泰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</si>
  <si>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葡萄酒;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</si>
  <si>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晓飞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</si>
  <si>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潜江</t>
    </r>
    <r>
      <rPr>
        <sz val="11"/>
        <color theme="1"/>
        <rFont val="ＭＳ Ｐゴシック"/>
        <family val="3"/>
        <charset val="134"/>
        <scheme val="minor"/>
      </rPr>
      <t>晓飞</t>
    </r>
    <r>
      <rPr>
        <sz val="11"/>
        <color theme="1"/>
        <rFont val="ＭＳ Ｐゴシック"/>
        <family val="3"/>
        <charset val="128"/>
        <scheme val="minor"/>
      </rPr>
      <t>歌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</si>
  <si>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</si>
  <si>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了翠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 xml:space="preserve"> NING DU</t>
    </r>
  </si>
  <si>
    <r>
      <t>宁都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永生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</si>
  <si>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薄荷酒;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</si>
  <si>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谷豫</t>
  </si>
  <si>
    <r>
      <t>吝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</si>
  <si>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</si>
  <si>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杏蕊</t>
  </si>
  <si>
    <r>
      <t>郑艳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</si>
  <si>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葡萄酒; 利口酒</t>
    </r>
  </si>
  <si>
    <t>老井福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</si>
  <si>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州昊天晨企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</si>
  <si>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</si>
  <si>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天文星</t>
  </si>
  <si>
    <r>
      <t>河北大国医道养心堂生物科技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</si>
  <si>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蜂蜜酒; 含酒精的气泡水; 食用酒精; 白酒</t>
    </r>
  </si>
  <si>
    <t>和平里 PEACETIME</t>
  </si>
  <si>
    <r>
      <t>中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(北京)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</si>
  <si>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米酒; 黄酒; 青稞酒;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</si>
  <si>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</si>
  <si>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湖北天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湖生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文旅有限公司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</si>
  <si>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白酒</t>
    </r>
  </si>
  <si>
    <r>
      <t>绅</t>
    </r>
    <r>
      <rPr>
        <sz val="11"/>
        <color theme="1"/>
        <rFont val="ＭＳ Ｐゴシック"/>
        <family val="3"/>
        <charset val="128"/>
        <scheme val="minor"/>
      </rPr>
      <t>士品味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</si>
  <si>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展（深圳）集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</si>
  <si>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苹果酒; 利口酒;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威士忌</t>
    </r>
  </si>
  <si>
    <t>恩酒感恩原</t>
  </si>
  <si>
    <t>民族匠心品牌管理（北京）有限公司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</si>
  <si>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</si>
  <si>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释释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</si>
  <si>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市涪霆百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</si>
  <si>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</si>
  <si>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传创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</si>
  <si>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漳州引琮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</si>
  <si>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米酒; 果酒</t>
    </r>
  </si>
  <si>
    <t>船票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</si>
  <si>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</si>
  <si>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酉囍</t>
  </si>
  <si>
    <t>丁茂梅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</si>
  <si>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白干酒（中国白酒）; 白酒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</si>
  <si>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</si>
  <si>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</si>
  <si>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嘉酒庄</t>
    </r>
  </si>
  <si>
    <r>
      <t>徐玉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</si>
  <si>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不起泡葡萄酒; 食用酒精;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</si>
  <si>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</si>
  <si>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售有限公司佛山分公司</t>
    </r>
  </si>
  <si>
    <r>
      <t>果酒（含酒精）;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</si>
  <si>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</si>
  <si>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果酒（含酒精）;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</si>
  <si>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江湖墨客</t>
  </si>
  <si>
    <r>
      <t>华</t>
    </r>
    <r>
      <rPr>
        <sz val="11"/>
        <color theme="1"/>
        <rFont val="ＭＳ Ｐゴシック"/>
        <family val="3"/>
        <charset val="128"/>
        <scheme val="minor"/>
      </rPr>
      <t>阴市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山春酒厂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</si>
  <si>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白酒</t>
    </r>
  </si>
  <si>
    <t>小梦仙</t>
  </si>
  <si>
    <t>任瑞海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</si>
  <si>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米酒; 果酒（含酒精）</t>
    </r>
  </si>
  <si>
    <r>
      <t>冰菲</t>
    </r>
    <r>
      <rPr>
        <sz val="11"/>
        <color theme="1"/>
        <rFont val="ＭＳ Ｐゴシック"/>
        <family val="3"/>
        <charset val="134"/>
        <scheme val="minor"/>
      </rPr>
      <t>蓝图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</si>
  <si>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伏特加酒;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</t>
    </r>
  </si>
  <si>
    <t>明珠花溪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</si>
  <si>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阳花溪高源明珠酒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</si>
  <si>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蜂蜜酒; 米酒; 果酒（含酒精）</t>
    </r>
  </si>
  <si>
    <t>七米福 QMEFF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</si>
  <si>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州新海域商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</si>
  <si>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</si>
  <si>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金庭春</t>
  </si>
  <si>
    <r>
      <t>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酣厚酒水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</si>
  <si>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梨酒; 黄酒; 利口酒; 葡萄酒;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青稞酒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</si>
  <si>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</si>
  <si>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君品珍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</si>
  <si>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黄酒; 青稞酒;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梨酒; 威士忌</t>
    </r>
  </si>
  <si>
    <r>
      <t>清酒;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</si>
  <si>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株</t>
    </r>
    <r>
      <rPr>
        <sz val="11"/>
        <color theme="1"/>
        <rFont val="ＭＳ Ｐゴシック"/>
        <family val="3"/>
        <charset val="134"/>
        <scheme val="minor"/>
      </rPr>
      <t>树桥</t>
    </r>
  </si>
  <si>
    <r>
      <t>深圳市九重岩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</si>
  <si>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白酒; 黄酒;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苹果酒;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</si>
  <si>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潮氏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</si>
  <si>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潮氏酒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</si>
  <si>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青稞酒;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开胃酒; 利口酒; 米酒; 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柑香酒; 葡萄酒; 伏特加酒;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</t>
    </r>
  </si>
  <si>
    <t>泉·芯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</si>
  <si>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泉芯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化科技有限公司</t>
    </r>
  </si>
  <si>
    <r>
      <t>薄荷酒;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清酒; 果酒</t>
    </r>
  </si>
  <si>
    <t>金富春</t>
  </si>
  <si>
    <r>
      <t>金富春集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</si>
  <si>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</t>
    </r>
  </si>
  <si>
    <t>成酒仙</t>
  </si>
  <si>
    <t>李建昊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</si>
  <si>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苹果酒; 葡萄酒; 白酒</t>
    </r>
  </si>
  <si>
    <t>KOMP1EX</t>
  </si>
  <si>
    <r>
      <t>容和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</si>
  <si>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</t>
    </r>
  </si>
  <si>
    <t>KOMPLEX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</si>
  <si>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</si>
  <si>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楼韵12</t>
  </si>
  <si>
    <r>
      <t>涡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县轩</t>
    </r>
    <r>
      <rPr>
        <sz val="11"/>
        <color theme="1"/>
        <rFont val="ＭＳ Ｐゴシック"/>
        <family val="3"/>
        <charset val="128"/>
        <scheme val="minor"/>
      </rPr>
      <t>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</si>
  <si>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</si>
  <si>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楼韵16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</si>
  <si>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</si>
  <si>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楼韵20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</si>
  <si>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</si>
  <si>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WILLIAMSWIM</t>
  </si>
  <si>
    <r>
      <t>上海弘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毅达体育科技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</si>
  <si>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米酒;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</t>
    </r>
  </si>
  <si>
    <t>毛哥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</si>
  <si>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市毛哥食品开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</si>
  <si>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</si>
  <si>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象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 xml:space="preserve"> 青梅煮酒</t>
    </r>
  </si>
  <si>
    <r>
      <t>深圳象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</si>
  <si>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麦芽威士忌; 青梅酒; 混合威士忌酒; 威士忌</t>
  </si>
  <si>
    <r>
      <t>象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 xml:space="preserve"> 凌晨威士忌</t>
    </r>
  </si>
  <si>
    <t>青梅酒; 麦芽威士忌; 混合威士忌酒; 威士忌</t>
  </si>
  <si>
    <t>酒酒巴士</t>
  </si>
  <si>
    <r>
      <t>成都彼岸尚品商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</si>
  <si>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白葡萄酒;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朗姆酒; 伏特加酒</t>
    </r>
  </si>
  <si>
    <r>
      <t xml:space="preserve">S20 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情公路 S20 LOVE ROAD</t>
    </r>
  </si>
  <si>
    <r>
      <t>新疆交通投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任公司克拉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依分公司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</si>
  <si>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</si>
  <si>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老武家</t>
  </si>
  <si>
    <t>河南省武小七品牌管理有限公司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</si>
  <si>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清酒（日本米酒）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</si>
  <si>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晚收山葡萄酒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</si>
  <si>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</si>
  <si>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DA YOU YU NONG</t>
  </si>
  <si>
    <r>
      <t>大有裕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（内蒙古）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</si>
  <si>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</si>
  <si>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古关中 GUGUANZHONG BAIJIU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</si>
  <si>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西省关中酒有限公司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</si>
  <si>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开胃酒;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</si>
  <si>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上海一生幸福健康科技有限公司</t>
  </si>
  <si>
    <r>
      <t>白酒; 米酒; 开胃酒; 汽酒;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</si>
  <si>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卓音国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</si>
  <si>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</si>
  <si>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</si>
  <si>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内蒙古蒙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代食品科技集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</si>
  <si>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</si>
  <si>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方酒中仙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</si>
  <si>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</si>
  <si>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葡萄酒;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果酒（含酒精）</t>
    </r>
  </si>
  <si>
    <t>味娘子</t>
  </si>
  <si>
    <t>王建新</t>
  </si>
  <si>
    <r>
      <t>葡萄酒;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白酒; 青稞酒; 米酒</t>
    </r>
  </si>
  <si>
    <r>
      <t>漳州伯特安尼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</si>
  <si>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清酒（日本米酒）; 朗姆酒; 葡萄酒; 伏特加酒; 果酒; 酸酒（低等葡萄酒）; 白酒</t>
    </r>
  </si>
  <si>
    <t>众沙</t>
  </si>
  <si>
    <t>安徽众沙行科技有限公司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</si>
  <si>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</si>
  <si>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t>黔在手老酒</t>
  </si>
  <si>
    <r>
      <t>陈</t>
    </r>
    <r>
      <rPr>
        <sz val="11"/>
        <color theme="1"/>
        <rFont val="ＭＳ Ｐゴシック"/>
        <family val="3"/>
        <charset val="128"/>
        <scheme val="minor"/>
      </rPr>
      <t>紫</t>
    </r>
    <r>
      <rPr>
        <sz val="11"/>
        <color theme="1"/>
        <rFont val="ＭＳ Ｐゴシック"/>
        <family val="3"/>
        <charset val="134"/>
        <scheme val="minor"/>
      </rPr>
      <t>钥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</si>
  <si>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烈酒</t>
    </r>
  </si>
  <si>
    <t>明心谷 明心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</si>
  <si>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明心谷生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</si>
  <si>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葡萄酒; 黄酒; 开胃酒;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</si>
  <si>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之求</t>
    </r>
  </si>
  <si>
    <r>
      <t>深圳市微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金盟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</si>
  <si>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</si>
  <si>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邈筋堂</t>
  </si>
  <si>
    <r>
      <t>铜</t>
    </r>
    <r>
      <rPr>
        <sz val="11"/>
        <color theme="1"/>
        <rFont val="ＭＳ Ｐゴシック"/>
        <family val="3"/>
        <charset val="128"/>
        <scheme val="minor"/>
      </rPr>
      <t>川康骨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科医院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</si>
  <si>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梨酒;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</si>
  <si>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嫂米酒</t>
    </r>
  </si>
  <si>
    <t>张贤锦</t>
  </si>
  <si>
    <r>
      <t>白酒; 金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桑葚酒; 米酒; 黄酒; 谷物酒; 葡萄酒; 糯米酒; 高粱酒</t>
    </r>
  </si>
  <si>
    <t>金果名莓</t>
  </si>
  <si>
    <r>
      <t>黑果花楸不老莓健康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</si>
  <si>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果酒（含酒精）; 草莓酒;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</si>
  <si>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方米</t>
    </r>
  </si>
  <si>
    <r>
      <t>上海澄穆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</si>
  <si>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烈酒; 甜果酒;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</t>
    </r>
  </si>
  <si>
    <t>唐潮李白酒</t>
  </si>
  <si>
    <r>
      <t>葛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佩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</si>
  <si>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</si>
  <si>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艾</t>
    </r>
  </si>
  <si>
    <r>
      <t>岳普湖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阿克提坎村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林牧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</si>
  <si>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米酒</t>
    </r>
  </si>
  <si>
    <r>
      <t>王者</t>
    </r>
    <r>
      <rPr>
        <sz val="11"/>
        <color theme="1"/>
        <rFont val="ＭＳ Ｐゴシック"/>
        <family val="3"/>
        <charset val="134"/>
        <scheme val="minor"/>
      </rPr>
      <t>挥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</si>
  <si>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亳州</t>
    </r>
    <r>
      <rPr>
        <sz val="11"/>
        <color theme="1"/>
        <rFont val="ＭＳ Ｐゴシック"/>
        <family val="3"/>
        <charset val="134"/>
        <scheme val="minor"/>
      </rPr>
      <t>挥</t>
    </r>
    <r>
      <rPr>
        <sz val="11"/>
        <color theme="1"/>
        <rFont val="ＭＳ Ｐゴシック"/>
        <family val="3"/>
        <charset val="128"/>
        <scheme val="minor"/>
      </rPr>
      <t>戈技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</si>
  <si>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</si>
  <si>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三套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</si>
  <si>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</si>
  <si>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高粱酒; 食用酒精; 葡萄酒;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</si>
  <si>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七公藏</t>
    </r>
    <r>
      <rPr>
        <sz val="11"/>
        <color theme="1"/>
        <rFont val="ＭＳ Ｐゴシック"/>
        <family val="3"/>
        <charset val="134"/>
        <scheme val="minor"/>
      </rPr>
      <t>钢铁摇篮</t>
    </r>
  </si>
  <si>
    <r>
      <t>天津七公藏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</si>
  <si>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</si>
  <si>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FABERGE</t>
  </si>
  <si>
    <r>
      <t>费</t>
    </r>
    <r>
      <rPr>
        <sz val="11"/>
        <color theme="1"/>
        <rFont val="ＭＳ Ｐゴシック"/>
        <family val="3"/>
        <charset val="128"/>
        <scheme val="minor"/>
      </rPr>
      <t>伯奇（英国）有限公司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</si>
  <si>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</si>
  <si>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恣肆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</si>
  <si>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蒸煮提取物（利口酒和烈酒）; 开胃酒; 果酒（含酒精）; 葡萄酒</t>
    </r>
  </si>
  <si>
    <t>山生七养</t>
  </si>
  <si>
    <r>
      <t>云南白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</si>
  <si>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果酒;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蜂蜜酒</t>
    </r>
  </si>
  <si>
    <r>
      <t>女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</si>
  <si>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易通商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</si>
  <si>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</t>
    </r>
  </si>
  <si>
    <t>山升七养</t>
  </si>
  <si>
    <r>
      <t xml:space="preserve">清酒（日本米酒）; 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</t>
    </r>
  </si>
  <si>
    <r>
      <t>蜂蜜酒;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清酒（日本米酒）;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</si>
  <si>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烈酒; 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</t>
    </r>
  </si>
  <si>
    <t>ONITSUKA TIGER</t>
  </si>
  <si>
    <r>
      <t>株式会社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世克私</t>
    </r>
  </si>
  <si>
    <r>
      <t xml:space="preserve">日本梅子酒;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</si>
  <si>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咸</t>
    </r>
    <r>
      <rPr>
        <sz val="11"/>
        <color theme="1"/>
        <rFont val="ＭＳ Ｐゴシック"/>
        <family val="3"/>
        <charset val="134"/>
        <scheme val="minor"/>
      </rPr>
      <t>骆驼</t>
    </r>
    <r>
      <rPr>
        <sz val="11"/>
        <color theme="1"/>
        <rFont val="ＭＳ Ｐゴシック"/>
        <family val="3"/>
        <charset val="128"/>
        <scheme val="minor"/>
      </rPr>
      <t>老地址</t>
    </r>
  </si>
  <si>
    <r>
      <t>宁波市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珊家庭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</si>
  <si>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</t>
    </r>
  </si>
  <si>
    <r>
      <t>蜂蜜酒;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</si>
  <si>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青稞酒; 白酒; 蜂蜜酒; 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</si>
  <si>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启森庄园高粱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</si>
  <si>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唐山启森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</si>
  <si>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烈酒; 白干酒（中国白酒）; 高粱酒; 白酒;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</si>
  <si>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纠</t>
    </r>
  </si>
  <si>
    <r>
      <t>福州市晋安区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</si>
  <si>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</si>
  <si>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酒墨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</si>
  <si>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建平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</si>
  <si>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伏特加酒</t>
    </r>
  </si>
  <si>
    <t>拾露一瓶</t>
  </si>
  <si>
    <r>
      <t>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苏酿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</si>
  <si>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利口酒; 混合威士忌酒;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</t>
    </r>
  </si>
  <si>
    <r>
      <t>丽尔贝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</si>
  <si>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丽尔贝</t>
    </r>
    <r>
      <rPr>
        <sz val="11"/>
        <color theme="1"/>
        <rFont val="ＭＳ Ｐゴシック"/>
        <family val="3"/>
        <charset val="128"/>
        <scheme val="minor"/>
      </rPr>
      <t>健生物科技有限公司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</si>
  <si>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餐后酒（利口酒和烈酒）;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</t>
    </r>
  </si>
  <si>
    <r>
      <t>河南三</t>
    </r>
    <r>
      <rPr>
        <sz val="11"/>
        <color theme="1"/>
        <rFont val="ＭＳ Ｐゴシック"/>
        <family val="3"/>
        <charset val="134"/>
        <scheme val="minor"/>
      </rPr>
      <t>扬实业发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</si>
  <si>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烈性干酒; 黄酒; 果酒（含酒精）; 葡萄酒;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</si>
  <si>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景阳前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</si>
  <si>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</si>
  <si>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</t>
    </r>
  </si>
  <si>
    <t>05119 零五一一九</t>
  </si>
  <si>
    <r>
      <t>镇</t>
    </r>
    <r>
      <rPr>
        <sz val="11"/>
        <color theme="1"/>
        <rFont val="ＭＳ Ｐゴシック"/>
        <family val="3"/>
        <charset val="128"/>
        <scheme val="minor"/>
      </rPr>
      <t>江零五一一九商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</si>
  <si>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米酒; 黄酒; 白酒</t>
    </r>
  </si>
  <si>
    <t>林海魅力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</si>
  <si>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政集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有限公司吉林省分公司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</si>
  <si>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</si>
  <si>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御藏煌煌</t>
  </si>
  <si>
    <r>
      <t>山西御藏酒厂集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</si>
  <si>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汽酒</t>
    </r>
  </si>
  <si>
    <r>
      <t>何</t>
    </r>
    <r>
      <rPr>
        <sz val="11"/>
        <color theme="1"/>
        <rFont val="ＭＳ Ｐゴシック"/>
        <family val="3"/>
        <charset val="129"/>
        <scheme val="minor"/>
      </rPr>
      <t>吆</t>
    </r>
    <r>
      <rPr>
        <sz val="11"/>
        <color theme="1"/>
        <rFont val="ＭＳ Ｐゴシック"/>
        <family val="3"/>
        <charset val="128"/>
        <scheme val="minor"/>
      </rPr>
      <t>妹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</si>
  <si>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燃</t>
    </r>
  </si>
  <si>
    <r>
      <t xml:space="preserve">果酒（含酒精）;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</si>
  <si>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道昭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</si>
  <si>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</si>
  <si>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</si>
  <si>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通家</t>
  </si>
  <si>
    <r>
      <t>米玉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</si>
  <si>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</si>
  <si>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竹芽活力</t>
  </si>
  <si>
    <t>杜金柱******************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</si>
  <si>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</si>
  <si>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中万</t>
  </si>
  <si>
    <r>
      <t xml:space="preserve">米酒;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果酒; 黄酒; 高粱酒; 白酒</t>
    </r>
  </si>
  <si>
    <r>
      <t>恋</t>
    </r>
    <r>
      <rPr>
        <sz val="11"/>
        <color theme="1"/>
        <rFont val="ＭＳ Ｐゴシック"/>
        <family val="3"/>
        <charset val="134"/>
        <scheme val="minor"/>
      </rPr>
      <t>呗</t>
    </r>
  </si>
  <si>
    <r>
      <t>上海恋</t>
    </r>
    <r>
      <rPr>
        <sz val="11"/>
        <color theme="1"/>
        <rFont val="ＭＳ Ｐゴシック"/>
        <family val="3"/>
        <charset val="134"/>
        <scheme val="minor"/>
      </rPr>
      <t>呗实业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</si>
  <si>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含酒精的气泡水;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</si>
  <si>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有功之臣</t>
  </si>
  <si>
    <r>
      <t>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</si>
  <si>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</si>
  <si>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勇者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</si>
  <si>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</si>
  <si>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粱班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</si>
  <si>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</si>
  <si>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露酒; 青稞酒;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</si>
  <si>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圈圈豹</t>
  </si>
  <si>
    <r>
      <t>江阴海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</si>
  <si>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</si>
  <si>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THE STAR PAWS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</si>
  <si>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食用酒精; 葡萄酒</t>
    </r>
  </si>
  <si>
    <r>
      <t>澜</t>
    </r>
    <r>
      <rPr>
        <sz val="11"/>
        <color theme="1"/>
        <rFont val="ＭＳ Ｐゴシック"/>
        <family val="3"/>
        <charset val="129"/>
        <scheme val="minor"/>
      </rPr>
      <t>喵喵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</si>
  <si>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食用酒精; 果酒（含酒精）;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</si>
  <si>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能量·斗</t>
    </r>
    <r>
      <rPr>
        <sz val="11"/>
        <color theme="1"/>
        <rFont val="ＭＳ Ｐゴシック"/>
        <family val="3"/>
        <charset val="134"/>
        <scheme val="minor"/>
      </rPr>
      <t>鸡</t>
    </r>
  </si>
  <si>
    <r>
      <t>北京福</t>
    </r>
    <r>
      <rPr>
        <sz val="11"/>
        <color theme="1"/>
        <rFont val="ＭＳ Ｐゴシック"/>
        <family val="3"/>
        <charset val="134"/>
        <scheme val="minor"/>
      </rPr>
      <t>侬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</si>
  <si>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高粱酒;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露酒</t>
    </r>
  </si>
  <si>
    <r>
      <t xml:space="preserve">WESIZE 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</si>
  <si>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巅</t>
    </r>
    <r>
      <rPr>
        <sz val="11"/>
        <color theme="1"/>
        <rFont val="ＭＳ Ｐゴシック"/>
        <family val="3"/>
        <charset val="128"/>
        <scheme val="minor"/>
      </rPr>
      <t>峰健康科技股份有限公司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</si>
  <si>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草莓酒; 葡萄酒; 果酒（含酒精）;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</si>
  <si>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爪爪小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</si>
  <si>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葡萄酒; 白酒; 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</si>
  <si>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仰韶玫瑰韵</t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</si>
  <si>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</si>
  <si>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</si>
  <si>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南造</t>
  </si>
  <si>
    <r>
      <t>台州莫争文化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</si>
  <si>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米酒;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</si>
  <si>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仰韶玫瑰谷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</si>
  <si>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</si>
  <si>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万宝兔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</si>
  <si>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州万宝免商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</si>
  <si>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高粱酒; 葡萄酒; 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</si>
  <si>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商始祖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</si>
  <si>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商始祖酒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</si>
  <si>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</si>
  <si>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酉本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</si>
  <si>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峰品牌管理有限公司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</si>
  <si>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果酒（含酒精）;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含酒精的气泡水; 白酒; 黄酒</t>
    </r>
  </si>
  <si>
    <r>
      <t>南造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所</t>
    </r>
  </si>
  <si>
    <r>
      <t>伏特加酒;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</si>
  <si>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解密女神</t>
  </si>
  <si>
    <r>
      <t>德宏美尚化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</si>
  <si>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</si>
  <si>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南造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</si>
  <si>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 xml:space="preserve">伏特加酒; 朗姆酒;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黄酒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</si>
  <si>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</si>
  <si>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青稞酒; 黄酒; 薄荷酒</t>
    </r>
  </si>
  <si>
    <t>岐黄粹</t>
  </si>
  <si>
    <r>
      <t>杨</t>
    </r>
    <r>
      <rPr>
        <sz val="11"/>
        <color theme="1"/>
        <rFont val="ＭＳ Ｐゴシック"/>
        <family val="3"/>
        <charset val="128"/>
        <scheme val="minor"/>
      </rPr>
      <t>惠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</si>
  <si>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米酒; 白酒; 苹果酒; 葡萄酒; 蜂蜜酒; 黄酒</t>
    </r>
  </si>
  <si>
    <t>仰韶陶韵</t>
  </si>
  <si>
    <r>
      <t>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</si>
  <si>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CRRC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</si>
  <si>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开胃酒</t>
    </r>
  </si>
  <si>
    <t>陶韶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</si>
  <si>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黄酒; 葡萄酒</t>
    </r>
  </si>
  <si>
    <t>皛白豫宴</t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</si>
  <si>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青稞酒; 葡萄酒</t>
    </r>
  </si>
  <si>
    <t>水道渠醇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</si>
  <si>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市粮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制曲有限公司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</si>
  <si>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</si>
  <si>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战论</t>
  </si>
  <si>
    <r>
      <t>刘</t>
    </r>
    <r>
      <rPr>
        <sz val="11"/>
        <color theme="1"/>
        <rFont val="ＭＳ Ｐゴシック"/>
        <family val="3"/>
        <charset val="134"/>
        <scheme val="minor"/>
      </rPr>
      <t>帅龙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</si>
  <si>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</si>
  <si>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疆美</t>
    </r>
  </si>
  <si>
    <t>徐英</t>
  </si>
  <si>
    <r>
      <t>白酒; 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</si>
  <si>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大道守一</t>
  </si>
  <si>
    <r>
      <t>白酒;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烈酒; 清酒</t>
    </r>
  </si>
  <si>
    <r>
      <t>年井</t>
    </r>
    <r>
      <rPr>
        <sz val="11"/>
        <color theme="1"/>
        <rFont val="ＭＳ Ｐゴシック"/>
        <family val="3"/>
        <charset val="134"/>
        <scheme val="minor"/>
      </rPr>
      <t>贡</t>
    </r>
  </si>
  <si>
    <t>王敬岩</t>
  </si>
  <si>
    <r>
      <t>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</si>
  <si>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囤 HD</t>
    </r>
  </si>
  <si>
    <r>
      <t>梁山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徐府酒曲有限公司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</si>
  <si>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</si>
  <si>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KUMBOKJU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</si>
  <si>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嘉燕国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</si>
  <si>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清酒; 白酒; 米酒</t>
    </r>
  </si>
  <si>
    <t>ZTO SMART SELECTION</t>
  </si>
  <si>
    <r>
      <t>中通快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</si>
  <si>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开胃酒;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</t>
    </r>
  </si>
  <si>
    <t>华馆长</t>
  </si>
  <si>
    <r>
      <t>谢韦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</si>
  <si>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</si>
  <si>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科养生活</t>
  </si>
  <si>
    <t>科养(上海)健康科技有限公司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</si>
  <si>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葡萄酒;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</si>
  <si>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JXU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</si>
  <si>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</si>
  <si>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 xml:space="preserve">果酒（含酒精）; 葡萄酒; 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黄酒</t>
    </r>
  </si>
  <si>
    <r>
      <t>柠</t>
    </r>
    <r>
      <rPr>
        <sz val="11"/>
        <color theme="1"/>
        <rFont val="ＭＳ Ｐゴシック"/>
        <family val="3"/>
        <charset val="128"/>
        <scheme val="minor"/>
      </rPr>
      <t>香园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</si>
  <si>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</si>
  <si>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含酒精的气泡水; 蜂蜜酒;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</si>
  <si>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古粱郡 柳之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</si>
  <si>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柳</t>
    </r>
    <r>
      <rPr>
        <sz val="11"/>
        <color theme="1"/>
        <rFont val="ＭＳ Ｐゴシック"/>
        <family val="3"/>
        <charset val="134"/>
        <scheme val="minor"/>
      </rPr>
      <t>丛伟</t>
    </r>
  </si>
  <si>
    <r>
      <t>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</si>
  <si>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圣同瑶康</t>
  </si>
  <si>
    <r>
      <t>赵</t>
    </r>
    <r>
      <rPr>
        <sz val="11"/>
        <color theme="1"/>
        <rFont val="ＭＳ Ｐゴシック"/>
        <family val="3"/>
        <charset val="128"/>
        <scheme val="minor"/>
      </rPr>
      <t>秀梅</t>
    </r>
  </si>
  <si>
    <r>
      <t>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蜂蜜酒; 利口酒;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</si>
  <si>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九嶷山永酒</t>
  </si>
  <si>
    <r>
      <t>湖南九嶷山酒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</si>
  <si>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甜果酒; 白酒</t>
    </r>
  </si>
  <si>
    <t>焉之醉</t>
  </si>
  <si>
    <r>
      <t>新疆康喜酒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</si>
  <si>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</si>
  <si>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焉香醉</t>
  </si>
  <si>
    <r>
      <t>高粱酒; 白干酒（中国白酒）;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</si>
  <si>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尙</t>
    </r>
    <r>
      <rPr>
        <sz val="11"/>
        <color theme="1"/>
        <rFont val="ＭＳ Ｐゴシック"/>
        <family val="3"/>
        <charset val="128"/>
        <scheme val="minor"/>
      </rPr>
      <t>和天元</t>
    </r>
  </si>
  <si>
    <t>北京蒲阳科技有限公司</t>
  </si>
  <si>
    <r>
      <t xml:space="preserve">白酒; 薄荷酒;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清酒（日本米酒）;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</si>
  <si>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杨</t>
    </r>
  </si>
  <si>
    <t>方名迁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</si>
  <si>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</si>
  <si>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EAGLE NOBLE XUANNESY</t>
  </si>
  <si>
    <r>
      <t>红驼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</si>
  <si>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</si>
  <si>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舰</t>
    </r>
    <r>
      <rPr>
        <sz val="11"/>
        <color theme="1"/>
        <rFont val="ＭＳ Ｐゴシック"/>
        <family val="3"/>
        <charset val="128"/>
        <scheme val="minor"/>
      </rPr>
      <t>艏</t>
    </r>
  </si>
  <si>
    <t>中山市佰草香健康科技有限公司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</si>
  <si>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露酒; 汽酒; 加烈葡萄酒;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梨酒; 白葡萄酒</t>
    </r>
  </si>
  <si>
    <t>酒昂昂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</si>
  <si>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昂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</si>
  <si>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</si>
  <si>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蜜晁酒</t>
  </si>
  <si>
    <t>晁永昌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</si>
  <si>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白酒; 果酒（含酒精）; 黄酒; 蜂蜜酒</t>
    </r>
  </si>
  <si>
    <r>
      <t>惠州市尼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体育用品有限公司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</si>
  <si>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威士忌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</si>
  <si>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有方</t>
    </r>
  </si>
  <si>
    <r>
      <t>北京一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</si>
  <si>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</si>
  <si>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史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</si>
  <si>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白酒; 威士忌; 葡萄酒;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</si>
  <si>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杞鼎</t>
  </si>
  <si>
    <r>
      <t>沃博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</si>
  <si>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利口酒;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</si>
  <si>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李老四益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酒坊</t>
    </r>
  </si>
  <si>
    <t>李冬升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</si>
  <si>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</si>
  <si>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洑小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</si>
  <si>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</si>
  <si>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t>威江老</t>
  </si>
  <si>
    <t>张赞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</si>
  <si>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</si>
  <si>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太乙</t>
    </r>
  </si>
  <si>
    <r>
      <t>王昌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</si>
  <si>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</si>
  <si>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泰棒</t>
  </si>
  <si>
    <r>
      <t>张</t>
    </r>
    <r>
      <rPr>
        <sz val="11"/>
        <color theme="1"/>
        <rFont val="ＭＳ Ｐゴシック"/>
        <family val="3"/>
        <charset val="128"/>
        <scheme val="minor"/>
      </rPr>
      <t>季季</t>
    </r>
  </si>
  <si>
    <t>清酒; 葡萄酒; 食用酒精; 果酒; 汽酒; 白酒; 米酒; 黄酒; 开胃酒; 甜酒</t>
  </si>
  <si>
    <t>秦海滴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</si>
  <si>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秦酒酒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</si>
  <si>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露酒;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</si>
  <si>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广州宁心食品有限公司</t>
  </si>
  <si>
    <t>白酒; 米酒; 果酒</t>
  </si>
  <si>
    <t>KHJQ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</si>
  <si>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</si>
  <si>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葡萄酒</t>
    </r>
  </si>
  <si>
    <r>
      <t>秒</t>
    </r>
    <r>
      <rPr>
        <sz val="11"/>
        <color theme="1"/>
        <rFont val="ＭＳ Ｐゴシック"/>
        <family val="3"/>
        <charset val="134"/>
        <scheme val="minor"/>
      </rPr>
      <t>哒</t>
    </r>
  </si>
  <si>
    <r>
      <t>百度在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</si>
  <si>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</si>
  <si>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六千年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</si>
  <si>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</si>
  <si>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康甲酒院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</si>
  <si>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食用酒精; 利口酒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</si>
  <si>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家人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</si>
  <si>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尖冢</t>
    </r>
    <r>
      <rPr>
        <sz val="11"/>
        <color theme="1"/>
        <rFont val="ＭＳ Ｐゴシック"/>
        <family val="3"/>
        <charset val="134"/>
        <scheme val="minor"/>
      </rPr>
      <t>镇龙</t>
    </r>
    <r>
      <rPr>
        <sz val="11"/>
        <color theme="1"/>
        <rFont val="ＭＳ Ｐゴシック"/>
        <family val="3"/>
        <charset val="128"/>
        <scheme val="minor"/>
      </rPr>
      <t>潭村股份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</si>
  <si>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</t>
    </r>
  </si>
  <si>
    <r>
      <t>亮</t>
    </r>
    <r>
      <rPr>
        <sz val="11"/>
        <color theme="1"/>
        <rFont val="ＭＳ Ｐゴシック"/>
        <family val="3"/>
        <charset val="134"/>
        <scheme val="minor"/>
      </rPr>
      <t>靓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</si>
  <si>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深圳市智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品牌文化有限公司</t>
    </r>
  </si>
  <si>
    <r>
      <t>利口酒;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</si>
  <si>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泥之香</t>
  </si>
  <si>
    <t>王博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</si>
  <si>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餐后酒（利口酒和烈酒）; 米酒; 青稞酒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</si>
  <si>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</si>
  <si>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天津津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白酒集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</si>
  <si>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烈酒; 果酒（含酒精）; 白酒;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</si>
  <si>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BLUE-YOU</t>
  </si>
  <si>
    <r>
      <t>利口酒;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</si>
  <si>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鹗书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</si>
  <si>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湖南浩学文化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</si>
  <si>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</si>
  <si>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</si>
  <si>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</t>
    </r>
  </si>
  <si>
    <t>苔黎佤</t>
  </si>
  <si>
    <r>
      <t>新疆浪新漫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</si>
  <si>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烈酒; 葡萄酒; 白酒;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</si>
  <si>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杏云河世家</t>
  </si>
  <si>
    <r>
      <t>山西杏云河酒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</si>
  <si>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白干酒（中国白酒）;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</si>
  <si>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杏云河藏酒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</si>
  <si>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米酒; 葡萄酒;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黄酒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</si>
  <si>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昇元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</si>
  <si>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昇元商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</si>
  <si>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</si>
  <si>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冷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冰雕</t>
    </r>
  </si>
  <si>
    <r>
      <t>爱捞</t>
    </r>
    <r>
      <rPr>
        <sz val="11"/>
        <color theme="1"/>
        <rFont val="ＭＳ Ｐゴシック"/>
        <family val="3"/>
        <charset val="128"/>
        <scheme val="minor"/>
      </rPr>
      <t>一族餐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</si>
  <si>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露酒; 米酒; 白酒</t>
    </r>
  </si>
  <si>
    <t>京涮京涮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</si>
  <si>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品新材料科技有限公司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</si>
  <si>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黄酒; 威士忌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</si>
  <si>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</si>
  <si>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糟坊酒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</si>
  <si>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葡萄酒; 果酒; 高粱酒; 青稞酒; 白干酒（中国白酒）;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</si>
  <si>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祁</t>
    </r>
  </si>
  <si>
    <r>
      <t>江阴市一品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</si>
  <si>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果酒; 米酒; 烈酒; 葡萄酒; 利口酒; 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</si>
  <si>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五色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</si>
  <si>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新疆云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</si>
  <si>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</t>
    </r>
  </si>
  <si>
    <t>内津津帝王酒</t>
  </si>
  <si>
    <r>
      <t xml:space="preserve">白酒;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清酒; 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</si>
  <si>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草</t>
    </r>
    <r>
      <rPr>
        <sz val="11"/>
        <color theme="1"/>
        <rFont val="ＭＳ Ｐゴシック"/>
        <family val="3"/>
        <charset val="129"/>
        <scheme val="minor"/>
      </rPr>
      <t>茻</t>
    </r>
    <r>
      <rPr>
        <sz val="11"/>
        <color theme="1"/>
        <rFont val="ＭＳ Ｐゴシック"/>
        <family val="3"/>
        <charset val="128"/>
        <scheme val="minor"/>
      </rPr>
      <t>醍醐</t>
    </r>
  </si>
  <si>
    <r>
      <t>北京真福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</si>
  <si>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露酒; 果酒; 果酒（含酒精）; 黄酒; 蜂蜜酒;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蝮蛇酒; 不起泡葡萄酒</t>
    </r>
  </si>
  <si>
    <r>
      <t>火炬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</si>
  <si>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白干酒（中国白酒）; 米酒; 白酒; 黄酒; 高粱酒; 清酒（日本米酒）</t>
    </r>
  </si>
  <si>
    <t>冷漠冰雕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</si>
  <si>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食用酒精; 米酒</t>
    </r>
  </si>
  <si>
    <t>XCAT</t>
  </si>
  <si>
    <t>周厚壬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</si>
  <si>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利口酒</t>
    </r>
  </si>
  <si>
    <t>敢湃</t>
  </si>
  <si>
    <r>
      <t>白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</si>
  <si>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</si>
  <si>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t>子昂春酒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</si>
  <si>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葡萄酒; 食用酒精;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</si>
  <si>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无誓</t>
  </si>
  <si>
    <r>
      <t>河南唯美堂广告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</si>
  <si>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清酒; 果酒（含酒精）; 白酒</t>
    </r>
  </si>
  <si>
    <t>球星液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</si>
  <si>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佳莱商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</si>
  <si>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苦味酒; 黄酒; 苹果酒;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</si>
  <si>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</si>
  <si>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t>潘秀珍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</si>
  <si>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</si>
  <si>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刀牌臻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</si>
  <si>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</si>
  <si>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利口酒;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</si>
  <si>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陈坛乡</t>
  </si>
  <si>
    <r>
      <t>龚</t>
    </r>
    <r>
      <rPr>
        <sz val="11"/>
        <color theme="1"/>
        <rFont val="ＭＳ Ｐゴシック"/>
        <family val="3"/>
        <charset val="128"/>
        <scheme val="minor"/>
      </rPr>
      <t>文甫</t>
    </r>
  </si>
  <si>
    <r>
      <t>清酒;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米酒; 白酒; 黄酒</t>
    </r>
  </si>
  <si>
    <t>防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</si>
  <si>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御防保肝酒科技有限公司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</si>
  <si>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露酒;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</si>
  <si>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椰前</t>
  </si>
  <si>
    <r>
      <t>儋州祝盛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</si>
  <si>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</si>
  <si>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回春堂</t>
    </r>
  </si>
  <si>
    <t>亳州市茶陶坊花茶有限公司</t>
  </si>
  <si>
    <r>
      <t>开胃酒; 汽酒;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食用酒精; 高粱酒; 葡萄酒</t>
    </r>
  </si>
  <si>
    <r>
      <t>超棘待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</si>
  <si>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山西山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旦派食品有限公司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</si>
  <si>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</si>
  <si>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圣酩</t>
    </r>
    <r>
      <rPr>
        <sz val="11"/>
        <color theme="1"/>
        <rFont val="ＭＳ Ｐゴシック"/>
        <family val="3"/>
        <charset val="134"/>
        <scheme val="minor"/>
      </rPr>
      <t>传</t>
    </r>
  </si>
  <si>
    <t>段耀</t>
  </si>
  <si>
    <r>
      <t>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</si>
  <si>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王朝福祉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</si>
  <si>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</si>
  <si>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UNDERGROUND ARTISTS</t>
  </si>
  <si>
    <r>
      <t>李.</t>
    </r>
    <r>
      <rPr>
        <sz val="11"/>
        <color theme="1"/>
        <rFont val="ＭＳ Ｐゴシック"/>
        <family val="3"/>
        <charset val="134"/>
        <scheme val="minor"/>
      </rPr>
      <t>泽维尔</t>
    </r>
    <r>
      <rPr>
        <sz val="11"/>
        <color theme="1"/>
        <rFont val="ＭＳ Ｐゴシック"/>
        <family val="3"/>
        <charset val="128"/>
        <scheme val="minor"/>
      </rPr>
      <t>.史蒂芬.松晟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</si>
  <si>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苹果酒; 利口酒; 烈酒; 杜松子酒</t>
    </r>
  </si>
  <si>
    <r>
      <t>湘之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</si>
  <si>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何青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</si>
  <si>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</si>
  <si>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r>
      <t>德源阿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</si>
  <si>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乌兰</t>
    </r>
    <r>
      <rPr>
        <sz val="11"/>
        <color theme="1"/>
        <rFont val="ＭＳ Ｐゴシック"/>
        <family val="3"/>
        <charset val="128"/>
        <scheme val="minor"/>
      </rPr>
      <t>浩特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</si>
  <si>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</si>
  <si>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珊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</si>
  <si>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市卡芙娜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</si>
  <si>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</si>
  <si>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KEKE'S ART 可</t>
    </r>
    <r>
      <rPr>
        <sz val="11"/>
        <color theme="1"/>
        <rFont val="ＭＳ Ｐゴシック"/>
        <family val="3"/>
        <charset val="134"/>
        <scheme val="minor"/>
      </rPr>
      <t>艺汇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</si>
  <si>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含章以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</si>
  <si>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食用酒精</t>
    </r>
  </si>
  <si>
    <r>
      <t>膳余堂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叫</t>
    </r>
  </si>
  <si>
    <t>米健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</si>
  <si>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清酒; 米酒</t>
    </r>
  </si>
  <si>
    <t>BAABOLYCASTLE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</si>
  <si>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伍酒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酒行有限公司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</si>
  <si>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蜂蜜酒;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</si>
  <si>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酒爹酒</t>
  </si>
  <si>
    <r>
      <t>河北魏道源文化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</si>
  <si>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青稞酒; 白酒; 开胃酒; 果酒（含酒精）</t>
    </r>
  </si>
  <si>
    <t>屋脊山</t>
  </si>
  <si>
    <r>
      <t>六安市屋脊山酒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</si>
  <si>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</t>
    </r>
  </si>
  <si>
    <r>
      <t>屋脊山酒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</si>
  <si>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</si>
  <si>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</si>
  <si>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白酒</t>
    </r>
  </si>
  <si>
    <t>逸家舒</t>
  </si>
  <si>
    <r>
      <t>漯河行家里手清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</si>
  <si>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利口酒;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</si>
  <si>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嘻倍</t>
  </si>
  <si>
    <t>深圳市膜世博科技有限公司</t>
  </si>
  <si>
    <r>
      <t xml:space="preserve">利口酒;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</si>
  <si>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展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</si>
  <si>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庆伟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</si>
  <si>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米酒; 葡萄酒</t>
    </r>
  </si>
  <si>
    <t>常想知</t>
  </si>
  <si>
    <t>果酒（含酒精）; 利口酒; 黄酒; 青稞酒; 米酒; 烈酒; 清酒（日本米酒）; 白酒; 葡萄酒; 蜂蜜酒</t>
  </si>
  <si>
    <r>
      <t>皇家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</si>
  <si>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卢细</t>
    </r>
    <r>
      <rPr>
        <sz val="11"/>
        <color theme="1"/>
        <rFont val="ＭＳ Ｐゴシック"/>
        <family val="3"/>
        <charset val="128"/>
        <scheme val="minor"/>
      </rPr>
      <t>黑</t>
    </r>
  </si>
  <si>
    <t>汽酒; 清酒; 甜酒; 白酒; 米酒; 黄酒; 葡萄酒; 食用酒精; 开胃酒; 果酒</t>
  </si>
  <si>
    <t>未来安大人</t>
  </si>
  <si>
    <r>
      <t>合肥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博广告品牌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</si>
  <si>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</si>
  <si>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梁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</si>
  <si>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</si>
  <si>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</t>
    </r>
  </si>
  <si>
    <r>
      <t>酝红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</si>
  <si>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</si>
  <si>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祁羊故事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</si>
  <si>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万物春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</si>
  <si>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白酒; 高粱酒; 利口酒</t>
    </r>
  </si>
  <si>
    <r>
      <t>祁羊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</si>
  <si>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</t>
    </r>
  </si>
  <si>
    <r>
      <t>尼三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</si>
  <si>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百草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</si>
  <si>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</si>
  <si>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清宗祖</t>
  </si>
  <si>
    <t>霍乃喜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</si>
  <si>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</si>
  <si>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四十虎酒</t>
  </si>
  <si>
    <r>
      <t>柳州市金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消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用品有限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</si>
  <si>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果酒（含酒精）; 青稞酒;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蜂蜜酒</t>
    </r>
  </si>
  <si>
    <t>敬友小将</t>
  </si>
  <si>
    <r>
      <t>湖北襄醉酒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</si>
  <si>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</si>
  <si>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任性波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9"/>
        <scheme val="minor"/>
      </rPr>
      <t>溉</t>
    </r>
  </si>
  <si>
    <r>
      <t>井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</si>
  <si>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果酒（含酒精）; 伏特加酒;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</si>
  <si>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仙掌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</si>
  <si>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</t>
    </r>
  </si>
  <si>
    <r>
      <t>歪嘴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猿</t>
    </r>
  </si>
  <si>
    <r>
      <t xml:space="preserve">葡萄酒; 黄酒; 米酒; 果酒（含酒精）;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</si>
  <si>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报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</si>
  <si>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汽酒; 开胃酒; 蒸煮提取物（利口酒和烈酒）;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</t>
    </r>
  </si>
  <si>
    <t>阿幕塔泰</t>
  </si>
  <si>
    <t>宝音套吐格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</si>
  <si>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</si>
  <si>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圣彼熊</t>
  </si>
  <si>
    <r>
      <t>沈阳盛京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超市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</si>
  <si>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</si>
  <si>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倒醉佬</t>
  </si>
  <si>
    <r>
      <t>张艳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</si>
  <si>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</si>
  <si>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匠作品</t>
    </r>
  </si>
  <si>
    <r>
      <t>酒郎投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(海南）集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</si>
  <si>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</t>
    </r>
  </si>
  <si>
    <t>迷路</t>
  </si>
  <si>
    <r>
      <t>佛山保富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</si>
  <si>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苹果酒;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</si>
  <si>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尖旅</t>
  </si>
  <si>
    <r>
      <t>张红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</si>
  <si>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梅酒; 威士忌;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</si>
  <si>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洪武宴会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盟壹号</t>
    </r>
  </si>
  <si>
    <r>
      <t>南京洪武酒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</si>
  <si>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葡萄酒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</si>
  <si>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藤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</si>
  <si>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素素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</si>
  <si>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米酒; 高粱酒</t>
    </r>
  </si>
  <si>
    <r>
      <t>精能密</t>
    </r>
    <r>
      <rPr>
        <sz val="11"/>
        <color theme="1"/>
        <rFont val="ＭＳ Ｐゴシック"/>
        <family val="3"/>
        <charset val="134"/>
        <scheme val="minor"/>
      </rPr>
      <t>码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</si>
  <si>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凰芪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</si>
  <si>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</si>
  <si>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卯酉花海香</t>
  </si>
  <si>
    <t>吴杜娟</t>
  </si>
  <si>
    <r>
      <t xml:space="preserve">果酒（含酒精）; 清酒（日本米酒）; 食用酒精;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白酒</t>
    </r>
  </si>
  <si>
    <r>
      <t>食用酒精; 果酒; 露酒;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</si>
  <si>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嘉禾吾福</t>
  </si>
  <si>
    <r>
      <t>吾福物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科技（嘉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</si>
  <si>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米酒; 果酒; 葡萄酒;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</si>
  <si>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路藤</t>
  </si>
  <si>
    <t>付俊瑞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</si>
  <si>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</si>
  <si>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幸福名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幸福牌 幸福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名 幸福典藏牌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</si>
  <si>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</si>
  <si>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清酒; 葡萄酒</t>
    </r>
  </si>
  <si>
    <r>
      <t>法行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享 FX</t>
    </r>
  </si>
  <si>
    <r>
      <t>法行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享（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州）互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</si>
  <si>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白酒; 青稞酒; 果酒（含酒精）</t>
    </r>
  </si>
  <si>
    <t>森盛</t>
  </si>
  <si>
    <r>
      <t xml:space="preserve">白酒; 伏特加酒;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开胃酒; 葡萄酒; 汽酒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</si>
  <si>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感</t>
    </r>
  </si>
  <si>
    <r>
      <t>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高粱酒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</si>
  <si>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塞因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</si>
  <si>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士控股（知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</si>
  <si>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DUSHI GARDEN</t>
  </si>
  <si>
    <t>叶夏花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</si>
  <si>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</t>
    </r>
  </si>
  <si>
    <r>
      <t>石燎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</si>
  <si>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岩市石燎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</si>
  <si>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</si>
  <si>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常香伴</t>
  </si>
  <si>
    <r>
      <t>深圳念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</si>
  <si>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</si>
  <si>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禹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·大禹陵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</si>
  <si>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大禹开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</si>
  <si>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</si>
  <si>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企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啾啾</t>
    </r>
  </si>
  <si>
    <r>
      <t>威士忌; 露酒;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果酒（含酒精）</t>
    </r>
  </si>
  <si>
    <t>铜锅</t>
  </si>
  <si>
    <r>
      <t>云南大禹食品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</si>
  <si>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伏特加酒;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</si>
  <si>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牌坤子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</si>
  <si>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利口酒; 威士忌; 米酒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</si>
  <si>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汉龙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</si>
  <si>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</si>
  <si>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正玥号</t>
  </si>
  <si>
    <r>
      <t>佛山市南海玥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食品配送部（普通合伙）</t>
    </r>
  </si>
  <si>
    <r>
      <t xml:space="preserve">烈酒;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</t>
    </r>
  </si>
  <si>
    <r>
      <t>贵酝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</si>
  <si>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</si>
  <si>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</si>
  <si>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葡萄酒;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</t>
    </r>
  </si>
  <si>
    <r>
      <t>嘉·合·</t>
    </r>
    <r>
      <rPr>
        <sz val="11"/>
        <color theme="1"/>
        <rFont val="ＭＳ Ｐゴシック"/>
        <family val="3"/>
        <charset val="134"/>
        <scheme val="minor"/>
      </rPr>
      <t>酿</t>
    </r>
  </si>
  <si>
    <t>王玲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</si>
  <si>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</si>
  <si>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匠香世家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</si>
  <si>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州霏睿酒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</si>
  <si>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</si>
  <si>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崇州市人生酒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</si>
  <si>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食用酒精; 白酒; 高粱酒; 果酒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</si>
  <si>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九川</t>
    </r>
  </si>
  <si>
    <r>
      <t>白酒; 高粱酒; 露酒; 葡萄酒;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</si>
  <si>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天竺</t>
    </r>
  </si>
  <si>
    <r>
      <t>杭州方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</si>
  <si>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食用酒精;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</si>
  <si>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VIVID EVEN</t>
  </si>
  <si>
    <r>
      <t>张</t>
    </r>
    <r>
      <rPr>
        <sz val="11"/>
        <color theme="1"/>
        <rFont val="ＭＳ Ｐゴシック"/>
        <family val="3"/>
        <charset val="128"/>
        <scheme val="minor"/>
      </rPr>
      <t>欣梅</t>
    </r>
  </si>
  <si>
    <r>
      <t xml:space="preserve">朗姆酒; 汽酒; 威士忌;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</si>
  <si>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匠香世家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</si>
  <si>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果酒（含酒精）;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</si>
  <si>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夏春小</t>
    </r>
    <r>
      <rPr>
        <sz val="11"/>
        <color theme="1"/>
        <rFont val="ＭＳ Ｐゴシック"/>
        <family val="3"/>
        <charset val="134"/>
        <scheme val="minor"/>
      </rPr>
      <t>样</t>
    </r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</si>
  <si>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市怡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</si>
  <si>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</si>
  <si>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舌泳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</si>
  <si>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新格</t>
    </r>
    <r>
      <rPr>
        <sz val="11"/>
        <color theme="1"/>
        <rFont val="ＭＳ Ｐゴシック"/>
        <family val="3"/>
        <charset val="134"/>
        <scheme val="minor"/>
      </rPr>
      <t>尔门</t>
    </r>
    <r>
      <rPr>
        <sz val="11"/>
        <color theme="1"/>
        <rFont val="ＭＳ Ｐゴシック"/>
        <family val="3"/>
        <charset val="128"/>
        <scheme val="minor"/>
      </rPr>
      <t>窗科技有限公司</t>
    </r>
  </si>
  <si>
    <r>
      <t xml:space="preserve">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蒸煮提取物（利口酒和烈酒）; 青稞酒; 白酒; 果酒</t>
    </r>
  </si>
  <si>
    <t>ABCX</t>
  </si>
  <si>
    <r>
      <t>王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存</t>
    </r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</si>
  <si>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</si>
  <si>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哈波子</t>
  </si>
  <si>
    <r>
      <t>邵阳</t>
    </r>
    <r>
      <rPr>
        <sz val="11"/>
        <color theme="1"/>
        <rFont val="ＭＳ Ｐゴシック"/>
        <family val="3"/>
        <charset val="134"/>
        <scheme val="minor"/>
      </rPr>
      <t>县凤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</si>
  <si>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</si>
  <si>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众盟天下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</si>
  <si>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</si>
  <si>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尔</t>
    </r>
    <r>
      <rPr>
        <sz val="11"/>
        <color theme="1"/>
        <rFont val="ＭＳ Ｐゴシック"/>
        <family val="3"/>
        <charset val="128"/>
        <scheme val="minor"/>
      </rPr>
      <t>雅家</t>
    </r>
    <r>
      <rPr>
        <sz val="11"/>
        <color theme="1"/>
        <rFont val="ＭＳ Ｐゴシック"/>
        <family val="3"/>
        <charset val="134"/>
        <scheme val="minor"/>
      </rPr>
      <t>风</t>
    </r>
  </si>
  <si>
    <t>雷双燕</t>
  </si>
  <si>
    <r>
      <t>果酒; 葡萄酒;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</si>
  <si>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昌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</si>
  <si>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米酒;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</si>
  <si>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粮福清花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</si>
  <si>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</si>
  <si>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璞老</t>
  </si>
  <si>
    <r>
      <t xml:space="preserve">黄酒;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</si>
  <si>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武夷正岩</t>
  </si>
  <si>
    <r>
      <t>福建省武夷酒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</si>
  <si>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甜酒; 白酒</t>
    </r>
  </si>
  <si>
    <t>荣瓴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</si>
  <si>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瓴科企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</si>
  <si>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葡萄酒; 威士忌; 果酒（含酒精）;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</si>
  <si>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十里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香潭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</si>
  <si>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谯</t>
    </r>
    <r>
      <rPr>
        <sz val="11"/>
        <color theme="1"/>
        <rFont val="ＭＳ Ｐゴシック"/>
        <family val="3"/>
        <charset val="128"/>
        <scheme val="minor"/>
      </rPr>
      <t>城区鑫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</si>
  <si>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食用酒精; 烈酒;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白酒</t>
    </r>
  </si>
  <si>
    <t>千山谷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</si>
  <si>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黄酒; 白酒; 清酒（日本米酒）</t>
    </r>
  </si>
  <si>
    <t>李力力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</si>
  <si>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黄酒; 开胃酒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</si>
  <si>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舒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</si>
  <si>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</si>
  <si>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云水越</t>
    </r>
    <r>
      <rPr>
        <sz val="11"/>
        <color theme="1"/>
        <rFont val="ＭＳ Ｐゴシック"/>
        <family val="3"/>
        <charset val="134"/>
        <scheme val="minor"/>
      </rPr>
      <t>龙门</t>
    </r>
  </si>
  <si>
    <r>
      <t>趁年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（泰安）文化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</si>
  <si>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白酒; 果酒; 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</si>
  <si>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荣瓴醇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</si>
  <si>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伏特加酒</t>
    </r>
  </si>
  <si>
    <t>广生安</t>
  </si>
  <si>
    <r>
      <t>贾</t>
    </r>
    <r>
      <rPr>
        <sz val="11"/>
        <color theme="1"/>
        <rFont val="ＭＳ Ｐゴシック"/>
        <family val="3"/>
        <charset val="128"/>
        <scheme val="minor"/>
      </rPr>
      <t>汀</t>
    </r>
  </si>
  <si>
    <r>
      <t xml:space="preserve">甜酒; 青稞酒; 果酒;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</si>
  <si>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</si>
  <si>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 xml:space="preserve">果酒（含酒精）; 葡萄酒; 开胃酒;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</si>
  <si>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柚灵通</t>
  </si>
  <si>
    <r>
      <t>福建灵通岩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</si>
  <si>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黄酒; 清酒;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</si>
  <si>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金郡九</t>
  </si>
  <si>
    <r>
      <t>东</t>
    </r>
    <r>
      <rPr>
        <sz val="11"/>
        <color theme="1"/>
        <rFont val="ＭＳ Ｐゴシック"/>
        <family val="3"/>
        <charset val="128"/>
        <scheme val="minor"/>
      </rPr>
      <t>平黑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</si>
  <si>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</si>
  <si>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友田友地</t>
  </si>
  <si>
    <r>
      <t>四川友田友地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</si>
  <si>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果酒; 葡萄酒; 白酒; 高粱酒; 甜酒;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</si>
  <si>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嘉金</t>
  </si>
  <si>
    <r>
      <t xml:space="preserve">开胃酒; 苹果酒;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</si>
  <si>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夸者</t>
  </si>
  <si>
    <r>
      <t>吴文</t>
    </r>
    <r>
      <rPr>
        <sz val="11"/>
        <color theme="1"/>
        <rFont val="ＭＳ Ｐゴシック"/>
        <family val="3"/>
        <charset val="134"/>
        <scheme val="minor"/>
      </rPr>
      <t>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</si>
  <si>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</si>
  <si>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r>
      <t>丁老</t>
    </r>
    <r>
      <rPr>
        <sz val="11"/>
        <color theme="1"/>
        <rFont val="ＭＳ Ｐゴシック"/>
        <family val="3"/>
        <charset val="134"/>
        <scheme val="minor"/>
      </rPr>
      <t>犟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</si>
  <si>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</si>
  <si>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刺五加酒;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</si>
  <si>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梁区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镇产业发</t>
    </r>
    <r>
      <rPr>
        <sz val="11"/>
        <color theme="1"/>
        <rFont val="ＭＳ Ｐゴシック"/>
        <family val="3"/>
        <charset val="128"/>
        <scheme val="minor"/>
      </rPr>
      <t>展服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</si>
  <si>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水果汽酒;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</si>
  <si>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六福珍品</t>
  </si>
  <si>
    <r>
      <t>米酒; 葡萄酒;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</si>
  <si>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恩博士</t>
    </r>
  </si>
  <si>
    <r>
      <t>广州六圈品牌管理服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</si>
  <si>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果酒（含酒精）; 黄酒</t>
    </r>
  </si>
  <si>
    <t>金鄜熙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</si>
  <si>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州匠金台酒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</si>
  <si>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</si>
  <si>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品峨眉</t>
  </si>
  <si>
    <r>
      <t>峨眉山品味酒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</si>
  <si>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五加皮酒（中国混合烈酒）; 梅酒;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</t>
    </r>
  </si>
  <si>
    <t>干一潭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</si>
  <si>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食用酒精; 果酒（含酒精）; 葡萄酒; 烈酒;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</si>
  <si>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真枝</t>
  </si>
  <si>
    <r>
      <t>果酒;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</si>
  <si>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燕园礼</t>
  </si>
  <si>
    <t>上海燕里科技有限公司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</si>
  <si>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</si>
  <si>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百家</t>
    </r>
    <r>
      <rPr>
        <sz val="11"/>
        <color theme="1"/>
        <rFont val="ＭＳ Ｐゴシック"/>
        <family val="3"/>
        <charset val="134"/>
        <scheme val="minor"/>
      </rPr>
      <t>图腾</t>
    </r>
  </si>
  <si>
    <r>
      <t>百家姓</t>
    </r>
    <r>
      <rPr>
        <sz val="11"/>
        <color theme="1"/>
        <rFont val="ＭＳ Ｐゴシック"/>
        <family val="3"/>
        <charset val="134"/>
        <scheme val="minor"/>
      </rPr>
      <t>图腾</t>
    </r>
    <r>
      <rPr>
        <sz val="11"/>
        <color theme="1"/>
        <rFont val="ＭＳ Ｐゴシック"/>
        <family val="3"/>
        <charset val="128"/>
        <scheme val="minor"/>
      </rPr>
      <t>堂文化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</si>
  <si>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葡萄酒; 苹果酒;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蜂蜜酒; 黄酒;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</si>
  <si>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TASICLE</t>
  </si>
  <si>
    <r>
      <t>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威士忌; 米酒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</si>
  <si>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</si>
  <si>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启</t>
    </r>
    <r>
      <rPr>
        <sz val="11"/>
        <color theme="1"/>
        <rFont val="ＭＳ Ｐゴシック"/>
        <family val="3"/>
        <charset val="134"/>
        <scheme val="minor"/>
      </rPr>
      <t>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</si>
  <si>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</si>
  <si>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PALACIODEVILLACHICA</t>
  </si>
  <si>
    <r>
      <t>温州巴</t>
    </r>
    <r>
      <rPr>
        <sz val="11"/>
        <color theme="1"/>
        <rFont val="ＭＳ Ｐゴシック"/>
        <family val="3"/>
        <charset val="134"/>
        <scheme val="minor"/>
      </rPr>
      <t>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</si>
  <si>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</si>
  <si>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润东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</si>
  <si>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润东</t>
    </r>
    <r>
      <rPr>
        <sz val="11"/>
        <color theme="1"/>
        <rFont val="ＭＳ Ｐゴシック"/>
        <family val="3"/>
        <charset val="128"/>
        <scheme val="minor"/>
      </rPr>
      <t>来茶文化有限公司</t>
    </r>
  </si>
  <si>
    <r>
      <t>果酒（含酒精）; 葡萄酒; 威士忌;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餐后酒（利口酒和烈酒）</t>
    </r>
  </si>
  <si>
    <r>
      <t>翘</t>
    </r>
    <r>
      <rPr>
        <sz val="11"/>
        <color theme="1"/>
        <rFont val="ＭＳ Ｐゴシック"/>
        <family val="3"/>
        <charset val="128"/>
        <scheme val="minor"/>
      </rPr>
      <t>甜</t>
    </r>
  </si>
  <si>
    <t>林洋</t>
  </si>
  <si>
    <r>
      <t xml:space="preserve">甜酒; 米酒; 开胃酒; 汽酒;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</si>
  <si>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t>璜</t>
  </si>
  <si>
    <t>陶蓉</t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</si>
  <si>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</si>
  <si>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哧</t>
    </r>
    <r>
      <rPr>
        <sz val="11"/>
        <color theme="1"/>
        <rFont val="ＭＳ Ｐゴシック"/>
        <family val="3"/>
        <charset val="128"/>
        <scheme val="minor"/>
      </rPr>
      <t>源甘美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</si>
  <si>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市古滇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</si>
  <si>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草本型利口酒;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</si>
  <si>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恬蜜久</t>
  </si>
  <si>
    <r>
      <t xml:space="preserve">果酒;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甜酒; 黄酒; 汽酒</t>
    </r>
  </si>
  <si>
    <t>毛集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</si>
  <si>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</si>
  <si>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籼花楿</t>
  </si>
  <si>
    <t>巫翠芳</t>
  </si>
  <si>
    <r>
      <t>苹果酒;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</si>
  <si>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良盛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</si>
  <si>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良盛酒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</si>
  <si>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食用酒精; 白酒</t>
    </r>
  </si>
  <si>
    <t>可逐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</si>
  <si>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可逐生物科技有限公司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</si>
  <si>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</si>
  <si>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78酒21</t>
  </si>
  <si>
    <r>
      <t>美看（深圳）新技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</si>
  <si>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</si>
  <si>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神穗</t>
  </si>
  <si>
    <t>李文文</t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</si>
  <si>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米酒;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</si>
  <si>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旅晋</t>
  </si>
  <si>
    <r>
      <t>山西晋旅酒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</si>
  <si>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米酒;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</t>
    </r>
  </si>
  <si>
    <r>
      <t>清惠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</si>
  <si>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河南合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</si>
  <si>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</si>
  <si>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沙力士</t>
  </si>
  <si>
    <t>山西小牛娃食品有限公司</t>
  </si>
  <si>
    <r>
      <t>米酒; 白酒; 果酒（含酒精）; 黄酒;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</si>
  <si>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</si>
  <si>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</si>
  <si>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米酒; 葡萄酒; 甜果酒</t>
    </r>
  </si>
  <si>
    <t>HIPDUCK</t>
  </si>
  <si>
    <r>
      <t>北京平安大成国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</si>
  <si>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</si>
  <si>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喜千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</si>
  <si>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上海喜千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</si>
  <si>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汽酒;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</si>
  <si>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濉</t>
    </r>
  </si>
  <si>
    <r>
      <t>葡萄酒; 米酒; 甜酒; 利口酒;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</si>
  <si>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华经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</si>
  <si>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中成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</si>
  <si>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</si>
  <si>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</si>
  <si>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</si>
  <si>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莞俐噢玩具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</si>
  <si>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</si>
  <si>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陕汣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</si>
  <si>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黄酒</t>
    </r>
  </si>
  <si>
    <r>
      <t>来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</si>
  <si>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梳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台稻加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</si>
  <si>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开胃酒; 葡萄酒; 米酒</t>
    </r>
  </si>
  <si>
    <t>白浪滔天</t>
  </si>
  <si>
    <r>
      <t>葡萄酒; 餐后酒（利口酒和烈酒）;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</si>
  <si>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恬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</si>
  <si>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甜酒; 黄酒; 白酒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</si>
  <si>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厨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</si>
  <si>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</si>
  <si>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黄酒;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</si>
  <si>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拼</t>
    </r>
  </si>
  <si>
    <r>
      <t>信阳信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拼科技有限公司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</si>
  <si>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清酒（日本米酒）;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</si>
  <si>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屯醴</t>
    </r>
  </si>
  <si>
    <r>
      <t xml:space="preserve">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烈酒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</si>
  <si>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丽酿</t>
    </r>
  </si>
  <si>
    <r>
      <t xml:space="preserve">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</si>
  <si>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开存</t>
    </r>
  </si>
  <si>
    <r>
      <t>米酒; 白酒; 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</si>
  <si>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闻闻</t>
    </r>
  </si>
  <si>
    <r>
      <t>山西杏井酒庄酒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</si>
  <si>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</si>
  <si>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美匡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</si>
  <si>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李昌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</si>
  <si>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开胃酒</t>
    </r>
  </si>
  <si>
    <t>四叔公</t>
  </si>
  <si>
    <r>
      <t>许</t>
    </r>
    <r>
      <rPr>
        <sz val="11"/>
        <color theme="1"/>
        <rFont val="ＭＳ Ｐゴシック"/>
        <family val="3"/>
        <charset val="128"/>
        <scheme val="minor"/>
      </rPr>
      <t>李涛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</si>
  <si>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</si>
  <si>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申城</t>
  </si>
  <si>
    <r>
      <t>捞</t>
    </r>
    <r>
      <rPr>
        <sz val="11"/>
        <color theme="1"/>
        <rFont val="ＭＳ Ｐゴシック"/>
        <family val="3"/>
        <charset val="128"/>
        <scheme val="minor"/>
      </rPr>
      <t>族食品集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</si>
  <si>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食用酒精; 葡萄酒; 露酒; 果酒（含酒精）</t>
    </r>
  </si>
  <si>
    <r>
      <t>官</t>
    </r>
    <r>
      <rPr>
        <sz val="11"/>
        <color theme="1"/>
        <rFont val="ＭＳ Ｐゴシック"/>
        <family val="3"/>
        <charset val="134"/>
        <scheme val="minor"/>
      </rPr>
      <t>鹅风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水羌酒</t>
    </r>
  </si>
  <si>
    <r>
      <t>宕昌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官</t>
    </r>
    <r>
      <rPr>
        <sz val="11"/>
        <color theme="1"/>
        <rFont val="ＭＳ Ｐゴシック"/>
        <family val="3"/>
        <charset val="134"/>
        <scheme val="minor"/>
      </rPr>
      <t>鹅风</t>
    </r>
    <r>
      <rPr>
        <sz val="11"/>
        <color theme="1"/>
        <rFont val="ＭＳ Ｐゴシック"/>
        <family val="3"/>
        <charset val="128"/>
        <scheme val="minor"/>
      </rPr>
      <t>情商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</si>
  <si>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食用酒精;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</si>
  <si>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伏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加</t>
    </r>
  </si>
  <si>
    <t>刘俊世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</si>
  <si>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威士忌; 米酒;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</si>
  <si>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华经</t>
    </r>
    <r>
      <rPr>
        <sz val="11"/>
        <color theme="1"/>
        <rFont val="ＭＳ Ｐゴシック"/>
        <family val="3"/>
        <charset val="128"/>
        <scheme val="minor"/>
      </rPr>
      <t>王子酒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</si>
  <si>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果酒; 白酒</t>
    </r>
  </si>
  <si>
    <t>声哥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</si>
  <si>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</si>
  <si>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公三味堂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</si>
  <si>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州道可道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</si>
  <si>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朗姆酒;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</si>
  <si>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瓷</t>
    </r>
    <r>
      <rPr>
        <sz val="11"/>
        <color theme="1"/>
        <rFont val="ＭＳ Ｐゴシック"/>
        <family val="3"/>
        <charset val="134"/>
        <scheme val="minor"/>
      </rPr>
      <t>储</t>
    </r>
  </si>
  <si>
    <r>
      <t>河南睿海企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</si>
  <si>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烈酒; 果酒</t>
    </r>
  </si>
  <si>
    <r>
      <t>东风</t>
    </r>
    <r>
      <rPr>
        <sz val="11"/>
        <color theme="1"/>
        <rFont val="ＭＳ Ｐゴシック"/>
        <family val="3"/>
        <charset val="128"/>
        <scheme val="minor"/>
      </rPr>
      <t>破</t>
    </r>
  </si>
  <si>
    <r>
      <t>北京方道文山流文化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</si>
  <si>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米酒; 朗姆酒; 白酒; 葡萄酒; 伏特加酒;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</si>
  <si>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集水潭</t>
  </si>
  <si>
    <r>
      <t>集水潭（重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</si>
  <si>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米酒</t>
    </r>
  </si>
  <si>
    <t>付王</t>
  </si>
  <si>
    <t>崔桂平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</si>
  <si>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</si>
  <si>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俄洛哆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</si>
  <si>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江柏</t>
    </r>
    <r>
      <rPr>
        <sz val="11"/>
        <color theme="1"/>
        <rFont val="ＭＳ Ｐゴシック"/>
        <family val="3"/>
        <charset val="134"/>
        <scheme val="minor"/>
      </rPr>
      <t>沣经贸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</si>
  <si>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伏特加酒</t>
  </si>
  <si>
    <r>
      <t>替姆小</t>
    </r>
    <r>
      <rPr>
        <sz val="11"/>
        <color theme="1"/>
        <rFont val="ＭＳ Ｐゴシック"/>
        <family val="3"/>
        <charset val="134"/>
        <scheme val="minor"/>
      </rPr>
      <t>锅</t>
    </r>
  </si>
  <si>
    <t>李世敏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</si>
  <si>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黄酒; 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</si>
  <si>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t>焱璜</t>
  </si>
  <si>
    <r>
      <t>安徽皖味稻大米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</si>
  <si>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威士忌;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</si>
  <si>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吧嘉壹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</si>
  <si>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市康益霖酒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</si>
  <si>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</si>
  <si>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贺盏</t>
  </si>
  <si>
    <r>
      <t>葡萄酒; 清酒（日本米酒）;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</si>
  <si>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头欢</t>
    </r>
  </si>
  <si>
    <t>李清水</t>
  </si>
  <si>
    <r>
      <t>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</si>
  <si>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HIRAN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</si>
  <si>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威士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</si>
  <si>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</si>
  <si>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西街德益酒</t>
    </r>
    <r>
      <rPr>
        <sz val="11"/>
        <color theme="1"/>
        <rFont val="ＭＳ Ｐゴシック"/>
        <family val="3"/>
        <charset val="134"/>
        <scheme val="minor"/>
      </rPr>
      <t>业</t>
    </r>
  </si>
  <si>
    <t>沈明明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</si>
  <si>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白酒;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</si>
  <si>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九月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</si>
  <si>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戴晋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</si>
  <si>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</si>
  <si>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年井九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</si>
  <si>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</si>
  <si>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豫有黔</t>
  </si>
  <si>
    <r>
      <t>擎灵（海南）投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</si>
  <si>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蜂蜜酒; 开胃酒;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</si>
  <si>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北极虎</t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</si>
  <si>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</si>
  <si>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葡萄酒; 果酒（含酒精）;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</si>
  <si>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</si>
  <si>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清酒（日本米酒）;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</si>
  <si>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t>YUEWEIXIAN JINPIN</t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</si>
  <si>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</si>
  <si>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畈</t>
    </r>
  </si>
  <si>
    <r>
      <t>浙江艾昕</t>
    </r>
    <r>
      <rPr>
        <sz val="11"/>
        <color theme="1"/>
        <rFont val="ＭＳ Ｐゴシック"/>
        <family val="3"/>
        <charset val="134"/>
        <scheme val="minor"/>
      </rPr>
      <t>尔丝</t>
    </r>
    <r>
      <rPr>
        <sz val="11"/>
        <color theme="1"/>
        <rFont val="ＭＳ Ｐゴシック"/>
        <family val="3"/>
        <charset val="128"/>
        <scheme val="minor"/>
      </rPr>
      <t>袜有限公司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</si>
  <si>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</t>
    </r>
  </si>
  <si>
    <t>边迈</t>
  </si>
  <si>
    <r>
      <t>余国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</si>
  <si>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</si>
  <si>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分寸</t>
  </si>
  <si>
    <r>
      <t>米酒; 果酒; 葡萄酒; 伏特加酒;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白酒; 蜂蜜酒</t>
    </r>
  </si>
  <si>
    <t>BCDOVES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</si>
  <si>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</si>
  <si>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伏特加酒;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</si>
  <si>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戴邑</t>
  </si>
  <si>
    <r>
      <t>河南戴邑葡萄酒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</si>
  <si>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果酒（含酒精）;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</si>
  <si>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汉凤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</si>
  <si>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黄酒; 葡萄酒; 清酒（日本米酒）; 米酒; 白酒</t>
    </r>
  </si>
  <si>
    <t>知淳味</t>
  </si>
  <si>
    <r>
      <t xml:space="preserve">高粱酒;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</si>
  <si>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九道一江</t>
  </si>
  <si>
    <r>
      <t>果酒（含酒精）;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</si>
  <si>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湖南玖趣酒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</si>
  <si>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薄荷酒;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开胃酒; 食用酒精</t>
    </r>
  </si>
  <si>
    <r>
      <t>京小</t>
    </r>
    <r>
      <rPr>
        <sz val="11"/>
        <color theme="1"/>
        <rFont val="ＭＳ Ｐゴシック"/>
        <family val="3"/>
        <charset val="134"/>
        <scheme val="minor"/>
      </rPr>
      <t>顺</t>
    </r>
  </si>
  <si>
    <t>霍小曼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</si>
  <si>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</si>
  <si>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朗宁 王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</si>
  <si>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成都朗宁酒水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</si>
  <si>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</si>
  <si>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谷良淳极淳</t>
  </si>
  <si>
    <r>
      <t>泉州谷粮醇酒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</si>
  <si>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</si>
  <si>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中金</t>
    </r>
    <r>
      <rPr>
        <sz val="11"/>
        <color theme="1"/>
        <rFont val="ＭＳ Ｐゴシック"/>
        <family val="3"/>
        <charset val="134"/>
        <scheme val="minor"/>
      </rPr>
      <t>证</t>
    </r>
  </si>
  <si>
    <r>
      <t>中金</t>
    </r>
    <r>
      <rPr>
        <sz val="11"/>
        <color theme="1"/>
        <rFont val="ＭＳ Ｐゴシック"/>
        <family val="3"/>
        <charset val="134"/>
        <scheme val="minor"/>
      </rPr>
      <t>证</t>
    </r>
    <r>
      <rPr>
        <sz val="11"/>
        <color theme="1"/>
        <rFont val="ＭＳ Ｐゴシック"/>
        <family val="3"/>
        <charset val="128"/>
        <scheme val="minor"/>
      </rPr>
      <t>（云南）商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征信集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</si>
  <si>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果酒（含酒精）</t>
    </r>
  </si>
  <si>
    <t>宏水源</t>
  </si>
  <si>
    <r>
      <t>韩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</si>
  <si>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食用酒精; 白酒; 果酒;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</si>
  <si>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丰福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</si>
  <si>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开胃酒; 黄酒; 米酒; 白酒; 果酒（含酒精）</t>
    </r>
  </si>
  <si>
    <t>牛小引</t>
  </si>
  <si>
    <r>
      <t>杭州牛引酒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</si>
  <si>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杜松子酒; 葡萄酒;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</si>
  <si>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福官庄</t>
  </si>
  <si>
    <r>
      <t>丁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裕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</si>
  <si>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</si>
  <si>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r>
      <t>白酒;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</si>
  <si>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翡宝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LONG LUXE&amp;VIP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</si>
  <si>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球惠网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</si>
  <si>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日式甜米酒; 水果汽酒</t>
    </r>
  </si>
  <si>
    <r>
      <t>龙凤</t>
    </r>
    <r>
      <rPr>
        <sz val="11"/>
        <color theme="1"/>
        <rFont val="ＭＳ Ｐゴシック"/>
        <family val="3"/>
        <charset val="128"/>
        <scheme val="minor"/>
      </rPr>
      <t>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</si>
  <si>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</si>
  <si>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蜂蜜酒; 苹果酒</t>
    </r>
  </si>
  <si>
    <t>霆云</t>
  </si>
  <si>
    <r>
      <t>李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</si>
  <si>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黄酒; 伏特加酒;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</si>
  <si>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茶令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</si>
  <si>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水箸健食品有限公司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</si>
  <si>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</si>
  <si>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盛山十二景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</si>
  <si>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</si>
  <si>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KOMPLEXITY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</si>
  <si>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清酒（日本米酒）; 白酒;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</si>
  <si>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汉凤玺</t>
  </si>
  <si>
    <r>
      <t>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</si>
  <si>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秘</t>
    </r>
    <r>
      <rPr>
        <sz val="11"/>
        <color theme="1"/>
        <rFont val="ＭＳ Ｐゴシック"/>
        <family val="3"/>
        <charset val="134"/>
        <scheme val="minor"/>
      </rPr>
      <t>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</si>
  <si>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</si>
  <si>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清酒; 白酒; 威士忌; 葡萄酒;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</si>
  <si>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r>
      <t>华进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</si>
  <si>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</si>
  <si>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</si>
  <si>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露水一方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</si>
  <si>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白酒</t>
    </r>
  </si>
  <si>
    <t>雨芙堂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</si>
  <si>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华飞贸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</si>
  <si>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白酒</t>
    </r>
  </si>
  <si>
    <t>亦殿园</t>
  </si>
  <si>
    <r>
      <t>刘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</si>
  <si>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开胃酒;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</si>
  <si>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r>
      <t>HEFFEHL 定，即非凡 赫菲勒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窗</t>
    </r>
  </si>
  <si>
    <r>
      <t>天津赫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勒新材料科技有限公司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</si>
  <si>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伏特加酒</t>
    </r>
  </si>
  <si>
    <t>聚徽藏</t>
  </si>
  <si>
    <r>
      <t>黄山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</si>
  <si>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青稞酒; 米酒; 黄酒; 梅酒; 烈酒; 甜酒; 白酒; 葡萄酒; 果酒（含酒精）; 汽酒</t>
  </si>
  <si>
    <r>
      <t>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</si>
  <si>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微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客超市管理有限公司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</si>
  <si>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朗姆酒; 威士忌</t>
    </r>
  </si>
  <si>
    <t>XINTAIJIANGJIU</t>
  </si>
  <si>
    <r>
      <t>吴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荣******************</t>
    </r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</si>
  <si>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</t>
    </r>
  </si>
  <si>
    <r>
      <t>丝饴</t>
    </r>
    <r>
      <rPr>
        <sz val="11"/>
        <color theme="1"/>
        <rFont val="ＭＳ Ｐゴシック"/>
        <family val="3"/>
        <charset val="128"/>
        <scheme val="minor"/>
      </rPr>
      <t>水</t>
    </r>
  </si>
  <si>
    <t>斯威特瓦特亨特山谷有限公司</t>
  </si>
  <si>
    <r>
      <t>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威末酒; 食用酒精; 甜酒; 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水果汽酒; 利口酒;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苦...</t>
    </r>
  </si>
  <si>
    <r>
      <t>逆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</si>
  <si>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永池</t>
    </r>
  </si>
  <si>
    <r>
      <t>果酒（含酒精）; 利口酒; 烈酒; 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</si>
  <si>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粘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潭</t>
    </r>
  </si>
  <si>
    <t>池四毛</t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</si>
  <si>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</si>
  <si>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秘御</t>
    </r>
  </si>
  <si>
    <r>
      <t>清酒;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米酒; 果酒（含酒精）</t>
    </r>
  </si>
  <si>
    <r>
      <t>一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旅行</t>
    </r>
  </si>
  <si>
    <r>
      <t>河南空港力源集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</si>
  <si>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</si>
  <si>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</si>
  <si>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 xml:space="preserve"> 善行天下 美酒醉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</si>
  <si>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州珍窖酒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</si>
  <si>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</si>
  <si>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桂景花</t>
  </si>
  <si>
    <r>
      <t>桂林市四海园林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</si>
  <si>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白酒</t>
    </r>
  </si>
  <si>
    <t>此叙</t>
  </si>
  <si>
    <r>
      <t>刘振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</si>
  <si>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烈酒; 威士忌; 米酒</t>
    </r>
  </si>
  <si>
    <t>白日梦山谷</t>
  </si>
  <si>
    <r>
      <t>杭州同人</t>
    </r>
    <r>
      <rPr>
        <sz val="11"/>
        <color theme="1"/>
        <rFont val="ＭＳ Ｐゴシック"/>
        <family val="3"/>
        <charset val="134"/>
        <scheme val="minor"/>
      </rPr>
      <t>轩贸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</si>
  <si>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黄酒; 米酒;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</si>
  <si>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茉山山手作</t>
  </si>
  <si>
    <r>
      <t>林</t>
    </r>
    <r>
      <rPr>
        <sz val="11"/>
        <color theme="1"/>
        <rFont val="ＭＳ Ｐゴシック"/>
        <family val="3"/>
        <charset val="134"/>
        <scheme val="minor"/>
      </rPr>
      <t>晓伟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</si>
  <si>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甘蔗制烈酒;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</si>
  <si>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畅动</t>
    </r>
    <r>
      <rPr>
        <sz val="11"/>
        <color theme="1"/>
        <rFont val="ＭＳ Ｐゴシック"/>
        <family val="3"/>
        <charset val="128"/>
        <scheme val="minor"/>
      </rPr>
      <t>心</t>
    </r>
  </si>
  <si>
    <t>彭朝熹</t>
  </si>
  <si>
    <r>
      <t>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梅酒</t>
    </r>
  </si>
  <si>
    <r>
      <t>车马</t>
    </r>
    <r>
      <rPr>
        <sz val="11"/>
        <color theme="1"/>
        <rFont val="ＭＳ Ｐゴシック"/>
        <family val="3"/>
        <charset val="128"/>
        <scheme val="minor"/>
      </rPr>
      <t>炮</t>
    </r>
  </si>
  <si>
    <r>
      <t>余礼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</si>
  <si>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 xml:space="preserve">果酒（含酒精）; 米酒; 黄酒; 威士忌;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</si>
  <si>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内蒙古自治区酒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</si>
  <si>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不起泡葡萄酒;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</si>
  <si>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铠</t>
    </r>
    <r>
      <rPr>
        <sz val="11"/>
        <color theme="1"/>
        <rFont val="ＭＳ Ｐゴシック"/>
        <family val="3"/>
        <charset val="128"/>
        <scheme val="minor"/>
      </rPr>
      <t>熊甲猫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</si>
  <si>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剑红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</si>
  <si>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白酒</t>
    </r>
  </si>
  <si>
    <r>
      <t>咔</t>
    </r>
    <r>
      <rPr>
        <sz val="11"/>
        <color theme="1"/>
        <rFont val="ＭＳ Ｐゴシック"/>
        <family val="3"/>
        <charset val="128"/>
        <scheme val="minor"/>
      </rPr>
      <t>喇</t>
    </r>
    <r>
      <rPr>
        <sz val="11"/>
        <color theme="1"/>
        <rFont val="ＭＳ Ｐゴシック"/>
        <family val="3"/>
        <charset val="134"/>
        <scheme val="minor"/>
      </rPr>
      <t>洣</t>
    </r>
  </si>
  <si>
    <t>德佰斯特（吉林）生物科技有限公司</t>
  </si>
  <si>
    <r>
      <t xml:space="preserve">白酒; 黄酒;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葡萄酒; 蜂蜜酒</t>
    </r>
  </si>
  <si>
    <t>PAPOT</t>
  </si>
  <si>
    <r>
      <t>中山市秋食文化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</si>
  <si>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</si>
  <si>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黔航惠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</si>
  <si>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市黔航石油有限公司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</si>
  <si>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</t>
    </r>
  </si>
  <si>
    <t>福建山哈食品有限公司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</si>
  <si>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佐餐酒;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黄酒; 白酒</t>
    </r>
  </si>
  <si>
    <t>CIFANGZI JINPIN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</si>
  <si>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开胃酒;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</si>
  <si>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宜泰祥</t>
  </si>
  <si>
    <r>
      <t>河北达旺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</si>
  <si>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汽酒;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</si>
  <si>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t>ZHANGLIANZHI JINPIN</t>
  </si>
  <si>
    <r>
      <t xml:space="preserve">清酒（日本米酒）; 白酒;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</si>
  <si>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界</t>
    </r>
  </si>
  <si>
    <t>张欢欢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</si>
  <si>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清酒（日本米酒）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</si>
  <si>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</si>
  <si>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莞字神酒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</si>
  <si>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青稞酒</t>
    </r>
  </si>
  <si>
    <t>河北德弘食品有限公司</t>
  </si>
  <si>
    <t>米酒; 朗姆酒; 伏特加酒; 黄酒; 白酒; 汽酒; 果酒（含酒精）</t>
  </si>
  <si>
    <r>
      <t>郓</t>
    </r>
    <r>
      <rPr>
        <sz val="11"/>
        <color theme="1"/>
        <rFont val="ＭＳ Ｐゴシック"/>
        <family val="3"/>
        <charset val="128"/>
        <scheme val="minor"/>
      </rPr>
      <t>州晁盖家酒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</si>
  <si>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泉澳酒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</si>
  <si>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</si>
  <si>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白干酒（中国白酒）; 不起泡葡萄酒; 开胃酒; 白酒; 黄酒</t>
    </r>
  </si>
  <si>
    <r>
      <t>果酒; 烈酒;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</si>
  <si>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宗醇将韵</t>
  </si>
  <si>
    <r>
      <t>宗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</si>
  <si>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伏特加酒;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</si>
  <si>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晨前朝露</t>
  </si>
  <si>
    <r>
      <t>迟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</si>
  <si>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利口酒; 威士忌;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果酒; 葡萄酒; 高粱酒</t>
    </r>
  </si>
  <si>
    <t>万量金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</si>
  <si>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宁天广仁合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</si>
  <si>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</si>
  <si>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悍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</si>
  <si>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宗淼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</si>
  <si>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白干酒（中国白酒）; 葡萄酒; 白酒; 米酒</t>
    </r>
  </si>
  <si>
    <t>庶物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</si>
  <si>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米酒; 食用酒精</t>
    </r>
  </si>
  <si>
    <r>
      <t>木桶皇室守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</si>
  <si>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伏特加酒; 葡萄酒;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清酒（日本米酒）</t>
    </r>
  </si>
  <si>
    <t>自儒</t>
  </si>
  <si>
    <r>
      <t>苹果酒; 黄酒;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</si>
  <si>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越勾嵊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</si>
  <si>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勾嵊山酒坊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</si>
  <si>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葡萄酒</t>
    </r>
  </si>
  <si>
    <t>蒙赫</t>
  </si>
  <si>
    <r>
      <t>沈利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</si>
  <si>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</si>
  <si>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三坊黔庄匠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</si>
  <si>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市六点半酒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</si>
  <si>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黄酒; 高粱酒; 露酒; 果酒; 食用酒精;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</si>
  <si>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乡乡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</si>
  <si>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州香下酒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</si>
  <si>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果酒（含酒精）;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</si>
  <si>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庐语诗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</si>
  <si>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鹤问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</si>
  <si>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</si>
  <si>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LET'S MEET GUYS 哩食米</t>
    </r>
    <r>
      <rPr>
        <sz val="11"/>
        <color theme="1"/>
        <rFont val="ＭＳ Ｐゴシック"/>
        <family val="3"/>
        <charset val="134"/>
        <scheme val="minor"/>
      </rPr>
      <t>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</si>
  <si>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</si>
  <si>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</si>
  <si>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t>雍治</t>
  </si>
  <si>
    <r>
      <t>杨</t>
    </r>
    <r>
      <rPr>
        <sz val="11"/>
        <color theme="1"/>
        <rFont val="ＭＳ Ｐゴシック"/>
        <family val="3"/>
        <charset val="128"/>
        <scheme val="minor"/>
      </rPr>
      <t>懿新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</si>
  <si>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</si>
  <si>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存</t>
    </r>
  </si>
  <si>
    <r>
      <t>清酒（日本米酒）;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</t>
    </r>
  </si>
  <si>
    <t>鹿金壮</t>
  </si>
  <si>
    <r>
      <t>郭俊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</si>
  <si>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伏特加酒; 汽酒; 果酒（含酒精）; 葡萄酒; 黄酒;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</si>
  <si>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岳清湾</t>
  </si>
  <si>
    <t>冉芳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</si>
  <si>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酸酒（低等葡萄酒）;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</si>
  <si>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恭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</si>
  <si>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靖江市瓜豆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</si>
  <si>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果酒（含酒精）; 葡萄酒; 白酒; 黄酒</t>
    </r>
  </si>
  <si>
    <t>缘顾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</si>
  <si>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柑香酒; 果酒（含酒精）; 清酒（日本米酒）; 威士忌;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</si>
  <si>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</si>
  <si>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>米酒; 葡萄酒; 白酒; 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</si>
  <si>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潞仁</t>
  </si>
  <si>
    <r>
      <t>凤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同祥商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</si>
  <si>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果酒; 甜酒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</si>
  <si>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缘</t>
    </r>
  </si>
  <si>
    <t>范敏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</si>
  <si>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白干酒（中国白酒）;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</si>
  <si>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聪</t>
    </r>
    <r>
      <rPr>
        <sz val="11"/>
        <color theme="1"/>
        <rFont val="ＭＳ Ｐゴシック"/>
        <family val="3"/>
        <charset val="128"/>
        <scheme val="minor"/>
      </rPr>
      <t>慧女子</t>
    </r>
  </si>
  <si>
    <t>宋江</t>
  </si>
  <si>
    <r>
      <t xml:space="preserve">白酒;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</si>
  <si>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杏山河</t>
  </si>
  <si>
    <r>
      <t>汾阳市酒香四溢商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</si>
  <si>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果酒; 烈酒; 清酒（日本米酒）; 黄酒; 米酒; 利口酒;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</si>
  <si>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无印天成</t>
  </si>
  <si>
    <t>张玮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</si>
  <si>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清酒（日本米酒）; 米酒; 黄酒; 蒸煮提取物（利口酒和烈酒）</t>
    </r>
  </si>
  <si>
    <r>
      <t>泽</t>
    </r>
    <r>
      <rPr>
        <sz val="11"/>
        <color theme="1"/>
        <rFont val="ＭＳ Ｐゴシック"/>
        <family val="3"/>
        <charset val="129"/>
        <scheme val="minor"/>
      </rPr>
      <t>喵</t>
    </r>
  </si>
  <si>
    <r>
      <t>赵泽</t>
    </r>
    <r>
      <rPr>
        <sz val="11"/>
        <color theme="1"/>
        <rFont val="ＭＳ Ｐゴシック"/>
        <family val="3"/>
        <charset val="128"/>
        <scheme val="minor"/>
      </rPr>
      <t>丞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</si>
  <si>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果酒; 葡萄酒; 蜂蜜酒</t>
    </r>
  </si>
  <si>
    <r>
      <t>铜标劲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</si>
  <si>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李立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</si>
  <si>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米酒; 柑香酒;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</si>
  <si>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景德峰</t>
  </si>
  <si>
    <t>黄武林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</si>
  <si>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</si>
  <si>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艾茉汐国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</si>
  <si>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清酒;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</t>
    </r>
  </si>
  <si>
    <t>醉湖湾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</si>
  <si>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葡萄酒; 酸酒（低等葡萄酒）; 米酒; 白酒</t>
    </r>
  </si>
  <si>
    <r>
      <t>徽之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</si>
  <si>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米酒;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</si>
  <si>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沛</t>
    </r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</si>
  <si>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</si>
  <si>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宜小烤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</si>
  <si>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苏爱</t>
    </r>
    <r>
      <rPr>
        <sz val="11"/>
        <color theme="1"/>
        <rFont val="ＭＳ Ｐゴシック"/>
        <family val="3"/>
        <charset val="128"/>
        <scheme val="minor"/>
      </rPr>
      <t>随果果品有限公司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</si>
  <si>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</si>
  <si>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TPOT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</si>
  <si>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岛巅</t>
    </r>
    <r>
      <rPr>
        <sz val="11"/>
        <color theme="1"/>
        <rFont val="ＭＳ Ｐゴシック"/>
        <family val="3"/>
        <charset val="128"/>
        <scheme val="minor"/>
      </rPr>
      <t>峰味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</si>
  <si>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果酒;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米酒</t>
    </r>
  </si>
  <si>
    <t>WISH THE DAY</t>
  </si>
  <si>
    <r>
      <t>马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</si>
  <si>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咖啡利口酒; 黄酒; 食用酒精; 果酒（含酒精）; 青梅酒; 汽酒; 米酒</t>
    </r>
  </si>
  <si>
    <t>酷三少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</si>
  <si>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州同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</si>
  <si>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果酒（含酒精）;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汽酒; 黄酒</t>
    </r>
  </si>
  <si>
    <t>允常台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</si>
  <si>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</si>
  <si>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珅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</si>
  <si>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</si>
  <si>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辛弃疾</t>
  </si>
  <si>
    <r>
      <t>孙</t>
    </r>
    <r>
      <rPr>
        <sz val="11"/>
        <color theme="1"/>
        <rFont val="ＭＳ Ｐゴシック"/>
        <family val="3"/>
        <charset val="128"/>
        <scheme val="minor"/>
      </rPr>
      <t>洪政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</si>
  <si>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甜酒; 白酒; 葡萄酒;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</si>
  <si>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</si>
  <si>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恩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</si>
  <si>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</si>
  <si>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宝典古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</si>
  <si>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家口盛世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</si>
  <si>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</si>
  <si>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点趣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</si>
  <si>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海富达投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</si>
  <si>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</si>
  <si>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减一 -1</t>
  </si>
  <si>
    <t>刘兵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</si>
  <si>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米酒</t>
    </r>
  </si>
  <si>
    <t>鹿林袤</t>
  </si>
  <si>
    <r>
      <t>郭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</si>
  <si>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开胃酒; 米酒; 白酒; 梨酒;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</si>
  <si>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福起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</si>
  <si>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</si>
  <si>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</si>
  <si>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</si>
  <si>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太和成</t>
  </si>
  <si>
    <r>
      <t>太和成（山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）医院管理有限公司</t>
    </r>
  </si>
  <si>
    <r>
      <t>青稞酒; 白酒; 米酒; 果酒（含酒精）; 黄酒;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</si>
  <si>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途</t>
    </r>
  </si>
  <si>
    <t>安徽省玉斛生物科技有限公司</t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</si>
  <si>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</si>
  <si>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明制典雅</t>
  </si>
  <si>
    <r>
      <t>龚</t>
    </r>
    <r>
      <rPr>
        <sz val="11"/>
        <color theme="1"/>
        <rFont val="ＭＳ Ｐゴシック"/>
        <family val="3"/>
        <charset val="128"/>
        <scheme val="minor"/>
      </rPr>
      <t>秀武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</si>
  <si>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黄酒; 汽酒;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</si>
  <si>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新乙坊</t>
  </si>
  <si>
    <t>杜嗣国</t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</si>
  <si>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</si>
  <si>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秘定</t>
  </si>
  <si>
    <r>
      <t>葡萄酒;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汽酒; 白酒</t>
    </r>
  </si>
  <si>
    <r>
      <t>武功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</si>
  <si>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米酒; 果酒;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</si>
  <si>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梅恋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</si>
  <si>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李志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</si>
  <si>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日本梅子酒;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清酒（日本米酒）</t>
    </r>
  </si>
  <si>
    <r>
      <t>宁黄河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</si>
  <si>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宁夏黄河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</si>
  <si>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</si>
  <si>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LAIZHOU</t>
  </si>
  <si>
    <r>
      <t>上海巴克斯酒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</si>
  <si>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伏特加酒; 蒸煮提取物（利口酒和烈酒）; 麦芽威士忌; 露酒; 混合威士忌酒</t>
    </r>
  </si>
  <si>
    <t>CELESTIAL NECTAR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</si>
  <si>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烈酒; 朗姆酒; 白酒;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</si>
  <si>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RAINBOW PLAYER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</si>
  <si>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梅酒; 米酒; 露酒; 利口酒; 葡萄酒</t>
    </r>
  </si>
  <si>
    <t>吉食雪</t>
  </si>
  <si>
    <r>
      <t>吉食吉酒（吉林省）酒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</si>
  <si>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</si>
  <si>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</si>
  <si>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威士忌; 白酒</t>
    </r>
  </si>
  <si>
    <t>天海善文</t>
  </si>
  <si>
    <r>
      <t>天海善文（广州）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</si>
  <si>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</si>
  <si>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OPULENT RESERVE</t>
  </si>
  <si>
    <r>
      <t>葡萄酒; 朗姆酒; 伏特加酒;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</si>
  <si>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江淩醇</t>
  </si>
  <si>
    <r>
      <t>湖北蛇王酒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</si>
  <si>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</si>
  <si>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蜂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</si>
  <si>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</si>
  <si>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果酒（含酒精）; 葡萄酒; 米酒; 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</si>
  <si>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ENCHANTING AURA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</si>
  <si>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利口酒;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</si>
  <si>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村姑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球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</si>
  <si>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州万世苗家文化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</si>
  <si>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</si>
  <si>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VICTORIAN ERA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</si>
  <si>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烈酒; 利口酒</t>
    </r>
  </si>
  <si>
    <t>粱晏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</si>
  <si>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缨</t>
    </r>
    <r>
      <rPr>
        <sz val="11"/>
        <color theme="1"/>
        <rFont val="ＭＳ Ｐゴシック"/>
        <family val="3"/>
        <charset val="128"/>
        <scheme val="minor"/>
      </rPr>
      <t>粱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</si>
  <si>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</si>
  <si>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HARMONY RESERVE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</si>
  <si>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伏特加酒; 利口酒; 烈酒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</si>
  <si>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微</t>
    </r>
  </si>
  <si>
    <t>何勇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</si>
  <si>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</si>
  <si>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武功山武宴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</si>
  <si>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威士忌; 果酒;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</si>
  <si>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楚天</t>
    </r>
    <r>
      <rPr>
        <sz val="11"/>
        <color theme="1"/>
        <rFont val="ＭＳ Ｐゴシック"/>
        <family val="3"/>
        <charset val="134"/>
        <scheme val="minor"/>
      </rPr>
      <t>阙</t>
    </r>
  </si>
  <si>
    <t>牟声宇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</si>
  <si>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</si>
  <si>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尝</t>
    </r>
  </si>
  <si>
    <t>肖文豪</t>
  </si>
  <si>
    <r>
      <t>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清酒（日本米酒）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</si>
  <si>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埔壹行</t>
    </r>
  </si>
  <si>
    <t>潮州市壹行食品有限公司</t>
  </si>
  <si>
    <r>
      <t>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米酒</t>
    </r>
  </si>
  <si>
    <r>
      <t>鹿保</t>
    </r>
    <r>
      <rPr>
        <sz val="11"/>
        <color theme="1"/>
        <rFont val="ＭＳ Ｐゴシック"/>
        <family val="3"/>
        <charset val="134"/>
        <scheme val="minor"/>
      </rPr>
      <t>济</t>
    </r>
  </si>
  <si>
    <t>夏恒健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</si>
  <si>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</si>
  <si>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茹素家臻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</si>
  <si>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茹素家臻企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</si>
  <si>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</si>
  <si>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遵彩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</si>
  <si>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张长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</si>
  <si>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朗姆酒; 薄荷酒; 白酒;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茴香酒; 烈酒; 果酒</t>
    </r>
  </si>
  <si>
    <t>莱峰曼</t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</si>
  <si>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一体化示范区瑞海酒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</si>
  <si>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露酒; 梅酒</t>
    </r>
  </si>
  <si>
    <r>
      <t>梅醴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</si>
  <si>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温州市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湾瑶景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梅酒坊</t>
    </r>
  </si>
  <si>
    <r>
      <t>米酒; 黄酒; 食用酒精;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</si>
  <si>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VITIS ROY</t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</si>
  <si>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</t>
    </r>
  </si>
  <si>
    <t>沽秘</t>
  </si>
  <si>
    <r>
      <t>果酒（含酒精）;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</si>
  <si>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海悦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</si>
  <si>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州海悦酒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</si>
  <si>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梅酒; 高粱酒; 葡萄酒</t>
    </r>
  </si>
  <si>
    <t>唐彬森</t>
  </si>
  <si>
    <r>
      <t>河南小年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</si>
  <si>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朗姆酒;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</si>
  <si>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DOMAINES BOUROTTE-AUDY 宝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奥迪家族酒庄</t>
    </r>
  </si>
  <si>
    <r>
      <t>皮埃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布胡特股份公司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</si>
  <si>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</si>
  <si>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AZURE PRESTIGE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</si>
  <si>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朗姆酒; 伏特加酒; 烈酒; 利口酒; 白酒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</si>
  <si>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双喜</t>
    </r>
  </si>
  <si>
    <t>林初康</t>
  </si>
  <si>
    <r>
      <t xml:space="preserve">葡萄酒;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</si>
  <si>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盛聿方</t>
    </r>
  </si>
  <si>
    <r>
      <t>宿迁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盛聿方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</si>
  <si>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</t>
    </r>
  </si>
  <si>
    <t>RADIANT CROWN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</si>
  <si>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朗姆酒;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</si>
  <si>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梦非凡</t>
  </si>
  <si>
    <r>
      <t>邹</t>
    </r>
    <r>
      <rPr>
        <sz val="11"/>
        <color theme="1"/>
        <rFont val="ＭＳ Ｐゴシック"/>
        <family val="3"/>
        <charset val="128"/>
        <scheme val="minor"/>
      </rPr>
      <t>瑞瑞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</si>
  <si>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</si>
  <si>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岳府</t>
    </r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</si>
  <si>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友酒庄有限公司</t>
    </r>
  </si>
  <si>
    <r>
      <t>葡萄酒; 威士忌; 米酒;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</si>
  <si>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指</t>
    </r>
    <r>
      <rPr>
        <sz val="11"/>
        <color theme="1"/>
        <rFont val="ＭＳ Ｐゴシック"/>
        <family val="3"/>
        <charset val="134"/>
        <scheme val="minor"/>
      </rPr>
      <t>挥</t>
    </r>
    <r>
      <rPr>
        <sz val="11"/>
        <color theme="1"/>
        <rFont val="ＭＳ Ｐゴシック"/>
        <family val="3"/>
        <charset val="128"/>
        <scheme val="minor"/>
      </rPr>
      <t>街</t>
    </r>
  </si>
  <si>
    <r>
      <t>靳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</si>
  <si>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</si>
  <si>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SMOOTH VELVET</t>
  </si>
  <si>
    <r>
      <t>白酒;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</si>
  <si>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凤鸣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</si>
  <si>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台文化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</si>
  <si>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</si>
  <si>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东奂鲲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</si>
  <si>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</si>
  <si>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仲尼醉</t>
  </si>
  <si>
    <r>
      <t>仲尼醉（曲阜）酒</t>
    </r>
    <r>
      <rPr>
        <sz val="11"/>
        <color theme="1"/>
        <rFont val="ＭＳ Ｐゴシック"/>
        <family val="3"/>
        <charset val="134"/>
        <scheme val="minor"/>
      </rPr>
      <t>业酿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</si>
  <si>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奶油利口酒; 果酒（含酒精）; 葡萄汽酒; 高粱酒; 咖啡利口酒;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</si>
  <si>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医祖思邈</t>
  </si>
  <si>
    <r>
      <t>郭登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</si>
  <si>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蜂蜜酒; 白酒; 黄酒; 蝮蛇酒</t>
    </r>
  </si>
  <si>
    <t>黔彩林河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</si>
  <si>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林河酒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</si>
  <si>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利口酒; 果酒;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</t>
    </r>
  </si>
  <si>
    <r>
      <t>浙一家德昌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</si>
  <si>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湖州浙一家酒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</si>
  <si>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汽酒;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</si>
  <si>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晨月明</t>
  </si>
  <si>
    <r>
      <t>珠海晨月明医堂健康服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</si>
  <si>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水果汽酒;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草本型利口酒; 甜果酒;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甜酒</t>
    </r>
  </si>
  <si>
    <t>朋天友地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</si>
  <si>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水滴生物医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</si>
  <si>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伏特加酒;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米酒; 黄酒; 白酒</t>
    </r>
  </si>
  <si>
    <t>寿斛健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</si>
  <si>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久盈商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</si>
  <si>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清酒; 白酒;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</si>
  <si>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坤黔天</t>
  </si>
  <si>
    <t>刘金娣</t>
  </si>
  <si>
    <r>
      <t>开胃酒;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</si>
  <si>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MAJESTIC LEGACY</t>
  </si>
  <si>
    <r>
      <t>朗姆酒;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伏特加酒</t>
    </r>
  </si>
  <si>
    <t>恰西郡主</t>
  </si>
  <si>
    <r>
      <t>巩留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恰西郡主商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</si>
  <si>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</si>
  <si>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粮年</t>
    </r>
  </si>
  <si>
    <t>朱孟源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</si>
  <si>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烈酒; 威士忌;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</si>
  <si>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r>
      <t>介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景福</t>
    </r>
  </si>
  <si>
    <r>
      <t>含酒精的气泡水;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果酒（含酒精）</t>
    </r>
  </si>
  <si>
    <t>王秉媛</t>
  </si>
  <si>
    <r>
      <t>邓</t>
    </r>
    <r>
      <rPr>
        <sz val="11"/>
        <color theme="1"/>
        <rFont val="ＭＳ Ｐゴシック"/>
        <family val="3"/>
        <charset val="128"/>
        <scheme val="minor"/>
      </rPr>
      <t>声端</t>
    </r>
  </si>
  <si>
    <r>
      <t xml:space="preserve">青稞酒; 白酒;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米酒; 葡萄酒</t>
    </r>
  </si>
  <si>
    <t>NOBLE EPOCH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</si>
  <si>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威士忌; 白酒; 朗姆酒; 利口酒;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</si>
  <si>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咱天下</t>
  </si>
  <si>
    <r>
      <t>陈</t>
    </r>
    <r>
      <rPr>
        <sz val="11"/>
        <color theme="1"/>
        <rFont val="ＭＳ Ｐゴシック"/>
        <family val="3"/>
        <charset val="128"/>
        <scheme val="minor"/>
      </rPr>
      <t>天亮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</si>
  <si>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</si>
  <si>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t>共窖天下</t>
  </si>
  <si>
    <r>
      <t>米酒;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露酒; 烈酒;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</si>
  <si>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临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</si>
  <si>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州益禄源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</si>
  <si>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米酒; 清酒; 食用酒精;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</si>
  <si>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刘德玖</t>
  </si>
  <si>
    <t>刘明德</t>
  </si>
  <si>
    <r>
      <t>青稞酒; 清酒; 蜂蜜酒; 黄酒; 米酒; 果酒; 开胃酒;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</si>
  <si>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FOREST MAIDEN 森林姑娘</t>
  </si>
  <si>
    <r>
      <t xml:space="preserve">威士忌; 果酒（含酒精）;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露酒; 烈酒</t>
    </r>
  </si>
  <si>
    <r>
      <t>㩟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</si>
  <si>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</si>
  <si>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米酒; 白酒; 高粱酒; 果酒;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甜酒</t>
    </r>
  </si>
  <si>
    <t>双福玥</t>
  </si>
  <si>
    <r>
      <t>刘科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</si>
  <si>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</si>
  <si>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尼山工匠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用世家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</si>
  <si>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葡萄汽酒; 果酒（含酒精）; 奶油利口酒;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咖啡利口酒</t>
    </r>
  </si>
  <si>
    <r>
      <t>广州易慧堂中医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</si>
  <si>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白干酒（中国白酒）</t>
    </r>
  </si>
  <si>
    <r>
      <t>麦卡</t>
    </r>
    <r>
      <rPr>
        <sz val="11"/>
        <color theme="1"/>
        <rFont val="ＭＳ Ｐゴシック"/>
        <family val="3"/>
        <charset val="134"/>
        <scheme val="minor"/>
      </rPr>
      <t>伦艺</t>
    </r>
    <r>
      <rPr>
        <sz val="11"/>
        <color theme="1"/>
        <rFont val="ＭＳ Ｐゴシック"/>
        <family val="3"/>
        <charset val="128"/>
        <scheme val="minor"/>
      </rPr>
      <t>境花开</t>
    </r>
  </si>
  <si>
    <r>
      <t>麦卡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</si>
  <si>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葡萄酒;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威士忌;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</si>
  <si>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暮云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</si>
  <si>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果酒（含酒精）; 高粱酒</t>
    </r>
  </si>
  <si>
    <r>
      <t>逢</t>
    </r>
    <r>
      <rPr>
        <sz val="11"/>
        <color theme="1"/>
        <rFont val="ＭＳ Ｐゴシック"/>
        <family val="3"/>
        <charset val="134"/>
        <scheme val="minor"/>
      </rPr>
      <t>兴</t>
    </r>
  </si>
  <si>
    <t>许龙</t>
  </si>
  <si>
    <r>
      <t>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</si>
  <si>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</si>
  <si>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米酒;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</t>
    </r>
  </si>
  <si>
    <t>HUALEI INC</t>
  </si>
  <si>
    <r>
      <t>华</t>
    </r>
    <r>
      <rPr>
        <sz val="11"/>
        <color theme="1"/>
        <rFont val="ＭＳ Ｐゴシック"/>
        <family val="3"/>
        <charset val="128"/>
        <scheme val="minor"/>
      </rPr>
      <t>雷股份有限公司</t>
    </r>
  </si>
  <si>
    <r>
      <t xml:space="preserve">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苦味酒; 梨酒; 汽酒; 黄酒; 果酒（含酒精）; 葡萄酒; 食用酒精; 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</si>
  <si>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胜</t>
    </r>
    <r>
      <rPr>
        <sz val="11"/>
        <color theme="1"/>
        <rFont val="ＭＳ Ｐゴシック"/>
        <family val="3"/>
        <charset val="134"/>
        <scheme val="minor"/>
      </rPr>
      <t>辉鲜乐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</si>
  <si>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永州市</t>
    </r>
    <r>
      <rPr>
        <sz val="11"/>
        <color theme="1"/>
        <rFont val="ＭＳ Ｐゴシック"/>
        <family val="3"/>
        <charset val="134"/>
        <scheme val="minor"/>
      </rPr>
      <t>鲜乐</t>
    </r>
    <r>
      <rPr>
        <sz val="11"/>
        <color theme="1"/>
        <rFont val="ＭＳ Ｐゴシック"/>
        <family val="3"/>
        <charset val="128"/>
        <scheme val="minor"/>
      </rPr>
      <t>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</si>
  <si>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</si>
  <si>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苁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兔</t>
    </r>
  </si>
  <si>
    <r>
      <t>内蒙古自治区蒙儒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数字技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</si>
  <si>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佐餐酒;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烈酒</t>
    </r>
  </si>
  <si>
    <r>
      <t>风华</t>
    </r>
    <r>
      <rPr>
        <sz val="11"/>
        <color theme="1"/>
        <rFont val="ＭＳ Ｐゴシック"/>
        <family val="3"/>
        <charset val="128"/>
        <scheme val="minor"/>
      </rPr>
      <t>瑶</t>
    </r>
  </si>
  <si>
    <r>
      <t>章文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</si>
  <si>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</si>
  <si>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北京王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艺创</t>
    </r>
    <r>
      <rPr>
        <sz val="11"/>
        <color theme="1"/>
        <rFont val="ＭＳ Ｐゴシック"/>
        <family val="3"/>
        <charset val="128"/>
        <scheme val="minor"/>
      </rPr>
      <t>作工作室有限公司</t>
    </r>
  </si>
  <si>
    <r>
      <t>含酒精的气泡水;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</si>
  <si>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京鹿元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</si>
  <si>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江大京酒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</si>
  <si>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</si>
  <si>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豫元素</t>
  </si>
  <si>
    <r>
      <t>周小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</si>
  <si>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米酒</t>
    </r>
  </si>
  <si>
    <t>愿舍</t>
  </si>
  <si>
    <r>
      <t xml:space="preserve">清酒（日本米酒）; 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烈酒; 黄酒</t>
    </r>
  </si>
  <si>
    <t>熊猫小状元</t>
  </si>
  <si>
    <r>
      <t>成都欣耀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</si>
  <si>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果酒（含酒精）; 葡萄酒; 米酒; 威士忌</t>
    </r>
  </si>
  <si>
    <r>
      <t>广誉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</si>
  <si>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山西广誉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</si>
  <si>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白酒;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</t>
    </r>
  </si>
  <si>
    <t>岐黄布衣</t>
  </si>
  <si>
    <r>
      <t>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</si>
  <si>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黑覆盆子酒;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</si>
  <si>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牟名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</si>
  <si>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州牟大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</si>
  <si>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开胃酒</t>
    </r>
  </si>
  <si>
    <r>
      <t>大瓷坊小</t>
    </r>
    <r>
      <rPr>
        <sz val="11"/>
        <color theme="1"/>
        <rFont val="ＭＳ Ｐゴシック"/>
        <family val="3"/>
        <charset val="134"/>
        <scheme val="minor"/>
      </rPr>
      <t>红岛</t>
    </r>
  </si>
  <si>
    <r>
      <t>蔡永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</si>
  <si>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</si>
  <si>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江彩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</si>
  <si>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烈酒; 清酒（日本米酒）; 葡萄酒</t>
    </r>
  </si>
  <si>
    <t>霸王人生</t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</si>
  <si>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</si>
  <si>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碧犹坊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</si>
  <si>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米酒; 黄酒</t>
    </r>
  </si>
  <si>
    <r>
      <t>共温</t>
    </r>
    <r>
      <rPr>
        <sz val="11"/>
        <color theme="1"/>
        <rFont val="ＭＳ Ｐゴシック"/>
        <family val="3"/>
        <charset val="134"/>
        <scheme val="minor"/>
      </rPr>
      <t>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</si>
  <si>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</si>
  <si>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鲜渔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</si>
  <si>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鲜渔</t>
    </r>
    <r>
      <rPr>
        <sz val="11"/>
        <color theme="1"/>
        <rFont val="ＭＳ Ｐゴシック"/>
        <family val="3"/>
        <charset val="128"/>
        <scheme val="minor"/>
      </rPr>
      <t>村餐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</si>
  <si>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烈性干酒;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汽酒; 白干酒（中国白酒）; 果酒（含酒精）; 白葡萄酒</t>
    </r>
  </si>
  <si>
    <r>
      <t>牟宗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</si>
  <si>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白酒; 开胃酒;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</si>
  <si>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湘秋色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</si>
  <si>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莞市焱成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</si>
  <si>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蜂蜜酒; 米酒; 伏特加酒</t>
    </r>
  </si>
  <si>
    <t>GIOVANNI VALENTINO</t>
  </si>
  <si>
    <r>
      <t>弗</t>
    </r>
    <r>
      <rPr>
        <sz val="11"/>
        <color theme="1"/>
        <rFont val="ＭＳ Ｐゴシック"/>
        <family val="3"/>
        <charset val="134"/>
        <scheme val="minor"/>
      </rPr>
      <t>劳伦</t>
    </r>
    <r>
      <rPr>
        <sz val="11"/>
        <color theme="1"/>
        <rFont val="ＭＳ Ｐゴシック"/>
        <family val="3"/>
        <charset val="128"/>
        <scheme val="minor"/>
      </rPr>
      <t>斯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装香港有限公司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</si>
  <si>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</si>
  <si>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青春与刀郎</t>
  </si>
  <si>
    <r>
      <t>云南忠</t>
    </r>
    <r>
      <rPr>
        <sz val="11"/>
        <color theme="1"/>
        <rFont val="ＭＳ Ｐゴシック"/>
        <family val="3"/>
        <charset val="134"/>
        <scheme val="minor"/>
      </rPr>
      <t>诚卫</t>
    </r>
    <r>
      <rPr>
        <sz val="11"/>
        <color theme="1"/>
        <rFont val="ＭＳ Ｐゴシック"/>
        <family val="3"/>
        <charset val="128"/>
        <scheme val="minor"/>
      </rPr>
      <t>士国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</si>
  <si>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白酒; 白干酒（中国白酒）; 果酒</t>
    </r>
  </si>
  <si>
    <t>BLIAEDR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</si>
  <si>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伏特加酒; 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利口酒</t>
    </r>
  </si>
  <si>
    <t>米耀</t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</si>
  <si>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</t>
    </r>
  </si>
  <si>
    <t>杯里福</t>
  </si>
  <si>
    <t>刘世凡</t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</si>
  <si>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清酒（日本米酒）; 烈酒; 黄酒; 白酒; 葡萄酒;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</si>
  <si>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</si>
  <si>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</si>
  <si>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</si>
  <si>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r>
      <t>萧县</t>
    </r>
    <r>
      <rPr>
        <sz val="11"/>
        <color theme="1"/>
        <rFont val="ＭＳ Ｐゴシック"/>
        <family val="3"/>
        <charset val="128"/>
        <scheme val="minor"/>
      </rPr>
      <t>静磊白酒坊(个体工商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</si>
  <si>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甜酒; 烈酒; 果酒（含酒精）</t>
    </r>
  </si>
  <si>
    <r>
      <t>龙跃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</si>
  <si>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井市福源牧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</si>
  <si>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</si>
  <si>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雪邦印象</t>
  </si>
  <si>
    <r>
      <t>赵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</si>
  <si>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青梅酒;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</t>
    </r>
  </si>
  <si>
    <r>
      <t>SOVX 象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</si>
  <si>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弋江区年玉芳百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</si>
  <si>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</si>
  <si>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大漠京典</t>
  </si>
  <si>
    <r>
      <t>谢</t>
    </r>
    <r>
      <rPr>
        <sz val="11"/>
        <color theme="1"/>
        <rFont val="ＭＳ Ｐゴシック"/>
        <family val="3"/>
        <charset val="128"/>
        <scheme val="minor"/>
      </rPr>
      <t>沂利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</si>
  <si>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</si>
  <si>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广誉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</si>
  <si>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青梅酒; 露酒; 果酒（含酒精）; 黄酒; 米酒</t>
    </r>
  </si>
  <si>
    <r>
      <t>王世</t>
    </r>
    <r>
      <rPr>
        <sz val="11"/>
        <color theme="1"/>
        <rFont val="ＭＳ Ｐゴシック"/>
        <family val="3"/>
        <charset val="134"/>
        <scheme val="minor"/>
      </rPr>
      <t>员</t>
    </r>
  </si>
  <si>
    <r>
      <t>合肥悦上美文化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</si>
  <si>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葡萄酒; 白酒; 伏特加酒; 清酒（日本米酒）</t>
    </r>
  </si>
  <si>
    <r>
      <t>海棠醉春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</si>
  <si>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</si>
  <si>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餐 THREE MEALS PER BILLION DAYS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</si>
  <si>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</si>
  <si>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利口酒;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</si>
  <si>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粱</t>
    </r>
    <r>
      <rPr>
        <sz val="11"/>
        <color theme="1"/>
        <rFont val="ＭＳ Ｐゴシック"/>
        <family val="3"/>
        <charset val="134"/>
        <scheme val="minor"/>
      </rPr>
      <t>记</t>
    </r>
  </si>
  <si>
    <t>李俊萍******************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</si>
  <si>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</si>
  <si>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QIANJIUZUN</t>
  </si>
  <si>
    <t>王涵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</si>
  <si>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露酒;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</si>
  <si>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</si>
  <si>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濮阳市文君商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</si>
  <si>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果酒（含酒精）</t>
    </r>
  </si>
  <si>
    <r>
      <t>傲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</si>
  <si>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</si>
  <si>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九十</t>
    </r>
    <r>
      <rPr>
        <sz val="11"/>
        <color theme="1"/>
        <rFont val="ＭＳ Ｐゴシック"/>
        <family val="3"/>
        <charset val="134"/>
        <scheme val="minor"/>
      </rPr>
      <t>莲华</t>
    </r>
  </si>
  <si>
    <r>
      <t>青阳</t>
    </r>
    <r>
      <rPr>
        <sz val="11"/>
        <color theme="1"/>
        <rFont val="ＭＳ Ｐゴシック"/>
        <family val="3"/>
        <charset val="134"/>
        <scheme val="minor"/>
      </rPr>
      <t>县东</t>
    </r>
    <r>
      <rPr>
        <sz val="11"/>
        <color theme="1"/>
        <rFont val="ＭＳ Ｐゴシック"/>
        <family val="3"/>
        <charset val="128"/>
        <scheme val="minor"/>
      </rPr>
      <t>山湾文化旅游开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</si>
  <si>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开胃酒; 青梅酒; 米酒; 清酒; 黄酒;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</si>
  <si>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t>DUNGEON&amp;FIGHTER</t>
  </si>
  <si>
    <r>
      <t>新人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</si>
  <si>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威士忌; 米酒; 葡萄酒; 朗姆酒; 清酒（日本米酒）; 含酒精的潘趣酒;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</si>
  <si>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俪硕</t>
  </si>
  <si>
    <r>
      <t>祁</t>
    </r>
    <r>
      <rPr>
        <sz val="11"/>
        <color theme="1"/>
        <rFont val="ＭＳ Ｐゴシック"/>
        <family val="3"/>
        <charset val="134"/>
        <scheme val="minor"/>
      </rPr>
      <t>县汇润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</si>
  <si>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</si>
  <si>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古卓</t>
  </si>
  <si>
    <r>
      <t>白酒; 黄酒;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</si>
  <si>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师岛</t>
    </r>
  </si>
  <si>
    <r>
      <t>蔡壮</t>
    </r>
    <r>
      <rPr>
        <sz val="11"/>
        <color theme="1"/>
        <rFont val="ＭＳ Ｐゴシック"/>
        <family val="3"/>
        <charset val="134"/>
        <scheme val="minor"/>
      </rPr>
      <t>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</si>
  <si>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</t>
    </r>
  </si>
  <si>
    <r>
      <t>葚世情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</si>
  <si>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山西葚天酒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</si>
  <si>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</si>
  <si>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七汨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</si>
  <si>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白酒</t>
    </r>
  </si>
  <si>
    <r>
      <t>牟大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</si>
  <si>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</si>
  <si>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</si>
  <si>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</si>
  <si>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餐后酒（利口酒和烈酒）; 白酒; 葡萄酒; 露酒</t>
    </r>
  </si>
  <si>
    <t>听淮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</si>
  <si>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清酒（日本米酒）; 开胃酒</t>
    </r>
  </si>
  <si>
    <r>
      <t>孚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</si>
  <si>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米酒;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薄荷酒; 葡萄酒</t>
    </r>
  </si>
  <si>
    <t>禾家喜</t>
  </si>
  <si>
    <r>
      <t>王海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</si>
  <si>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烈酒; 果酒（含酒精）; 葡萄酒; 米酒; 白酒</t>
    </r>
  </si>
  <si>
    <t>普正 PROZIN</t>
  </si>
  <si>
    <r>
      <t>江西普正制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</si>
  <si>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开胃酒;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</t>
    </r>
  </si>
  <si>
    <t>颗</t>
  </si>
  <si>
    <r>
      <t xml:space="preserve">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</si>
  <si>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西塘善</t>
  </si>
  <si>
    <t>浙江嘉善黄酒股份有限公司</t>
  </si>
  <si>
    <r>
      <t xml:space="preserve">黄酒; 清酒（日本米酒）;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</si>
  <si>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杜松子酒; 伏特加酒;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含酒精的潘趣酒; 清酒（日本米酒）;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</si>
  <si>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荷粱液</t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</si>
  <si>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</si>
  <si>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安心意</t>
    </r>
  </si>
  <si>
    <r>
      <t>西安都市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</si>
  <si>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</si>
  <si>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龙锦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</si>
  <si>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清酒（日本米酒）; 威士忌;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</si>
  <si>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</si>
  <si>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爱华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</si>
  <si>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开胃酒; 威士忌</t>
    </r>
  </si>
  <si>
    <t>狐熊 FOXBEAR</t>
  </si>
  <si>
    <t>江西燕狐科技有限公司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</si>
  <si>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</t>
    </r>
  </si>
  <si>
    <t>晋帮元明清</t>
  </si>
  <si>
    <r>
      <t>霍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</si>
  <si>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 xml:space="preserve">烈酒;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青稞酒; 清酒; 草莓酒;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</t>
    </r>
  </si>
  <si>
    <t>多彩醉黔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</si>
  <si>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白干酒（中国白酒）; 黄酒; 露酒</t>
    </r>
  </si>
  <si>
    <t>民族黄鑫叶</t>
  </si>
  <si>
    <r>
      <t>廖从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</si>
  <si>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黄酒; 葡萄酒</t>
    </r>
  </si>
  <si>
    <r>
      <t>璀璨昆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</si>
  <si>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白干酒（中国白酒）; 白酒;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</si>
  <si>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杜小雪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</si>
  <si>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州尖榜酒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</si>
  <si>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</si>
  <si>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山水宋青</t>
  </si>
  <si>
    <r>
      <t>山水半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塘（太原）酒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</si>
  <si>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</si>
  <si>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可醉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</si>
  <si>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志涛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</si>
  <si>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</si>
  <si>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岂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</si>
  <si>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齐乐</t>
    </r>
    <r>
      <rPr>
        <sz val="11"/>
        <color theme="1"/>
        <rFont val="ＭＳ Ｐゴシック"/>
        <family val="3"/>
        <charset val="128"/>
        <scheme val="minor"/>
      </rPr>
      <t>共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</si>
  <si>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甘蔗制烈酒; 黄酒; 葡萄酒</t>
    </r>
  </si>
  <si>
    <t>意息</t>
  </si>
  <si>
    <r>
      <t>苏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枪</t>
    </r>
  </si>
  <si>
    <t>丸夭</t>
  </si>
  <si>
    <r>
      <t>上海田</t>
    </r>
    <r>
      <rPr>
        <sz val="11"/>
        <color theme="1"/>
        <rFont val="ＭＳ Ｐゴシック"/>
        <family val="3"/>
        <charset val="134"/>
        <scheme val="minor"/>
      </rPr>
      <t>樱贸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</si>
  <si>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葡萄酒; 米酒; 梅酒; 黄酒;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</si>
  <si>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北庄</t>
    </r>
  </si>
  <si>
    <r>
      <t>成都岭南春商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</si>
  <si>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</si>
  <si>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骄师</t>
    </r>
    <r>
      <rPr>
        <sz val="11"/>
        <color theme="1"/>
        <rFont val="ＭＳ Ｐゴシック"/>
        <family val="3"/>
        <charset val="128"/>
        <scheme val="minor"/>
      </rPr>
      <t>傅</t>
    </r>
  </si>
  <si>
    <t>南京食百千食品有限公司</t>
  </si>
  <si>
    <r>
      <t>汽酒;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薄荷酒;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黄酒; 苹果酒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</si>
  <si>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尊御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</si>
  <si>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白酒</t>
    </r>
  </si>
  <si>
    <t>太中和</t>
  </si>
  <si>
    <r>
      <t>开封市火旭商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</si>
  <si>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</si>
  <si>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宗河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</si>
  <si>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亳州市宗河酒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</si>
  <si>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苹果酒;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</si>
  <si>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t>将可醉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</si>
  <si>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</si>
  <si>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</si>
  <si>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米酒; 葡萄酒;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</si>
  <si>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IAWN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</si>
  <si>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</si>
  <si>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百良造</t>
  </si>
  <si>
    <r>
      <t>杨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</si>
  <si>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黄酒; 米酒; 葡萄酒;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</si>
  <si>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钤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</si>
  <si>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黔庄供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管理保定有限公司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</si>
  <si>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米酒; 果酒; 黄酒; 高粱酒; 葡萄酒</t>
    </r>
  </si>
  <si>
    <r>
      <t>钤</t>
    </r>
    <r>
      <rPr>
        <sz val="11"/>
        <color theme="1"/>
        <rFont val="ＭＳ Ｐゴシック"/>
        <family val="3"/>
        <charset val="128"/>
        <scheme val="minor"/>
      </rPr>
      <t>庄号</t>
    </r>
  </si>
  <si>
    <r>
      <t xml:space="preserve">白干酒（中国白酒）; 白酒; 米酒; 高粱酒;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</t>
    </r>
  </si>
  <si>
    <t>BOCCA</t>
  </si>
  <si>
    <r>
      <t>广州冠利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</si>
  <si>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</si>
  <si>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不得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</si>
  <si>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中山皇家印象装</t>
    </r>
    <r>
      <rPr>
        <sz val="11"/>
        <color theme="1"/>
        <rFont val="ＭＳ Ｐゴシック"/>
        <family val="3"/>
        <charset val="134"/>
        <scheme val="minor"/>
      </rPr>
      <t>饰设计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</si>
  <si>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高粱酒;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</si>
  <si>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GLEAGLE</t>
  </si>
  <si>
    <t>德国霍恩巴赫有限公司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</si>
  <si>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</si>
  <si>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满坛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</si>
  <si>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满坛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</si>
  <si>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米酒; 茴香酒;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食用酒精; 黄酒; 白干酒（中国白酒）; 白酒; 开胃酒</t>
    </r>
  </si>
  <si>
    <t>乾品天成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</si>
  <si>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清酒（日本米酒）</t>
    </r>
  </si>
  <si>
    <t>加禾水</t>
  </si>
  <si>
    <r>
      <t>崔津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</si>
  <si>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 xml:space="preserve">餐后酒（利口酒和烈酒）; 米酒; 黄酒; 白干酒（中国白酒）;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</si>
  <si>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雅丰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</si>
  <si>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雅丰包装有限公司</t>
    </r>
  </si>
  <si>
    <r>
      <t>黄酒; 白干酒（中国白酒）;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</t>
    </r>
  </si>
  <si>
    <r>
      <t>维纳</t>
    </r>
    <r>
      <rPr>
        <sz val="11"/>
        <color theme="1"/>
        <rFont val="ＭＳ Ｐゴシック"/>
        <family val="3"/>
        <charset val="128"/>
        <scheme val="minor"/>
      </rPr>
      <t>斯桃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</si>
  <si>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跨境（北京）投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</si>
  <si>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起泡白葡萄酒;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</si>
  <si>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维纳</t>
    </r>
    <r>
      <rPr>
        <sz val="11"/>
        <color theme="1"/>
        <rFont val="ＭＳ Ｐゴシック"/>
        <family val="3"/>
        <charset val="128"/>
        <scheme val="minor"/>
      </rPr>
      <t>斯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</si>
  <si>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米酒; 果酒（含酒精）; 起泡白葡萄酒;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</si>
  <si>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车间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</si>
  <si>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</si>
  <si>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天香郡</t>
  </si>
  <si>
    <r>
      <t>刘</t>
    </r>
    <r>
      <rPr>
        <sz val="11"/>
        <color theme="1"/>
        <rFont val="ＭＳ Ｐゴシック"/>
        <family val="3"/>
        <charset val="134"/>
        <scheme val="minor"/>
      </rPr>
      <t>银锋</t>
    </r>
  </si>
  <si>
    <r>
      <t>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白干酒（中国白酒）; 果酒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</si>
  <si>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信达</t>
    </r>
  </si>
  <si>
    <r>
      <t>宁夏合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信达科技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</si>
  <si>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</si>
  <si>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百老源</t>
  </si>
  <si>
    <r>
      <t>徐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</si>
  <si>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</si>
  <si>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道合礼</t>
  </si>
  <si>
    <r>
      <t>陈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</si>
  <si>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</si>
  <si>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骊</t>
    </r>
    <r>
      <rPr>
        <sz val="11"/>
        <color theme="1"/>
        <rFont val="ＭＳ Ｐゴシック"/>
        <family val="3"/>
        <charset val="128"/>
        <scheme val="minor"/>
      </rPr>
      <t>福</t>
    </r>
  </si>
  <si>
    <t>广西蕾福食品有限公司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</si>
  <si>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</si>
  <si>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</si>
  <si>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桦时肽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</si>
  <si>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</si>
  <si>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车间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</si>
  <si>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利口酒;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</si>
  <si>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 xml:space="preserve">果酒; 米酒; 白酒; 白干酒（中国白酒）; 食用酒精; 茴香酒（利口酒）; 黄酒;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</si>
  <si>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酣逍客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</si>
  <si>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</si>
  <si>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</si>
  <si>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龙滨</t>
    </r>
    <r>
      <rPr>
        <sz val="11"/>
        <color theme="1"/>
        <rFont val="ＭＳ Ｐゴシック"/>
        <family val="3"/>
        <charset val="128"/>
        <scheme val="minor"/>
      </rPr>
      <t>极品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</si>
  <si>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德英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</si>
  <si>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烈酒; 白干酒（中国白酒）; 黄酒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</si>
  <si>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</si>
  <si>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香淳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洲醇酒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</si>
  <si>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</si>
  <si>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建木神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</si>
  <si>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青海国誉文化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交流有限公司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</si>
  <si>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食用酒精;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松叶酒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</si>
  <si>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君源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</si>
  <si>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世佳酒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</si>
  <si>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咖啡利口酒;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</si>
  <si>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车间龙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</si>
  <si>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利口酒;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</si>
  <si>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格莱勒</t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</si>
  <si>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</si>
  <si>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醉有粮</t>
  </si>
  <si>
    <t>乔伟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</si>
  <si>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</t>
    </r>
  </si>
  <si>
    <t>中硬（温岭）刀具有限公司</t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</si>
  <si>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蜂蜜酒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</si>
  <si>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井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</si>
  <si>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果酒（含酒精）; 利口酒;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</si>
  <si>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</si>
  <si>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姚宇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</si>
  <si>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梅酒;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</si>
  <si>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果巴特</t>
  </si>
  <si>
    <r>
      <t>罗时顺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</si>
  <si>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</si>
  <si>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硬老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</si>
  <si>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谢庆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</si>
  <si>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</si>
  <si>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车间</t>
    </r>
    <r>
      <rPr>
        <sz val="11"/>
        <color theme="1"/>
        <rFont val="ＭＳ Ｐゴシック"/>
        <family val="3"/>
        <charset val="129"/>
        <scheme val="minor"/>
      </rPr>
      <t>值</t>
    </r>
  </si>
  <si>
    <r>
      <t xml:space="preserve">利口酒;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</si>
  <si>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汉宫</t>
    </r>
    <r>
      <rPr>
        <sz val="11"/>
        <color theme="1"/>
        <rFont val="ＭＳ Ｐゴシック"/>
        <family val="3"/>
        <charset val="128"/>
        <scheme val="minor"/>
      </rPr>
      <t>雄宝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</si>
  <si>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</si>
  <si>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江元宝山</t>
    </r>
  </si>
  <si>
    <r>
      <t>融水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</si>
  <si>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</si>
  <si>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艾德睿第五季 AIDERISEASON5</t>
  </si>
  <si>
    <t>浙江艾德酒店有限公司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</si>
  <si>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米酒; 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</si>
  <si>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赉</t>
    </r>
    <r>
      <rPr>
        <sz val="11"/>
        <color theme="1"/>
        <rFont val="ＭＳ Ｐゴシック"/>
        <family val="3"/>
        <charset val="128"/>
        <scheme val="minor"/>
      </rPr>
      <t>稻珍</t>
    </r>
  </si>
  <si>
    <r>
      <t>安徽省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成生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</si>
  <si>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</si>
  <si>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源寓春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</si>
  <si>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咖啡利口酒; 汽酒; 黄酒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</si>
  <si>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</si>
  <si>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蜂蜜酒;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</si>
  <si>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曲梦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</si>
  <si>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果酒; 威士忌</t>
    </r>
  </si>
  <si>
    <t>大院福</t>
  </si>
  <si>
    <t>山西省汾阳市杏泉福酒厂股份有限公司</t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</si>
  <si>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</si>
  <si>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DBW</t>
  </si>
  <si>
    <r>
      <t>笨笨酒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</si>
  <si>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</si>
  <si>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禾境</t>
  </si>
  <si>
    <t>刘丹******************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</si>
  <si>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蜂蜜酒; 果酒（含酒精）; 杜松子酒;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</si>
  <si>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t>茉小西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</si>
  <si>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琼泽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</si>
  <si>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威士忌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</si>
  <si>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鹤飞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</si>
  <si>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鹤飞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</si>
  <si>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开胃酒; 黄酒;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</si>
  <si>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馏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</si>
  <si>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</si>
  <si>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逍遥迷</t>
  </si>
  <si>
    <r>
      <t>胡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</si>
  <si>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青稞酒;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梅酒; 高粱酒; 黄酒</t>
    </r>
  </si>
  <si>
    <t>美仁穹</t>
  </si>
  <si>
    <r>
      <t>米之蜜境（温州）酒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</si>
  <si>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梅酒; 烈酒</t>
    </r>
  </si>
  <si>
    <r>
      <t>登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大力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</si>
  <si>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市旭阳酒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</si>
  <si>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开胃酒;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白酒;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</si>
  <si>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薯小仙</t>
  </si>
  <si>
    <r>
      <t>艺</t>
    </r>
    <r>
      <rPr>
        <sz val="11"/>
        <color theme="1"/>
        <rFont val="ＭＳ Ｐゴシック"/>
        <family val="3"/>
        <charset val="128"/>
        <scheme val="minor"/>
      </rPr>
      <t>薯家(北京)餐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</si>
  <si>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</si>
  <si>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FDMTL</t>
  </si>
  <si>
    <t>弗雷科沃有限公司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</si>
  <si>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</si>
  <si>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花漫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</si>
  <si>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高粱酒; 米酒; 露酒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</si>
  <si>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甜园</t>
    </r>
  </si>
  <si>
    <r>
      <t>广州中植睿智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</si>
  <si>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干型苹果酒; 青梅酒;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</t>
    </r>
  </si>
  <si>
    <r>
      <t>夏提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客</t>
    </r>
  </si>
  <si>
    <t>刘明慧</t>
  </si>
  <si>
    <r>
      <t xml:space="preserve">果酒（含酒精）;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白酒; 高粱酒</t>
    </r>
  </si>
  <si>
    <t>巭态</t>
  </si>
  <si>
    <r>
      <t>中企智助（北京）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</si>
  <si>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高粱酒; 食用酒精</t>
    </r>
  </si>
  <si>
    <t>美界</t>
  </si>
  <si>
    <t>孟宇晴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</si>
  <si>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</t>
    </r>
  </si>
  <si>
    <t>萄咖</t>
  </si>
  <si>
    <r>
      <t>宁夏盛信酒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</si>
  <si>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混合威士忌酒;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</si>
  <si>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</si>
  <si>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</si>
  <si>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BULUB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</si>
  <si>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</si>
  <si>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甜酒; 果酒（含酒精）; 葡萄酒; 米酒</t>
    </r>
  </si>
  <si>
    <r>
      <t>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</si>
  <si>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山西杏花原生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</si>
  <si>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葡萄酒; 白酒; 清酒（日本米酒）; 食用酒精; 米酒</t>
    </r>
  </si>
  <si>
    <t>艾德睿 AIDERI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</si>
  <si>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</si>
  <si>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全慧甄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</si>
  <si>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</si>
  <si>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黄酒;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白酒; 米酒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</si>
  <si>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</si>
  <si>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</t>
    </r>
  </si>
  <si>
    <t>当无双</t>
  </si>
  <si>
    <r>
      <t>罗</t>
    </r>
    <r>
      <rPr>
        <sz val="11"/>
        <color theme="1"/>
        <rFont val="ＭＳ Ｐゴシック"/>
        <family val="3"/>
        <charset val="128"/>
        <scheme val="minor"/>
      </rPr>
      <t>来洪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</si>
  <si>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米酒; 果酒（含酒精）; 清酒（日本米酒）; 开胃酒</t>
    </r>
  </si>
  <si>
    <t>几养</t>
  </si>
  <si>
    <t>成都几养健康管理有限公司</t>
  </si>
  <si>
    <r>
      <t xml:space="preserve">果酒（含酒精）; 青稞酒; 黄酒; 白酒; 佐餐酒;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</si>
  <si>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秦城坊</t>
  </si>
  <si>
    <r>
      <t>天津市雄峰酒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</si>
  <si>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</si>
  <si>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棾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</si>
  <si>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莞市大岭山又双叒叕商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</si>
  <si>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</t>
    </r>
  </si>
  <si>
    <t>合意台</t>
  </si>
  <si>
    <t>尚道先生（北京）科技有限公司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</si>
  <si>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</si>
  <si>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东骐链畅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</si>
  <si>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含酒精的气泡水; 白酒; 果酒（含酒精）; 梨酒;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</si>
  <si>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之火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</si>
  <si>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</si>
  <si>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米酒; 黄酒; 食用酒精; 果酒（含酒精）; 葡萄酒</t>
    </r>
  </si>
  <si>
    <t>禄海清泉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</si>
  <si>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鹤尔</t>
    </r>
    <r>
      <rPr>
        <sz val="11"/>
        <color theme="1"/>
        <rFont val="ＭＳ Ｐゴシック"/>
        <family val="3"/>
        <charset val="128"/>
        <scheme val="minor"/>
      </rPr>
      <t>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</si>
  <si>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</si>
  <si>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䗅</t>
    </r>
    <r>
      <rPr>
        <sz val="11"/>
        <color theme="1"/>
        <rFont val="ＭＳ Ｐゴシック"/>
        <family val="3"/>
        <charset val="134"/>
        <scheme val="minor"/>
      </rPr>
      <t>夀</t>
    </r>
    <r>
      <rPr>
        <sz val="11"/>
        <color theme="1"/>
        <rFont val="ＭＳ Ｐゴシック"/>
        <family val="3"/>
        <charset val="128"/>
        <scheme val="minor"/>
      </rPr>
      <t>鑫</t>
    </r>
  </si>
  <si>
    <t>刘尚鑫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</si>
  <si>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</si>
  <si>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华应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</si>
  <si>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开胃酒; 果酒（含酒精）; 葡萄酒; 清酒（日本米酒）</t>
    </r>
  </si>
  <si>
    <t>将勉</t>
  </si>
  <si>
    <r>
      <t>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</si>
  <si>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至尊醉炎黄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</si>
  <si>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</si>
  <si>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t>SILVER STONE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</si>
  <si>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贺兰传</t>
    </r>
    <r>
      <rPr>
        <sz val="11"/>
        <color theme="1"/>
        <rFont val="ＭＳ Ｐゴシック"/>
        <family val="3"/>
        <charset val="128"/>
        <scheme val="minor"/>
      </rPr>
      <t>奇酒庄有限公司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</si>
  <si>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</si>
  <si>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福湶山庄</t>
  </si>
  <si>
    <r>
      <t>章丘区福泉山庄养殖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</si>
  <si>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利口酒;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露酒; 佐餐酒; 草本型利口酒;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</si>
  <si>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云暑</t>
  </si>
  <si>
    <t>蒋煜</t>
  </si>
  <si>
    <r>
      <t>伏特加酒;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</si>
  <si>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海云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</si>
  <si>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州广福酒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</si>
  <si>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</si>
  <si>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</si>
  <si>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清酒（日本米酒）</t>
    </r>
  </si>
  <si>
    <r>
      <t xml:space="preserve">米酒; 青稞酒; 果酒（含酒精）; 清酒;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</t>
    </r>
  </si>
  <si>
    <r>
      <t>宫满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</si>
  <si>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</si>
  <si>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果酒（含酒精）; 露酒; 白酒; 混合威士忌酒;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白干酒（中国白酒）;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</si>
  <si>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绵烧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</si>
  <si>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青稞酒; 苹果酒;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果酒（含酒精）</t>
    </r>
  </si>
  <si>
    <t>瑞翎</t>
  </si>
  <si>
    <r>
      <t>云雀酒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</si>
  <si>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麦芽威士忌;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</si>
  <si>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甲榜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</si>
  <si>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</si>
  <si>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</si>
  <si>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晓栋</t>
    </r>
  </si>
  <si>
    <r>
      <t xml:space="preserve">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</si>
  <si>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碧</t>
    </r>
    <r>
      <rPr>
        <sz val="11"/>
        <color theme="1"/>
        <rFont val="ＭＳ Ｐゴシック"/>
        <family val="3"/>
        <charset val="134"/>
        <scheme val="minor"/>
      </rPr>
      <t>红颜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</si>
  <si>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</si>
  <si>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白酒</t>
    </r>
  </si>
  <si>
    <t>众觥</t>
  </si>
  <si>
    <t>高晶晶</t>
  </si>
  <si>
    <r>
      <t>白酒;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</si>
  <si>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粮山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</si>
  <si>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</si>
  <si>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仕无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</si>
  <si>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 xml:space="preserve">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</si>
  <si>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千朝凰</t>
  </si>
  <si>
    <r>
      <t xml:space="preserve">果酒（含酒精）; 开胃酒;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</si>
  <si>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碧金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</si>
  <si>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</si>
  <si>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原熙 酒</t>
  </si>
  <si>
    <r>
      <t>山西祥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</si>
  <si>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</si>
  <si>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宜</t>
    </r>
  </si>
  <si>
    <r>
      <t xml:space="preserve">米酒; 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</si>
  <si>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撷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</si>
  <si>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元禾元（珠海横琴）生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</si>
  <si>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黄酒; 葡萄酒; 开胃酒; 威士忌</t>
    </r>
  </si>
  <si>
    <t>艾德麦康</t>
  </si>
  <si>
    <r>
      <t>潘达布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</si>
  <si>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</si>
  <si>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九号</t>
    </r>
  </si>
  <si>
    <r>
      <t>阎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</si>
  <si>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</si>
  <si>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t>其印</t>
  </si>
  <si>
    <r>
      <t>建瓯市</t>
    </r>
    <r>
      <rPr>
        <sz val="11"/>
        <color theme="1"/>
        <rFont val="ＭＳ Ｐゴシック"/>
        <family val="3"/>
        <charset val="134"/>
        <scheme val="minor"/>
      </rPr>
      <t>乐农电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</si>
  <si>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</t>
    </r>
  </si>
  <si>
    <t>尊半生</t>
  </si>
  <si>
    <t>姚晗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</si>
  <si>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葡萄酒</t>
    </r>
  </si>
  <si>
    <t>RICH HALL</t>
  </si>
  <si>
    <r>
      <t>深圳市圣比利供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</si>
  <si>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伏特加酒</t>
    </r>
  </si>
  <si>
    <r>
      <t>成清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</si>
  <si>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餐后酒（利口酒和烈酒）; 米酒; 伏特加酒; 果酒（含酒精）; 开胃酒; 黄酒</t>
    </r>
  </si>
  <si>
    <t>PP&amp;PENGUIN</t>
  </si>
  <si>
    <r>
      <t>郎</t>
    </r>
    <r>
      <rPr>
        <sz val="11"/>
        <color theme="1"/>
        <rFont val="ＭＳ Ｐゴシック"/>
        <family val="3"/>
        <charset val="134"/>
        <scheme val="minor"/>
      </rPr>
      <t>亚东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</si>
  <si>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葡萄酒</t>
    </r>
  </si>
  <si>
    <t>朝朝悠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</si>
  <si>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清酒（日本米酒）; 白酒;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</si>
  <si>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裕源号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</si>
  <si>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掌柜供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</si>
  <si>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 xml:space="preserve">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蒸煮提取物（利口酒和烈酒）; 白酒</t>
    </r>
  </si>
  <si>
    <r>
      <t>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晒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</si>
  <si>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酒庄股份有限公司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</si>
  <si>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威士忌; 葡萄酒</t>
    </r>
  </si>
  <si>
    <r>
      <t>丑哥牛 老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</si>
  <si>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浩然酒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</si>
  <si>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白酒; 果酒;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</si>
  <si>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t>周了</t>
  </si>
  <si>
    <r>
      <t>北京天广恒利商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</si>
  <si>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米酒; 高粱酒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</si>
  <si>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叶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今生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</si>
  <si>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叶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今生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</si>
  <si>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梅酒;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</si>
  <si>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豫尚寨</t>
  </si>
  <si>
    <t>王杰民</t>
  </si>
  <si>
    <r>
      <t>开胃酒;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</si>
  <si>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独觥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</si>
  <si>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米酒;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</si>
  <si>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老署干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</si>
  <si>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市微美生物科技有限公司</t>
    </r>
  </si>
  <si>
    <r>
      <t>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黑覆盆子酒;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</si>
  <si>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臻半生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</si>
  <si>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</si>
  <si>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郸华</t>
    </r>
    <r>
      <rPr>
        <sz val="11"/>
        <color theme="1"/>
        <rFont val="ＭＳ Ｐゴシック"/>
        <family val="3"/>
        <charset val="128"/>
        <scheme val="minor"/>
      </rPr>
      <t>勤石油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</si>
  <si>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梨酒;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</si>
  <si>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顶</t>
    </r>
  </si>
  <si>
    <t>刘昌极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</si>
  <si>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</si>
  <si>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匠心十五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</si>
  <si>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伏特加酒; 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</si>
  <si>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之光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</si>
  <si>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青稞酒; 食用酒精</t>
    </r>
  </si>
  <si>
    <t>吉天照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</si>
  <si>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丸影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</si>
  <si>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</si>
  <si>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伍字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</si>
  <si>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深圳市安雅投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</si>
  <si>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</si>
  <si>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喜福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</si>
  <si>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州祥运古酒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</si>
  <si>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开胃酒;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蒸煮提取物（利口酒和烈酒）;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</si>
  <si>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XMUZHI</t>
  </si>
  <si>
    <r>
      <t>湖北小拇指生活服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</si>
  <si>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</si>
  <si>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碧</t>
    </r>
    <r>
      <rPr>
        <sz val="11"/>
        <color theme="1"/>
        <rFont val="ＭＳ Ｐゴシック"/>
        <family val="3"/>
        <charset val="134"/>
        <scheme val="minor"/>
      </rPr>
      <t>蓝颜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</si>
  <si>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</si>
  <si>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QIANGUYANGMING</t>
  </si>
  <si>
    <r>
      <t>胡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</si>
  <si>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</si>
  <si>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府康膳堂餐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</si>
  <si>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</si>
  <si>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豫清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</si>
  <si>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固始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海威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日化用品有限公司</t>
    </r>
  </si>
  <si>
    <r>
      <t>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</si>
  <si>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醉美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草地哈仙醉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</si>
  <si>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草地酒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</si>
  <si>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果酒（含酒精）; 清酒（日本米酒）</t>
    </r>
  </si>
  <si>
    <t>封秋</t>
  </si>
  <si>
    <r>
      <t>封丘投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</si>
  <si>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</si>
  <si>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田佣</t>
  </si>
  <si>
    <r>
      <t>深圳微</t>
    </r>
    <r>
      <rPr>
        <sz val="11"/>
        <color theme="1"/>
        <rFont val="ＭＳ Ｐゴシック"/>
        <family val="3"/>
        <charset val="134"/>
        <scheme val="minor"/>
      </rPr>
      <t>龙贸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</si>
  <si>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</t>
    </r>
  </si>
  <si>
    <t>五行春·尚初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</si>
  <si>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五行春生物科技有限公司</t>
    </r>
  </si>
  <si>
    <r>
      <t xml:space="preserve">食用酒精; 烈酒;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葡萄酒</t>
    </r>
  </si>
  <si>
    <t>周啦</t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</si>
  <si>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开胃酒; 黄酒;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</si>
  <si>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廪</t>
    </r>
    <r>
      <rPr>
        <sz val="11"/>
        <color theme="1"/>
        <rFont val="ＭＳ Ｐゴシック"/>
        <family val="3"/>
        <charset val="128"/>
        <scheme val="minor"/>
      </rPr>
      <t>王尊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</si>
  <si>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蜂蜜酒; 果酒（含酒精）; 果酒; 黄酒;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</t>
    </r>
  </si>
  <si>
    <r>
      <t>宁享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</si>
  <si>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三元食品有限公司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</si>
  <si>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</si>
  <si>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阳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</si>
  <si>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曙光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</si>
  <si>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甜酒; 米酒;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</si>
  <si>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德建文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</si>
  <si>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果酒; 米酒; 烈酒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</si>
  <si>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</si>
  <si>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开胃酒</t>
    </r>
  </si>
  <si>
    <t>宁雪酒庄 NINGXUE WINERY</t>
  </si>
  <si>
    <r>
      <t>福州三点水酒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</si>
  <si>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青稞酒; 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</si>
  <si>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巴嘉邑</t>
  </si>
  <si>
    <r>
      <t>兰</t>
    </r>
    <r>
      <rPr>
        <sz val="11"/>
        <color theme="1"/>
        <rFont val="ＭＳ Ｐゴシック"/>
        <family val="3"/>
        <charset val="128"/>
        <scheme val="minor"/>
      </rPr>
      <t>考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美景葡萄种植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</si>
  <si>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汽酒; 白酒</t>
    </r>
  </si>
  <si>
    <r>
      <t>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</si>
  <si>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</si>
  <si>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</si>
  <si>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利口酒; 伏特加酒; 朗姆酒;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</si>
  <si>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谕</t>
    </r>
    <r>
      <rPr>
        <sz val="11"/>
        <color theme="1"/>
        <rFont val="ＭＳ Ｐゴシック"/>
        <family val="3"/>
        <charset val="128"/>
        <scheme val="minor"/>
      </rPr>
      <t>和</t>
    </r>
  </si>
  <si>
    <t>烟台瑶池庄园葡萄酒有限公司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</si>
  <si>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果酒; 白酒; 威士忌;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</si>
  <si>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t>果魂</t>
  </si>
  <si>
    <r>
      <t xml:space="preserve">食用酒精;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果酒（含酒精）; 葡萄酒; 白酒; 柑香酒; 青稞酒</t>
    </r>
  </si>
  <si>
    <r>
      <t>蓉芝有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</si>
  <si>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内蒙古阿拉善大漠盛世工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</si>
  <si>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米酒; 葡萄酒;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蜂蜜酒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</si>
  <si>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传烧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</si>
  <si>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青稞酒;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</si>
  <si>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荣伯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</si>
  <si>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</si>
  <si>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中青中</t>
  </si>
  <si>
    <r>
      <t>中青京茶茶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</si>
  <si>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</si>
  <si>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ZYES</t>
  </si>
  <si>
    <r>
      <t>张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</si>
  <si>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利口酒</t>
    </r>
  </si>
  <si>
    <t>景昂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</si>
  <si>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</si>
  <si>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烈酒; 白酒; 葡萄酒; 果酒; 露酒;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</si>
  <si>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江山醉炎黄</t>
  </si>
  <si>
    <r>
      <t xml:space="preserve">葡萄酒;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</si>
  <si>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琮荣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</si>
  <si>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江省渤古稻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</si>
  <si>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</si>
  <si>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煌玖煌</t>
  </si>
  <si>
    <r>
      <t>恒慈堂健康管理（河南）有限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</si>
  <si>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</si>
  <si>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黄酒; 白酒; 果酒; 汽酒; 米酒;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甜酒</t>
    </r>
  </si>
  <si>
    <r>
      <t>天希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</si>
  <si>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婧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</si>
  <si>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</si>
  <si>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莱花</t>
  </si>
  <si>
    <r>
      <t>江阴市海翼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印刷厂</t>
    </r>
  </si>
  <si>
    <r>
      <t xml:space="preserve">利口酒;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苹果酒; 葡萄酒; 米酒</t>
    </r>
  </si>
  <si>
    <t>恒医森</t>
  </si>
  <si>
    <t>珠海星燃科技有限公司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</si>
  <si>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米酒; 果酒（含酒精）</t>
    </r>
  </si>
  <si>
    <r>
      <t>五字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</si>
  <si>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</si>
  <si>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匹牧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</si>
  <si>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匹牧科技有限公司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</si>
  <si>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葡萄酒; 薄荷酒; 杜松子酒; 柑香酒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</si>
  <si>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</si>
  <si>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四川宜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伍度道酒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</si>
  <si>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黄酒; 清酒;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</t>
    </r>
  </si>
  <si>
    <t>三国牟山</t>
  </si>
  <si>
    <t>河南旺达食品有限公司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</si>
  <si>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利口酒</t>
    </r>
  </si>
  <si>
    <r>
      <t>艾思</t>
    </r>
    <r>
      <rPr>
        <sz val="11"/>
        <color theme="1"/>
        <rFont val="ＭＳ Ｐゴシック"/>
        <family val="3"/>
        <charset val="134"/>
        <scheme val="minor"/>
      </rPr>
      <t>贝兰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</si>
  <si>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</si>
  <si>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蓬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</si>
  <si>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葡萄酒; 清酒（日本米酒）;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</si>
  <si>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VINAE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</si>
  <si>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红颜</t>
    </r>
    <r>
      <rPr>
        <sz val="11"/>
        <color theme="1"/>
        <rFont val="ＭＳ Ｐゴシック"/>
        <family val="3"/>
        <charset val="128"/>
        <scheme val="minor"/>
      </rPr>
      <t>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</si>
  <si>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不起泡葡萄酒; 葡萄酒; 佐餐酒; 起泡白葡萄酒; 葡萄潘趣酒;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</si>
  <si>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叙之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</si>
  <si>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石家庄映山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</si>
  <si>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</si>
  <si>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天一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</si>
  <si>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沙福盈来文化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</si>
  <si>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</si>
  <si>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合聚</t>
  </si>
  <si>
    <r>
      <t>山西合聚健康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</si>
  <si>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薄荷酒; 清酒;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</si>
  <si>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子悦酒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</si>
  <si>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</si>
  <si>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</si>
  <si>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蘑界</t>
  </si>
  <si>
    <r>
      <t>深圳市奇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</si>
  <si>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</si>
  <si>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要得川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</si>
  <si>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</si>
  <si>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梦耀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</si>
  <si>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山西梦耀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</si>
  <si>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料（啤酒除外);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</si>
  <si>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拾翠坊</t>
  </si>
  <si>
    <t>四川食萃食品有限公司</t>
  </si>
  <si>
    <r>
      <t xml:space="preserve">水果汽酒;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</si>
  <si>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巭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</si>
  <si>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食用酒精; 米酒; 黄酒</t>
    </r>
  </si>
  <si>
    <t>宜健塞北峰</t>
  </si>
  <si>
    <r>
      <t>内蒙古塞北峰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</si>
  <si>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利口酒; 白酒; 清酒;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</si>
  <si>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清花醉黄金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</si>
  <si>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</t>
    </r>
  </si>
  <si>
    <t>朝朝笑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</si>
  <si>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</t>
    </r>
  </si>
  <si>
    <t>粮山志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</si>
  <si>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清酒（日本米酒）; 葡萄酒</t>
    </r>
  </si>
  <si>
    <t>侒薪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</si>
  <si>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伏特加酒;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</si>
  <si>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蜀千滋</t>
  </si>
  <si>
    <r>
      <t>威士忌;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</t>
    </r>
  </si>
  <si>
    <r>
      <t>双香同花</t>
    </r>
    <r>
      <rPr>
        <sz val="11"/>
        <color theme="1"/>
        <rFont val="ＭＳ Ｐゴシック"/>
        <family val="3"/>
        <charset val="134"/>
        <scheme val="minor"/>
      </rPr>
      <t>顺</t>
    </r>
  </si>
  <si>
    <t>刘海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</si>
  <si>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</si>
  <si>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t>徽道青云</t>
  </si>
  <si>
    <t>安徽徽道品牌管理有限公司</t>
  </si>
  <si>
    <r>
      <t>米酒; 黄酒; 白酒; 食用酒精;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</si>
  <si>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今酌裕</t>
  </si>
  <si>
    <t>李倩</t>
  </si>
  <si>
    <r>
      <t>果酒（含酒精）; 葡萄酒;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</si>
  <si>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堪嘉</t>
  </si>
  <si>
    <r>
      <t>四川嘉源酒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</si>
  <si>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白干酒（中国白酒）; 米酒; 葡萄汽酒;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</si>
  <si>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PLAIFENGMAN</t>
  </si>
  <si>
    <r>
      <t>黄酒; 果酒; 水果汽酒; 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</si>
  <si>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相如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庭芳</t>
    </r>
  </si>
  <si>
    <r>
      <t>四川茶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</si>
  <si>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白葡萄酒;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</si>
  <si>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尽情金樽</t>
  </si>
  <si>
    <r>
      <t xml:space="preserve">白酒;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</si>
  <si>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直定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</si>
  <si>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州基酒在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</si>
  <si>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</si>
  <si>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安那里</t>
  </si>
  <si>
    <r>
      <t>北京安心文明文化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</si>
  <si>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汽酒;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葡萄酒; 白干酒（中国白酒）; 米酒</t>
    </r>
  </si>
  <si>
    <r>
      <t>始</t>
    </r>
    <r>
      <rPr>
        <sz val="11"/>
        <color theme="1"/>
        <rFont val="ＭＳ Ｐゴシック"/>
        <family val="3"/>
        <charset val="134"/>
        <scheme val="minor"/>
      </rPr>
      <t>巭</t>
    </r>
    <r>
      <rPr>
        <sz val="11"/>
        <color theme="1"/>
        <rFont val="ＭＳ Ｐゴシック"/>
        <family val="3"/>
        <charset val="128"/>
        <scheme val="minor"/>
      </rPr>
      <t>星球</t>
    </r>
  </si>
  <si>
    <r>
      <t xml:space="preserve">高粱酒; 米酒; 清酒; 果酒; 黄酒;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</si>
  <si>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芋糯千金</t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</si>
  <si>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</si>
  <si>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 xml:space="preserve">黄酒; 葡萄酒; 日式甜米酒;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</t>
    </r>
  </si>
  <si>
    <t>勤行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</si>
  <si>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</si>
  <si>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黄酒</t>
    </r>
  </si>
  <si>
    <t>X 6000</t>
  </si>
  <si>
    <r>
      <t>惜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（杭州）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</si>
  <si>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</si>
  <si>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九福祥禾 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因你有趣</t>
    </r>
  </si>
  <si>
    <t>湖南祥禾智能科技有限公司</t>
  </si>
  <si>
    <r>
      <t>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</si>
  <si>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益酩潭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</si>
  <si>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白酒; 果酒（含酒精）; 葡萄酒</t>
    </r>
  </si>
  <si>
    <r>
      <t>清花醉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族</t>
    </r>
  </si>
  <si>
    <t>冯晓</t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</si>
  <si>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</si>
  <si>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</si>
  <si>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黄酒</t>
    </r>
  </si>
  <si>
    <r>
      <t>衔</t>
    </r>
    <r>
      <rPr>
        <sz val="11"/>
        <color theme="1"/>
        <rFont val="ＭＳ Ｐゴシック"/>
        <family val="3"/>
        <charset val="128"/>
        <scheme val="minor"/>
      </rPr>
      <t>杯客</t>
    </r>
  </si>
  <si>
    <r>
      <t>成都抛青春酒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</si>
  <si>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</si>
  <si>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ABRIKON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</si>
  <si>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岛华</t>
    </r>
    <r>
      <rPr>
        <sz val="11"/>
        <color theme="1"/>
        <rFont val="ＭＳ Ｐゴシック"/>
        <family val="3"/>
        <charset val="128"/>
        <scheme val="minor"/>
      </rPr>
      <t>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</si>
  <si>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伏特加酒; 白酒; 梨酒;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</si>
  <si>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谷芝林</t>
  </si>
  <si>
    <r>
      <t>江西谷芝林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</si>
  <si>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</si>
  <si>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虬髯翁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</si>
  <si>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日式甜米酒;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</si>
  <si>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湘佰草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</si>
  <si>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清酒; 开胃酒</t>
    </r>
  </si>
  <si>
    <t>珍半生</t>
  </si>
  <si>
    <t>顾贺贺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</si>
  <si>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</si>
  <si>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荣惠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</si>
  <si>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开胃酒; 白酒; 苹果酒; 餐后酒（利口酒和烈酒）;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</si>
  <si>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宗示台</t>
  </si>
  <si>
    <r>
      <t>周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</si>
  <si>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清酒（日本米酒）</t>
    </r>
  </si>
  <si>
    <t>幸福醉三十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</si>
  <si>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威士忌; 米酒; 白酒</t>
    </r>
  </si>
  <si>
    <t>樽凝</t>
  </si>
  <si>
    <r>
      <t>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</si>
  <si>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翰湘子</t>
  </si>
  <si>
    <r>
      <t>双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</si>
  <si>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米酒; 清酒;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</si>
  <si>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篮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34"/>
        <scheme val="minor"/>
      </rPr>
      <t>篮</t>
    </r>
  </si>
  <si>
    <r>
      <t>北京金谷圣泉商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</si>
  <si>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茴香酒（利口酒）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</si>
  <si>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</si>
  <si>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</si>
  <si>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 xml:space="preserve">餐后酒（利口酒和烈酒）;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</t>
    </r>
  </si>
  <si>
    <t>黎本毫</t>
  </si>
  <si>
    <t>王嘉琪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</si>
  <si>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</si>
  <si>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两心依</t>
  </si>
  <si>
    <t>陆伟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</si>
  <si>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</si>
  <si>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王子山熊猫水</t>
  </si>
  <si>
    <t>徐广流******************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</si>
  <si>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</si>
  <si>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蜀坊春 SFC</t>
  </si>
  <si>
    <t>袁波</t>
  </si>
  <si>
    <r>
      <t>开胃酒; 白酒; 米酒;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</si>
  <si>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勋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</si>
  <si>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王前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</si>
  <si>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清酒（日本米酒）;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伏特加酒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</si>
  <si>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亮富山醇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</si>
  <si>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</si>
  <si>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烈酒; 果酒</t>
    </r>
  </si>
  <si>
    <t>UUK &amp; 11</t>
  </si>
  <si>
    <r>
      <t>深圳市巨</t>
    </r>
    <r>
      <rPr>
        <sz val="11"/>
        <color theme="1"/>
        <rFont val="ＭＳ Ｐゴシック"/>
        <family val="3"/>
        <charset val="134"/>
        <scheme val="minor"/>
      </rPr>
      <t>鹭实业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</si>
  <si>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薄荷酒;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</si>
  <si>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筝魂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</si>
  <si>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清酒; 汽酒</t>
    </r>
  </si>
  <si>
    <t>酒</t>
  </si>
  <si>
    <r>
      <t>中茂通（北京）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</si>
  <si>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甜酒;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黄酒; 葡萄酒; 清酒</t>
    </r>
  </si>
  <si>
    <t>关外客</t>
  </si>
  <si>
    <r>
      <t>烈酒; 果酒（含酒精）; 黄酒;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</si>
  <si>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沙十二</t>
    </r>
    <r>
      <rPr>
        <sz val="11"/>
        <color theme="1"/>
        <rFont val="ＭＳ Ｐゴシック"/>
        <family val="3"/>
        <charset val="134"/>
        <scheme val="minor"/>
      </rPr>
      <t>节课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</si>
  <si>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果酒; 白酒; 烈酒;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</si>
  <si>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鹿百膳</t>
  </si>
  <si>
    <r>
      <t>谢</t>
    </r>
    <r>
      <rPr>
        <sz val="11"/>
        <color theme="1"/>
        <rFont val="ＭＳ Ｐゴシック"/>
        <family val="3"/>
        <charset val="128"/>
        <scheme val="minor"/>
      </rPr>
      <t>忠平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</si>
  <si>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米酒;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</si>
  <si>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桂雨金球</t>
  </si>
  <si>
    <r>
      <t>杭州国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中心有限公司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</si>
  <si>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</si>
  <si>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玄朗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</si>
  <si>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市珩瑞商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</si>
  <si>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</si>
  <si>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粹</t>
    </r>
    <r>
      <rPr>
        <sz val="11"/>
        <color theme="1"/>
        <rFont val="ＭＳ Ｐゴシック"/>
        <family val="3"/>
        <charset val="134"/>
        <scheme val="minor"/>
      </rPr>
      <t>谛</t>
    </r>
  </si>
  <si>
    <t>郑艳辉</t>
  </si>
  <si>
    <r>
      <t>开胃酒;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</si>
  <si>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香泉外婆家家</t>
  </si>
  <si>
    <r>
      <t>湖北香泉外婆家家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</si>
  <si>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</t>
    </r>
  </si>
  <si>
    <r>
      <t>泉城</t>
    </r>
    <r>
      <rPr>
        <sz val="11"/>
        <color theme="1"/>
        <rFont val="ＭＳ Ｐゴシック"/>
        <family val="3"/>
        <charset val="134"/>
        <scheme val="minor"/>
      </rPr>
      <t>飞鸿</t>
    </r>
  </si>
  <si>
    <r>
      <t>飞鸿酿</t>
    </r>
    <r>
      <rPr>
        <sz val="11"/>
        <color theme="1"/>
        <rFont val="ＭＳ Ｐゴシック"/>
        <family val="3"/>
        <charset val="128"/>
        <scheme val="minor"/>
      </rPr>
      <t>造（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南）精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</si>
  <si>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汽酒; 开胃酒; 黄酒</t>
    </r>
  </si>
  <si>
    <t>多米阳光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</si>
  <si>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</si>
  <si>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白干酒（中国白酒）;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</si>
  <si>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赐贡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</si>
  <si>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</t>
    </r>
  </si>
  <si>
    <r>
      <t>可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天下</t>
    </r>
  </si>
  <si>
    <t>山西可音科技有限公司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</si>
  <si>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</si>
  <si>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源泉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</si>
  <si>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敬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</si>
  <si>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朗姆酒; 餐后酒（利口酒和烈酒）;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</si>
  <si>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斜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</si>
  <si>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教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</si>
  <si>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葡萄酒; 黄酒; 烈酒</t>
    </r>
  </si>
  <si>
    <r>
      <t>束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 xml:space="preserve"> SIACHI</t>
    </r>
  </si>
  <si>
    <r>
      <t>安清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</si>
  <si>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果酒（含酒精）; 含酒精的气泡水;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</si>
  <si>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庄周牛都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</si>
  <si>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</si>
  <si>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白酒; 清酒; 开胃酒; 薄荷酒</t>
    </r>
  </si>
  <si>
    <t>乐贺</t>
  </si>
  <si>
    <r>
      <t>宿迁芝匠酒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</si>
  <si>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威士忌; 食用酒精; 青稞酒</t>
    </r>
  </si>
  <si>
    <t>仁泰元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</si>
  <si>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</si>
  <si>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</t>
    </r>
  </si>
  <si>
    <t>匠王醉</t>
  </si>
  <si>
    <r>
      <t>匠王台酒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</si>
  <si>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露酒; 青稞酒;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</si>
  <si>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屯</t>
    </r>
    <r>
      <rPr>
        <sz val="11"/>
        <color theme="1"/>
        <rFont val="ＭＳ Ｐゴシック"/>
        <family val="3"/>
        <charset val="134"/>
        <scheme val="minor"/>
      </rPr>
      <t>东头</t>
    </r>
  </si>
  <si>
    <t>刘雷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</si>
  <si>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高粱酒</t>
    </r>
  </si>
  <si>
    <r>
      <t>碧溪垂</t>
    </r>
    <r>
      <rPr>
        <sz val="11"/>
        <color theme="1"/>
        <rFont val="ＭＳ Ｐゴシック"/>
        <family val="3"/>
        <charset val="134"/>
        <scheme val="minor"/>
      </rPr>
      <t>纶</t>
    </r>
  </si>
  <si>
    <r>
      <t>湖北志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</si>
  <si>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</si>
  <si>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</si>
  <si>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友金</t>
    </r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</si>
  <si>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</si>
  <si>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老盖家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</si>
  <si>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</si>
  <si>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歪歪</t>
    </r>
  </si>
  <si>
    <r>
      <t>淮安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</si>
  <si>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</t>
    </r>
  </si>
  <si>
    <t>邯城玖粮</t>
  </si>
  <si>
    <r>
      <t xml:space="preserve">餐后酒（利口酒和烈酒）;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白酒;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</si>
  <si>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AOCYU 奥辰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</si>
  <si>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河南奥辰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</si>
  <si>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利口酒; 蝮蛇酒</t>
    </r>
  </si>
  <si>
    <t>河畔渡口</t>
  </si>
  <si>
    <r>
      <t>鹰</t>
    </r>
    <r>
      <rPr>
        <sz val="11"/>
        <color theme="1"/>
        <rFont val="ＭＳ Ｐゴシック"/>
        <family val="3"/>
        <charset val="128"/>
        <scheme val="minor"/>
      </rPr>
      <t>潭市月湖区川外楼餐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</si>
  <si>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</t>
    </r>
  </si>
  <si>
    <t>众人壹鑫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</si>
  <si>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众人壹鑫酒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</si>
  <si>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</si>
  <si>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ZHAIABAI</t>
  </si>
  <si>
    <t>周佳韵</t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</si>
  <si>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</si>
  <si>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壮兄弟</t>
  </si>
  <si>
    <r>
      <t>亳州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</si>
  <si>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</si>
  <si>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光荣和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</si>
  <si>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坊好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</si>
  <si>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薄荷酒; 白葡萄酒; 梨酒; 梅酒; 苹果酒;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</t>
    </r>
  </si>
  <si>
    <r>
      <t>汉</t>
    </r>
    <r>
      <rPr>
        <sz val="11"/>
        <color theme="1"/>
        <rFont val="ＭＳ Ｐゴシック"/>
        <family val="3"/>
        <charset val="129"/>
        <scheme val="minor"/>
      </rPr>
      <t>汩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</si>
  <si>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葡萄酒; 白酒;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</si>
  <si>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粮知有</t>
  </si>
  <si>
    <r>
      <t>北京盛通行投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</si>
  <si>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米酒; 黄酒;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</si>
  <si>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驼</t>
    </r>
    <r>
      <rPr>
        <sz val="11"/>
        <color theme="1"/>
        <rFont val="ＭＳ Ｐゴシック"/>
        <family val="3"/>
        <charset val="128"/>
        <scheme val="minor"/>
      </rPr>
      <t>行沙漠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</si>
  <si>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昇企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</si>
  <si>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黄酒; 葡萄酒</t>
    </r>
  </si>
  <si>
    <t>梵云若水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</si>
  <si>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骨畜牧养殖有限公司</t>
    </r>
  </si>
  <si>
    <r>
      <t xml:space="preserve">汽酒; 黄酒; 白酒;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</si>
  <si>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LAWRENCEBAY</t>
  </si>
  <si>
    <r>
      <t>深圳市裕孚供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</si>
  <si>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葡萄酒;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</si>
  <si>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一千座山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</si>
  <si>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</si>
  <si>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t>陶氏程香</t>
  </si>
  <si>
    <t>陶光所</t>
  </si>
  <si>
    <r>
      <t xml:space="preserve">白酒; 含酒精的气泡水; 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</si>
  <si>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常之梦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</si>
  <si>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高邦酒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</si>
  <si>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高粱酒; 果酒; 果酒（含酒精）; 露酒;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</si>
  <si>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此界</t>
  </si>
  <si>
    <r>
      <t>米酒; 果酒;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伏特加酒</t>
    </r>
  </si>
  <si>
    <t>烈寸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</si>
  <si>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白酒; 葡萄酒</t>
    </r>
  </si>
  <si>
    <t>宝南仁</t>
  </si>
  <si>
    <t>章和根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</si>
  <si>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</si>
  <si>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排与排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</si>
  <si>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茴香酒（利口酒）;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</si>
  <si>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香益心</t>
  </si>
  <si>
    <r>
      <t>新</t>
    </r>
    <r>
      <rPr>
        <sz val="11"/>
        <color theme="1"/>
        <rFont val="ＭＳ Ｐゴシック"/>
        <family val="3"/>
        <charset val="134"/>
        <scheme val="minor"/>
      </rPr>
      <t>兴县</t>
    </r>
    <r>
      <rPr>
        <sz val="11"/>
        <color theme="1"/>
        <rFont val="ＭＳ Ｐゴシック"/>
        <family val="3"/>
        <charset val="128"/>
        <scheme val="minor"/>
      </rPr>
      <t>祥聚酒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</si>
  <si>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甜酒; 葡萄酒; 汽酒; 白酒; 蜂蜜酒;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</si>
  <si>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士与君子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</si>
  <si>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威士忌;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</si>
  <si>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震始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</si>
  <si>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震生科技有限公司</t>
    </r>
  </si>
  <si>
    <r>
      <t>黄酒;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</t>
    </r>
  </si>
  <si>
    <r>
      <t>戏</t>
    </r>
    <r>
      <rPr>
        <sz val="11"/>
        <color theme="1"/>
        <rFont val="ＭＳ Ｐゴシック"/>
        <family val="3"/>
        <charset val="128"/>
        <scheme val="minor"/>
      </rPr>
      <t>坡洲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</si>
  <si>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黄酒;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</si>
  <si>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晋瑜酒坊</t>
  </si>
  <si>
    <r>
      <t>山西晋瑜酒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</si>
  <si>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</si>
  <si>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囊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</si>
  <si>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荣</t>
    </r>
  </si>
  <si>
    <t>开胃酒; 葡萄酒; 清酒; 米酒; 黄酒; 白酒; 果酒; 汽酒; 甜酒; 食用酒精</t>
  </si>
  <si>
    <r>
      <t>杯中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土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</si>
  <si>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土（北京）国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</si>
  <si>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</si>
  <si>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侯</t>
    </r>
    <r>
      <rPr>
        <sz val="11"/>
        <color theme="1"/>
        <rFont val="ＭＳ Ｐゴシック"/>
        <family val="3"/>
        <charset val="134"/>
        <scheme val="minor"/>
      </rPr>
      <t>贝营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</si>
  <si>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彰武</t>
    </r>
    <r>
      <rPr>
        <sz val="11"/>
        <color theme="1"/>
        <rFont val="ＭＳ Ｐゴシック"/>
        <family val="3"/>
        <charset val="134"/>
        <scheme val="minor"/>
      </rPr>
      <t>县冯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国祥粮米加工厂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</si>
  <si>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白干酒（中国白酒）</t>
    </r>
  </si>
  <si>
    <t>灵泉溪水</t>
  </si>
  <si>
    <r>
      <t>湖北省薯山行生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</si>
  <si>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开胃酒;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</si>
  <si>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汽酉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</si>
  <si>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酉香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</si>
  <si>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</si>
  <si>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家大哥</t>
    </r>
  </si>
  <si>
    <r>
      <t>山西清徐</t>
    </r>
    <r>
      <rPr>
        <sz val="11"/>
        <color theme="1"/>
        <rFont val="ＭＳ Ｐゴシック"/>
        <family val="3"/>
        <charset val="134"/>
        <scheme val="minor"/>
      </rPr>
      <t>进财</t>
    </r>
    <r>
      <rPr>
        <sz val="11"/>
        <color theme="1"/>
        <rFont val="ＭＳ Ｐゴシック"/>
        <family val="3"/>
        <charset val="128"/>
        <scheme val="minor"/>
      </rPr>
      <t>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</si>
  <si>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白酒;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</si>
  <si>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门结饮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</si>
  <si>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</si>
  <si>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加樽达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</si>
  <si>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台坊生物科技有限公司</t>
    </r>
  </si>
  <si>
    <r>
      <t>白干酒（中国白酒）;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露酒;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</si>
  <si>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乓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29"/>
        <scheme val="minor"/>
      </rPr>
      <t>乓</t>
    </r>
  </si>
  <si>
    <r>
      <t xml:space="preserve">威士忌;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</si>
  <si>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旅發福韵臻香</t>
  </si>
  <si>
    <r>
      <t>福建詹御岩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</si>
  <si>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米酒</t>
    </r>
  </si>
  <si>
    <r>
      <t>能</t>
    </r>
    <r>
      <rPr>
        <sz val="11"/>
        <color theme="1"/>
        <rFont val="ＭＳ Ｐゴシック"/>
        <family val="3"/>
        <charset val="134"/>
        <scheme val="minor"/>
      </rPr>
      <t>玙</t>
    </r>
  </si>
  <si>
    <r>
      <t>陈应</t>
    </r>
    <r>
      <rPr>
        <sz val="11"/>
        <color theme="1"/>
        <rFont val="ＭＳ Ｐゴシック"/>
        <family val="3"/>
        <charset val="128"/>
        <scheme val="minor"/>
      </rPr>
      <t>先******************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</si>
  <si>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</si>
  <si>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能</t>
    </r>
    <r>
      <rPr>
        <sz val="11"/>
        <color theme="1"/>
        <rFont val="ＭＳ Ｐゴシック"/>
        <family val="3"/>
        <charset val="129"/>
        <scheme val="minor"/>
      </rPr>
      <t>喵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</si>
  <si>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窄文</t>
    </r>
    <r>
      <rPr>
        <sz val="11"/>
        <color theme="1"/>
        <rFont val="ＭＳ Ｐゴシック"/>
        <family val="3"/>
        <charset val="134"/>
        <scheme val="minor"/>
      </rPr>
      <t>创产业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</si>
  <si>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蒸煮提取物（利口酒和烈酒）</t>
    </r>
  </si>
  <si>
    <t>浏玺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</si>
  <si>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</t>
    </r>
  </si>
  <si>
    <t>实赢</t>
  </si>
  <si>
    <r>
      <t xml:space="preserve">黄酒; 开胃酒; 清酒（日本米酒）;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</si>
  <si>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眉笑</t>
    </r>
  </si>
  <si>
    <r>
      <t>黄酒; 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</si>
  <si>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GO</t>
  </si>
  <si>
    <r>
      <t>党俊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</si>
  <si>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</si>
  <si>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蔵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</si>
  <si>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</si>
  <si>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</si>
  <si>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民淮小酒</t>
  </si>
  <si>
    <r>
      <t>开胃酒; 白酒;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</si>
  <si>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乒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29"/>
        <scheme val="minor"/>
      </rPr>
      <t>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</si>
  <si>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茴香酒（利口酒）;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</si>
  <si>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宅阿白</t>
  </si>
  <si>
    <r>
      <t xml:space="preserve">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</si>
  <si>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</si>
  <si>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新疆众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体育文化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</si>
  <si>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米酒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</si>
  <si>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富旺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</si>
  <si>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镇财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</si>
  <si>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烈酒</t>
  </si>
  <si>
    <r>
      <t>沈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九老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</si>
  <si>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盐县</t>
    </r>
    <r>
      <rPr>
        <sz val="11"/>
        <color theme="1"/>
        <rFont val="ＭＳ Ｐゴシック"/>
        <family val="3"/>
        <charset val="128"/>
        <scheme val="minor"/>
      </rPr>
      <t>沈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</si>
  <si>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汽酒;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</si>
  <si>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翠源金爵</t>
  </si>
  <si>
    <t>蒋俊</t>
  </si>
  <si>
    <r>
      <t>果酒（含酒精）;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高粱酒; 米酒</t>
    </r>
  </si>
  <si>
    <t>粗台</t>
  </si>
  <si>
    <r>
      <t>马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</si>
  <si>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黄酒; 青稞酒; 白酒; 白干酒（中国白酒）;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</si>
  <si>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云上朋友 CLOUD FRIEND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</si>
  <si>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西云上朋友网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</si>
  <si>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清酒; 葡萄酒; 白酒;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</si>
  <si>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至樽炫赫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</si>
  <si>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美河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</si>
  <si>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葡萄酒; 黄酒</t>
    </r>
  </si>
  <si>
    <t>今剪 HAIRCUT TODAY</t>
  </si>
  <si>
    <r>
      <t>深圳今剪科技（集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</si>
  <si>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咖啡利口酒;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含酒精的气泡水; 烈酒</t>
    </r>
  </si>
  <si>
    <t>JEFF&amp;JENNIFER</t>
  </si>
  <si>
    <r>
      <t>恩聿（北京）文化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</si>
  <si>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</si>
  <si>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</si>
  <si>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果酒（含酒精）; 黄酒;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</si>
  <si>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姥佰娘</t>
  </si>
  <si>
    <r>
      <t>洪志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</si>
  <si>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高粱酒;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梅酒; 白酒;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</si>
  <si>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米烈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</si>
  <si>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</si>
  <si>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竹园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氏</t>
    </r>
  </si>
  <si>
    <t>李路娜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</si>
  <si>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甜果酒;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清酒; 葡萄酒; 汽酒; 果酒（含酒精）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</si>
  <si>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顺凤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</si>
  <si>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科宋酒店管理有限公司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</si>
  <si>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</si>
  <si>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斟佬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</si>
  <si>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昌市魏都区酷寒百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</si>
  <si>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</si>
  <si>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王令天下</t>
  </si>
  <si>
    <r>
      <t>北京王茅匠心酒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</si>
  <si>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露酒;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青稞酒; 黄酒; 梨酒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</si>
  <si>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天坑</t>
    </r>
  </si>
  <si>
    <t>广西壮妮健康食品有限公司</t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</si>
  <si>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蜂蜜酒; 米酒;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</si>
  <si>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DEER HOPE</t>
  </si>
  <si>
    <t>杭州星和生物工程有限公司</t>
  </si>
  <si>
    <r>
      <t>薄荷酒;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</si>
  <si>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旌乾浩</t>
  </si>
  <si>
    <r>
      <t>四川旌乾浩餐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</si>
  <si>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葡萄酒; 蜂蜜酒;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</si>
  <si>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亨通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</si>
  <si>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坤公司</t>
    </r>
  </si>
  <si>
    <r>
      <t>白酒; 米酒; 葡萄酒; 果酒;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甜酒; 威士忌; 烈酒</t>
    </r>
  </si>
  <si>
    <t>共喜年</t>
  </si>
  <si>
    <r>
      <t>果酒（含酒精）; 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</si>
  <si>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仑庆</t>
    </r>
    <r>
      <rPr>
        <sz val="11"/>
        <color theme="1"/>
        <rFont val="ＭＳ Ｐゴシック"/>
        <family val="3"/>
        <charset val="128"/>
        <scheme val="minor"/>
      </rPr>
      <t>觥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</si>
  <si>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</si>
  <si>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高粱酒; 黄酒; 米酒; 梅酒</t>
    </r>
  </si>
  <si>
    <r>
      <t>扣</t>
    </r>
    <r>
      <rPr>
        <sz val="11"/>
        <color theme="1"/>
        <rFont val="ＭＳ Ｐゴシック"/>
        <family val="3"/>
        <charset val="134"/>
        <scheme val="minor"/>
      </rPr>
      <t>咔</t>
    </r>
  </si>
  <si>
    <r>
      <t>北京略知互</t>
    </r>
    <r>
      <rPr>
        <sz val="11"/>
        <color theme="1"/>
        <rFont val="ＭＳ Ｐゴシック"/>
        <family val="3"/>
        <charset val="134"/>
        <scheme val="minor"/>
      </rPr>
      <t>动营销顾问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</si>
  <si>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含酒精的气泡水;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</si>
  <si>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WM</t>
  </si>
  <si>
    <r>
      <t>沃土世界（四川）生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</si>
  <si>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</si>
  <si>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悟愁</t>
  </si>
  <si>
    <t>刘俊俊</t>
  </si>
  <si>
    <r>
      <t>烈酒; 汽酒; 葡萄酒; 清酒（日本米酒）; 果酒（含酒精）; 威士忌;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</si>
  <si>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肯富</t>
  </si>
  <si>
    <t>黄川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</si>
  <si>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烈酒;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</si>
  <si>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耘天下</t>
    </r>
  </si>
  <si>
    <r>
      <t>北京裕昌健商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</si>
  <si>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白酒; 果酒（含酒精）; 开胃酒; 蜂蜜酒;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</si>
  <si>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规</t>
    </r>
    <r>
      <rPr>
        <sz val="11"/>
        <color theme="1"/>
        <rFont val="ＭＳ Ｐゴシック"/>
        <family val="3"/>
        <charset val="128"/>
        <scheme val="minor"/>
      </rPr>
      <t>矩的老</t>
    </r>
    <r>
      <rPr>
        <sz val="11"/>
        <color theme="1"/>
        <rFont val="ＭＳ Ｐゴシック"/>
        <family val="3"/>
        <charset val="134"/>
        <scheme val="minor"/>
      </rPr>
      <t>马</t>
    </r>
  </si>
  <si>
    <t>马伟刚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</si>
  <si>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</si>
  <si>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春秋元气</t>
  </si>
  <si>
    <t>王童功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</si>
  <si>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黄酒; 米酒; 开胃酒; 高粱酒; 果酒（含酒精）</t>
    </r>
  </si>
  <si>
    <r>
      <t>天医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</si>
  <si>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佛山市天医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</si>
  <si>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</si>
  <si>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阿姆利塔</t>
  </si>
  <si>
    <t>四川阿姆利塔生物科技有限公司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</si>
  <si>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开胃酒; 烈酒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</si>
  <si>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生生</t>
    </r>
  </si>
  <si>
    <r>
      <t>伊春市林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生生科技有限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</si>
  <si>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</si>
  <si>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至界大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</si>
  <si>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上海六力文化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</si>
  <si>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</t>
    </r>
  </si>
  <si>
    <t>FUACI</t>
  </si>
  <si>
    <t>刘海文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</si>
  <si>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</si>
  <si>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沐兮芝</t>
  </si>
  <si>
    <t>彭梦敏</t>
  </si>
  <si>
    <r>
      <t>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果酒（含酒精）; 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</t>
    </r>
  </si>
  <si>
    <t>尨耘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</si>
  <si>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蜂蜜酒; 葡萄酒; 米酒; 开胃酒; 利口酒</t>
    </r>
  </si>
  <si>
    <t>KPN</t>
  </si>
  <si>
    <r>
      <t>河南寰中网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</si>
  <si>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</si>
  <si>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食研椿匠心</t>
  </si>
  <si>
    <r>
      <t>四川省食品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酵工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研究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院有限公司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</si>
  <si>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葡萄酒; 苹果酒;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</si>
  <si>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道木熙</t>
  </si>
  <si>
    <r>
      <t>江西道木熙文化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</si>
  <si>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黄酒; 果酒;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</si>
  <si>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探</t>
    </r>
    <r>
      <rPr>
        <sz val="11"/>
        <color theme="1"/>
        <rFont val="ＭＳ Ｐゴシック"/>
        <family val="3"/>
        <charset val="134"/>
        <scheme val="minor"/>
      </rPr>
      <t>寻风</t>
    </r>
    <r>
      <rPr>
        <sz val="11"/>
        <color theme="1"/>
        <rFont val="ＭＳ Ｐゴシック"/>
        <family val="3"/>
        <charset val="128"/>
        <scheme val="minor"/>
      </rPr>
      <t>味社</t>
    </r>
  </si>
  <si>
    <r>
      <t>上海蔚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迅通国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</si>
  <si>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威士忌; 利口酒; 果酒;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</si>
  <si>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赤瑯台</t>
  </si>
  <si>
    <r>
      <t>鼎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鑫(上海)企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(有限合伙)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</si>
  <si>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白干酒（中国白酒）;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</si>
  <si>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</si>
  <si>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任浩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</si>
  <si>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黄酒; 葡萄酒</t>
    </r>
  </si>
  <si>
    <r>
      <t>金北小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</si>
  <si>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t>保定京州白酒制造有限公司</t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</si>
  <si>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</si>
  <si>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r>
      <t>醉圣</t>
    </r>
    <r>
      <rPr>
        <sz val="11"/>
        <color theme="1"/>
        <rFont val="ＭＳ Ｐゴシック"/>
        <family val="3"/>
        <charset val="129"/>
        <scheme val="minor"/>
      </rPr>
      <t>愘</t>
    </r>
  </si>
  <si>
    <r>
      <t>南京天景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</si>
  <si>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餐后酒（利口酒和烈酒）;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果酒（含酒精）</t>
    </r>
  </si>
  <si>
    <t>三晋辰伊坊</t>
  </si>
  <si>
    <t>山西辰伊食品有限公司</t>
  </si>
  <si>
    <r>
      <t xml:space="preserve">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苹果酒; 食用酒精; 果酒（含酒精）; 米酒; 黄酒; 白酒</t>
    </r>
  </si>
  <si>
    <t>汉师爷</t>
  </si>
  <si>
    <r>
      <t>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葡萄酒; 威士忌; 清酒（日本米酒）</t>
    </r>
  </si>
  <si>
    <t>无痕草原</t>
  </si>
  <si>
    <r>
      <t>内蒙古无痕山林供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</si>
  <si>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</si>
  <si>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MORIICHI</t>
  </si>
  <si>
    <r>
      <t>十二堂(深圳)商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</si>
  <si>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</si>
  <si>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和天濉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</si>
  <si>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甜酒; 米酒;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</si>
  <si>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酉漫</t>
  </si>
  <si>
    <t>袁雪峰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</si>
  <si>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</si>
  <si>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悟空</t>
    </r>
  </si>
  <si>
    <t>胡杰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</si>
  <si>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</si>
  <si>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草本</t>
    </r>
    <r>
      <rPr>
        <sz val="11"/>
        <color theme="1"/>
        <rFont val="ＭＳ Ｐゴシック"/>
        <family val="3"/>
        <charset val="134"/>
        <scheme val="minor"/>
      </rPr>
      <t>烨</t>
    </r>
  </si>
  <si>
    <t>胡瑞兵</t>
  </si>
  <si>
    <r>
      <t>米酒;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</t>
    </r>
  </si>
  <si>
    <t>九儿九千金</t>
  </si>
  <si>
    <r>
      <t>张</t>
    </r>
    <r>
      <rPr>
        <sz val="11"/>
        <color theme="1"/>
        <rFont val="ＭＳ Ｐゴシック"/>
        <family val="3"/>
        <charset val="128"/>
        <scheme val="minor"/>
      </rPr>
      <t>忠国</t>
    </r>
  </si>
  <si>
    <r>
      <t>白酒; 威士忌;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青梅酒; 米酒; 餐后酒（利口酒和烈酒）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</si>
  <si>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</si>
  <si>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</si>
  <si>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葡萄酒; 开胃酒;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</si>
  <si>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蒙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</si>
  <si>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梁金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</si>
  <si>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</si>
  <si>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打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</si>
  <si>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艺农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</si>
  <si>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葡萄酒; 米酒; 清酒（日本米酒）</t>
    </r>
  </si>
  <si>
    <t>世岸</t>
  </si>
  <si>
    <r>
      <t>张</t>
    </r>
    <r>
      <rPr>
        <sz val="11"/>
        <color theme="1"/>
        <rFont val="ＭＳ Ｐゴシック"/>
        <family val="3"/>
        <charset val="128"/>
        <scheme val="minor"/>
      </rPr>
      <t>慧萍</t>
    </r>
  </si>
  <si>
    <r>
      <t>黄酒;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利口酒; 白酒</t>
    </r>
  </si>
  <si>
    <t>江小雪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</si>
  <si>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</si>
  <si>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义垦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</si>
  <si>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江八一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</si>
  <si>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含酒精的气泡水;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</si>
  <si>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昆帝利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</si>
  <si>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州君天下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</si>
  <si>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葡萄酒; 威士忌; 草莓酒;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</si>
  <si>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QUINTILIE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</si>
  <si>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草莓酒;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</si>
  <si>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希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的花园</t>
    </r>
  </si>
  <si>
    <r>
      <t>法国路西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的花园集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香港有限公司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</si>
  <si>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</si>
  <si>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晋香德</t>
  </si>
  <si>
    <t>汾阳市汾曲香大曲有限公司</t>
  </si>
  <si>
    <r>
      <t>开胃酒; 蜂蜜酒;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食用酒精; 果酒;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</si>
  <si>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</si>
  <si>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</si>
  <si>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苹果酒; 草莓酒;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薄荷酒;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甜酒; 果酒; 白酒; 果酒（含酒精）; 汽酒; 蜂蜜酒</t>
    </r>
  </si>
  <si>
    <r>
      <t>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</si>
  <si>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</si>
  <si>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丰溪井</t>
  </si>
  <si>
    <r>
      <t>德阳市旌阳区天茂工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气体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</si>
  <si>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开胃酒</t>
    </r>
  </si>
  <si>
    <t>FUBONNE</t>
  </si>
  <si>
    <r>
      <t>杭州就得拌商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</si>
  <si>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蜂蜜酒;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</si>
  <si>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福 云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</si>
  <si>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云南雲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福物流有限公司</t>
    </r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</si>
  <si>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</si>
  <si>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杏林三通堂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</si>
  <si>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</si>
  <si>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缑</t>
    </r>
    <r>
      <rPr>
        <sz val="11"/>
        <color theme="1"/>
        <rFont val="ＭＳ Ｐゴシック"/>
        <family val="3"/>
        <charset val="128"/>
        <scheme val="minor"/>
      </rPr>
      <t>城万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</si>
  <si>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宁波健民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</si>
  <si>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起泡白葡萄酒; 黄酒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</si>
  <si>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略者</t>
    </r>
  </si>
  <si>
    <r>
      <t xml:space="preserve">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露酒</t>
    </r>
  </si>
  <si>
    <t>久宴中</t>
  </si>
  <si>
    <r>
      <t>天津富勒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安科技有限公司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</si>
  <si>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高粱酒;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</t>
    </r>
  </si>
  <si>
    <r>
      <t>慈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</si>
  <si>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慈溪市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民合作</t>
    </r>
    <r>
      <rPr>
        <sz val="11"/>
        <color theme="1"/>
        <rFont val="ＭＳ Ｐゴシック"/>
        <family val="3"/>
        <charset val="134"/>
        <scheme val="minor"/>
      </rPr>
      <t>经济组织联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</si>
  <si>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>葡萄酒; 果酒（含酒精）;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</si>
  <si>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万桂泉</t>
  </si>
  <si>
    <r>
      <t>广西青宸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</si>
  <si>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开胃酒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</si>
  <si>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羹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</si>
  <si>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</si>
  <si>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</si>
  <si>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SOUNDSOX</t>
  </si>
  <si>
    <t>曾小波</t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</si>
  <si>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</si>
  <si>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</si>
  <si>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其秀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</si>
  <si>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米酒; 白酒; 开胃酒; 高粱酒; 果酒（含酒精）; 青稞酒</t>
    </r>
  </si>
  <si>
    <t>豫三盛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</si>
  <si>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昌玖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</si>
  <si>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清酒（日本米酒）; 梅酒; 黄酒; 开胃酒; 果酒（含酒精）; 葡萄酒; 白酒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</si>
  <si>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小七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</si>
  <si>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小七文化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</si>
  <si>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</t>
    </r>
  </si>
  <si>
    <r>
      <t>显</t>
    </r>
    <r>
      <rPr>
        <sz val="11"/>
        <color theme="1"/>
        <rFont val="ＭＳ Ｐゴシック"/>
        <family val="3"/>
        <charset val="128"/>
        <scheme val="minor"/>
      </rPr>
      <t>金岭</t>
    </r>
  </si>
  <si>
    <r>
      <t>江西省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金岭仙泉食品有限公司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</si>
  <si>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果酒（含酒精）; 威士忌;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</si>
  <si>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</si>
  <si>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</si>
  <si>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威士忌; 米酒; 葡萄酒</t>
    </r>
  </si>
  <si>
    <t>MYSTIC 0WL</t>
  </si>
  <si>
    <t>李氏葡萄园</t>
  </si>
  <si>
    <r>
      <t>葡萄汽酒; 果酒（含酒精）; 葡萄酒; 白葡萄酒;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</si>
  <si>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傲酣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</si>
  <si>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</si>
  <si>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话传</t>
    </r>
  </si>
  <si>
    <r>
      <t>深圳市煜辰网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</si>
  <si>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</si>
  <si>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问莺</t>
  </si>
  <si>
    <r>
      <t>米酒; 露酒; 清酒; 水果汽酒; 果酒; 威士忌; 黄酒;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</si>
  <si>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辞</t>
    </r>
  </si>
  <si>
    <t>田会朋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</si>
  <si>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</si>
  <si>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迁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</si>
  <si>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谜</t>
    </r>
    <r>
      <rPr>
        <sz val="11"/>
        <color theme="1"/>
        <rFont val="ＭＳ Ｐゴシック"/>
        <family val="3"/>
        <charset val="128"/>
        <scheme val="minor"/>
      </rPr>
      <t>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</si>
  <si>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</si>
  <si>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京箭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</si>
  <si>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</si>
  <si>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</si>
  <si>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宝</t>
    </r>
  </si>
  <si>
    <t>江西倍得力生物工程有限公司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</si>
  <si>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果酒（含酒精）;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</si>
  <si>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共福丰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</si>
  <si>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露酒; 葡萄酒; 白酒</t>
    </r>
  </si>
  <si>
    <t>徽太狼</t>
  </si>
  <si>
    <t>李健康</t>
  </si>
  <si>
    <r>
      <t>黄酒; 米酒;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</si>
  <si>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九儿千金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</si>
  <si>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白酒; 白干酒（中国白酒）;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</t>
    </r>
  </si>
  <si>
    <t>WHISPERING</t>
  </si>
  <si>
    <r>
      <t>葡萄酒; 白葡萄酒; 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不起泡葡萄酒</t>
    </r>
  </si>
  <si>
    <r>
      <t>二零三零</t>
    </r>
    <r>
      <rPr>
        <sz val="11"/>
        <color theme="1"/>
        <rFont val="ＭＳ Ｐゴシック"/>
        <family val="3"/>
        <charset val="134"/>
        <scheme val="minor"/>
      </rPr>
      <t>鲜鲜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</si>
  <si>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市宸御餐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</si>
  <si>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汽酒; 白酒; 高粱酒; 甘蔗制烈酒; 清酒; 黄酒; 利口酒; 酸酒（低等葡萄酒）; 蜂蜜酒; 果酒（含酒精）</t>
  </si>
  <si>
    <r>
      <t>京盛泰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</si>
  <si>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北京京盛泰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</si>
  <si>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</si>
  <si>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嘎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之路</t>
    </r>
  </si>
  <si>
    <r>
      <t>杨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</si>
  <si>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含酒精蛋奶酒; 茴香酒（利口酒）; 开胃酒; 黄酒</t>
    </r>
  </si>
  <si>
    <t>唐宴序</t>
  </si>
  <si>
    <t>肖林</t>
  </si>
  <si>
    <r>
      <t>清酒（日本米酒）; 梅酒; 威士忌;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</si>
  <si>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戈莉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</si>
  <si>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</si>
  <si>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</si>
  <si>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票城堡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</si>
  <si>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</si>
  <si>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露酒; 米酒; 果酒; 烈性干酒;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</si>
  <si>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王家密春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</si>
  <si>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王启洪酒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</si>
  <si>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</si>
  <si>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豫士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</si>
  <si>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开胃酒;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</si>
  <si>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本吟坊</t>
  </si>
  <si>
    <r>
      <t>米酒; 清酒; 青梅酒; 露酒; 梅酒;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水果汽酒; 白酒</t>
    </r>
  </si>
  <si>
    <t>荣伊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</si>
  <si>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贝酱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</si>
  <si>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清酒（日本米酒）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</si>
  <si>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煦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</si>
  <si>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飞绪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</si>
  <si>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</si>
  <si>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君享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</si>
  <si>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</si>
  <si>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青稞酒;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</si>
  <si>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昳</t>
  </si>
  <si>
    <r>
      <t>唐海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</si>
  <si>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</si>
  <si>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湰</t>
    </r>
    <r>
      <rPr>
        <sz val="11"/>
        <color theme="1"/>
        <rFont val="ＭＳ Ｐゴシック"/>
        <family val="3"/>
        <charset val="128"/>
        <scheme val="minor"/>
      </rPr>
      <t>耘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</si>
  <si>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蜂蜜酒; 利口酒;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</t>
    </r>
  </si>
  <si>
    <t>此解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</si>
  <si>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清酒（日本米酒）; 葡萄酒; 果酒（含酒精）; 白酒; 汽酒; 米酒</t>
    </r>
  </si>
  <si>
    <t>解是</t>
  </si>
  <si>
    <r>
      <t>李</t>
    </r>
    <r>
      <rPr>
        <sz val="11"/>
        <color theme="1"/>
        <rFont val="ＭＳ Ｐゴシック"/>
        <family val="3"/>
        <charset val="134"/>
        <scheme val="minor"/>
      </rPr>
      <t>帅辉</t>
    </r>
  </si>
  <si>
    <r>
      <t>汽酒; 烈酒;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</si>
  <si>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鸢</t>
    </r>
    <r>
      <rPr>
        <sz val="11"/>
        <color theme="1"/>
        <rFont val="ＭＳ Ｐゴシック"/>
        <family val="3"/>
        <charset val="128"/>
        <scheme val="minor"/>
      </rPr>
      <t>府宴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</si>
  <si>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花田溪酒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</si>
  <si>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蜂蜜酒; 烈酒;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</si>
  <si>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钤</t>
    </r>
    <r>
      <rPr>
        <sz val="11"/>
        <color theme="1"/>
        <rFont val="ＭＳ Ｐゴシック"/>
        <family val="3"/>
        <charset val="128"/>
        <scheme val="minor"/>
      </rPr>
      <t>氏大福林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</si>
  <si>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市大福林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</si>
  <si>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</si>
  <si>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亮民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</si>
  <si>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果酒; 烈酒; 白酒; 高粱酒; 开胃酒; 葡萄酒; 米酒; 黄酒</t>
    </r>
  </si>
  <si>
    <r>
      <t>落霞和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</si>
  <si>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</si>
  <si>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瓮中客</t>
  </si>
  <si>
    <t>徐方超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</si>
  <si>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白酒</t>
    </r>
  </si>
  <si>
    <t>君照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</si>
  <si>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通物流有限公司</t>
    </r>
  </si>
  <si>
    <r>
      <t>果酒（含酒精）;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黄酒</t>
    </r>
  </si>
  <si>
    <r>
      <t>龙坛</t>
    </r>
    <r>
      <rPr>
        <sz val="11"/>
        <color theme="1"/>
        <rFont val="ＭＳ Ｐゴシック"/>
        <family val="3"/>
        <charset val="128"/>
        <scheme val="minor"/>
      </rPr>
      <t>主.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</si>
  <si>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州大国古将</t>
    </r>
    <r>
      <rPr>
        <sz val="11"/>
        <color theme="1"/>
        <rFont val="ＭＳ Ｐゴシック"/>
        <family val="3"/>
        <charset val="134"/>
        <scheme val="minor"/>
      </rPr>
      <t>龙坛</t>
    </r>
    <r>
      <rPr>
        <sz val="11"/>
        <color theme="1"/>
        <rFont val="ＭＳ Ｐゴシック"/>
        <family val="3"/>
        <charset val="128"/>
        <scheme val="minor"/>
      </rPr>
      <t>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</si>
  <si>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汽酒; 伏特加酒; 米酒; 清酒（日本米酒）; 朗姆酒; 葡萄酒</t>
    </r>
  </si>
  <si>
    <r>
      <t>采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</si>
  <si>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深圳侠客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</si>
  <si>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</si>
  <si>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贯</t>
    </r>
  </si>
  <si>
    <r>
      <t>宜春市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元气健康科技有限公司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</si>
  <si>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</si>
  <si>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蒙帝</t>
    </r>
  </si>
  <si>
    <r>
      <t>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葡萄酒; 果酒（含酒精）</t>
    </r>
  </si>
  <si>
    <r>
      <t>食研椿匠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</si>
  <si>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梨酒;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</si>
  <si>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黔酺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</si>
  <si>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</si>
  <si>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鹤衔</t>
    </r>
    <r>
      <rPr>
        <sz val="11"/>
        <color theme="1"/>
        <rFont val="ＭＳ Ｐゴシック"/>
        <family val="3"/>
        <charset val="128"/>
        <scheme val="minor"/>
      </rPr>
      <t>草</t>
    </r>
  </si>
  <si>
    <r>
      <t>董宝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</si>
  <si>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果酒（含酒精）; 葡萄酒;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</si>
  <si>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南粤高明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</si>
  <si>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佛山市高明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</si>
  <si>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酸酒（低等葡萄酒）</t>
    </r>
  </si>
  <si>
    <t>阿囡姑娘</t>
  </si>
  <si>
    <r>
      <t>杭州奥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</si>
  <si>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t>开腠</t>
  </si>
  <si>
    <t>袁从奎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</si>
  <si>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</si>
  <si>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予酒</t>
    </r>
  </si>
  <si>
    <r>
      <t>安徽醉伶韵酒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</si>
  <si>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</si>
  <si>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吴家街老城关</t>
  </si>
  <si>
    <r>
      <t>河北慢食文化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</si>
  <si>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果酒; 米酒;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</si>
  <si>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t>臻宗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</si>
  <si>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</si>
  <si>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景</t>
    </r>
  </si>
  <si>
    <r>
      <t>四川九星</t>
    </r>
    <r>
      <rPr>
        <sz val="11"/>
        <color theme="1"/>
        <rFont val="ＭＳ Ｐゴシック"/>
        <family val="3"/>
        <charset val="134"/>
        <scheme val="minor"/>
      </rPr>
      <t>龙莲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</si>
  <si>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露酒;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梨酒; 青稞酒; 葡萄酒</t>
    </r>
  </si>
  <si>
    <r>
      <t>阁</t>
    </r>
    <r>
      <rPr>
        <sz val="11"/>
        <color theme="1"/>
        <rFont val="ＭＳ Ｐゴシック"/>
        <family val="3"/>
        <charset val="128"/>
        <scheme val="minor"/>
      </rPr>
      <t>香坊</t>
    </r>
  </si>
  <si>
    <r>
      <t xml:space="preserve">餐后酒（利口酒和烈酒）; 开胃酒;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米酒;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</si>
  <si>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月亮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</si>
  <si>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</si>
  <si>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</si>
  <si>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辞</t>
    </r>
  </si>
  <si>
    <t>于世宏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</si>
  <si>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</si>
  <si>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都</t>
    </r>
  </si>
  <si>
    <t>史国宁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</si>
  <si>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</si>
  <si>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纸</t>
    </r>
  </si>
  <si>
    <r>
      <t>深圳深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</si>
  <si>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</si>
  <si>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松之畔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</si>
  <si>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</si>
  <si>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喜悦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</si>
  <si>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白酒; 开胃酒;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米酒</t>
    </r>
  </si>
  <si>
    <t>米开源</t>
  </si>
  <si>
    <r>
      <t>呼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和食品有限公司</t>
    </r>
  </si>
  <si>
    <r>
      <t>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</si>
  <si>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清溪渊</t>
  </si>
  <si>
    <t>楼桂明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</si>
  <si>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</si>
  <si>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相庄豆味煌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</si>
  <si>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州市相庄人家食品制造有限公司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</si>
  <si>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</si>
  <si>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州城市学院 SUZHOU CITY UNIVERSITY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</si>
  <si>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州城市学院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</si>
  <si>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</si>
  <si>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板浦吉祥如意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</si>
  <si>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板浦酒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</si>
  <si>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葡萄酒; 汽酒;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</si>
  <si>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可麦</t>
  </si>
  <si>
    <t>广州慕可生物科技有限公司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</si>
  <si>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米酒</t>
    </r>
  </si>
  <si>
    <t>荣夏</t>
  </si>
  <si>
    <r>
      <t>桂平市荣夏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</si>
  <si>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伏特加酒; 米酒; 食用酒精; 果酒; 朗姆酒; 威士忌</t>
    </r>
  </si>
  <si>
    <t>榴苒</t>
  </si>
  <si>
    <r>
      <t>蚌埠市婧苒商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</si>
  <si>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</si>
  <si>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良葶</t>
  </si>
  <si>
    <r>
      <t>海南少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</si>
  <si>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朗姆酒;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苹果酒;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</si>
  <si>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雀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</si>
  <si>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</si>
  <si>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元力</t>
    </r>
  </si>
  <si>
    <r>
      <t>广西玉林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元力商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</si>
  <si>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</si>
  <si>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咏言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</si>
  <si>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白酒; 威士忌</t>
    </r>
  </si>
  <si>
    <t>KEENNESS 千享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</si>
  <si>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</si>
  <si>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</si>
  <si>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硬冠</t>
  </si>
  <si>
    <t>李玉侠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</si>
  <si>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</si>
  <si>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令掌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</si>
  <si>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</si>
  <si>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米酒;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</si>
  <si>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吉老老庄</t>
  </si>
  <si>
    <t>北京糖和糖科技有限公司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</si>
  <si>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食用酒精</t>
    </r>
  </si>
  <si>
    <t>瑶景</t>
  </si>
  <si>
    <r>
      <t>温州市璋川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</si>
  <si>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蜂蜜酒; 黄酒; 果酒（含酒精）; 米酒; 白酒</t>
    </r>
  </si>
  <si>
    <t>鲯鹏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</si>
  <si>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</si>
  <si>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开胃酒; 葡萄酒; 黄酒; 汽酒;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果酒(含酒精); 白酒</t>
    </r>
  </si>
  <si>
    <t>JARDIN DE LUCIA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</si>
  <si>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蜂蜜酒;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</si>
  <si>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白象沙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</si>
  <si>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)生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</si>
  <si>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米酒;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</si>
  <si>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</si>
  <si>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佛山市火火商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</si>
  <si>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高粱酒;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日本梅子酒</t>
    </r>
  </si>
  <si>
    <t>蔚禾宇盛</t>
  </si>
  <si>
    <t>蔚禾宇盛（昌黎）生物科技有限公司</t>
  </si>
  <si>
    <r>
      <t>白酒; 葡萄酒; 米酒; 果酒（含酒精）;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</t>
    </r>
  </si>
  <si>
    <t>九仙志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</si>
  <si>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清酒（日本米酒）; 黄酒; 白酒; 果酒（含酒精）; 葡萄酒; 开胃酒; 威士忌</t>
    </r>
  </si>
  <si>
    <t>四普香</t>
  </si>
  <si>
    <r>
      <t>四普味（深圳）酒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</si>
  <si>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葡萄酒; 米酒; 青稞酒; 黄酒</t>
    </r>
  </si>
  <si>
    <r>
      <t>郑酿龙</t>
    </r>
    <r>
      <rPr>
        <sz val="11"/>
        <color theme="1"/>
        <rFont val="ＭＳ Ｐゴシック"/>
        <family val="3"/>
        <charset val="128"/>
        <scheme val="minor"/>
      </rPr>
      <t>吟青</t>
    </r>
  </si>
  <si>
    <r>
      <t>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</si>
  <si>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小多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</si>
  <si>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米酒; 汽酒; 果酒（含酒精）</t>
    </r>
  </si>
  <si>
    <t>黔王河西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</si>
  <si>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</si>
  <si>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露酒; 黄酒; 高粱酒; 葡萄酒; 白酒</t>
    </r>
  </si>
  <si>
    <t>姚江御茗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</si>
  <si>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榕朴企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</si>
  <si>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</si>
  <si>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悦达</t>
    </r>
  </si>
  <si>
    <r>
      <t>蔡回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</si>
  <si>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日式甜米酒; 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天然汽酒;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</si>
  <si>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桐夜</t>
  </si>
  <si>
    <r>
      <t>桐梓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学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白酒制造坊</t>
    </r>
  </si>
  <si>
    <r>
      <t xml:space="preserve">餐后酒（利口酒和烈酒）;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黄酒; 开胃酒; 葡萄酒; 果酒（含酒精）</t>
    </r>
  </si>
  <si>
    <r>
      <t>真祖</t>
    </r>
    <r>
      <rPr>
        <sz val="11"/>
        <color theme="1"/>
        <rFont val="ＭＳ Ｐゴシック"/>
        <family val="3"/>
        <charset val="134"/>
        <scheme val="minor"/>
      </rPr>
      <t>浆</t>
    </r>
  </si>
  <si>
    <t>王歌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</si>
  <si>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</si>
  <si>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福利送达 五路福达</t>
  </si>
  <si>
    <r>
      <t>北京五路恒通国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</si>
  <si>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青稞酒; 威士忌; 黄酒</t>
    </r>
  </si>
  <si>
    <r>
      <t>阿帕</t>
    </r>
    <r>
      <rPr>
        <sz val="11"/>
        <color theme="1"/>
        <rFont val="ＭＳ Ｐゴシック"/>
        <family val="3"/>
        <charset val="134"/>
        <scheme val="minor"/>
      </rPr>
      <t>兹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</si>
  <si>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思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德品牌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</si>
  <si>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白酒; 果酒（含酒精）; 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</si>
  <si>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平西梁礼</t>
  </si>
  <si>
    <r>
      <t>新疆坤鑫泰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</si>
  <si>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</si>
  <si>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涛圈</t>
  </si>
  <si>
    <r>
      <t>铜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</si>
  <si>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白干酒（中国白酒）; 食用酒精;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</si>
  <si>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JAMIE DANVIS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</si>
  <si>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</si>
  <si>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加烈葡萄酒; 威末酒;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茴香酒; 利口酒; 朗姆酒; 伏特加酒; 威士忌</t>
    </r>
  </si>
  <si>
    <t>邑蜜</t>
  </si>
  <si>
    <r>
      <t>林圣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</si>
  <si>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朗姆酒; 葡萄酒;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</si>
  <si>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天BEBY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</si>
  <si>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蒸煮提取物（利口酒和烈酒）; 高粱酒;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日本梅子酒; 白酒; 果酒（含酒精）</t>
    </r>
  </si>
  <si>
    <r>
      <t>洞肆</t>
    </r>
    <r>
      <rPr>
        <sz val="11"/>
        <color theme="1"/>
        <rFont val="ＭＳ Ｐゴシック"/>
        <family val="3"/>
        <charset val="134"/>
        <scheme val="minor"/>
      </rPr>
      <t>贰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</si>
  <si>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</si>
  <si>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果酒（含酒精）; 葡萄酒; 梨酒;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</t>
    </r>
  </si>
  <si>
    <t>敢粉</t>
  </si>
  <si>
    <r>
      <t>仁和奇域生物科技（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</si>
  <si>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青稞酒; 伏特加酒;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朗姆酒</t>
    </r>
  </si>
  <si>
    <t>周五哥</t>
  </si>
  <si>
    <r>
      <t>宁城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瑞和园种植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</si>
  <si>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</si>
  <si>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四普味</t>
  </si>
  <si>
    <r>
      <t>青稞酒;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</si>
  <si>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湖北君晗科技有限公司</t>
  </si>
  <si>
    <r>
      <t>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</si>
  <si>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荷琉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</si>
  <si>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布瓦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公司</t>
    </r>
  </si>
  <si>
    <t>威士忌; 烈酒</t>
  </si>
  <si>
    <r>
      <t>黔生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</si>
  <si>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市昵莫醉酒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</si>
  <si>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高粱酒;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露酒;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</si>
  <si>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北京中誉科技有限公司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</si>
  <si>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</si>
  <si>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寿先生</t>
  </si>
  <si>
    <t>河南寿先生健康科技有限公司</t>
  </si>
  <si>
    <r>
      <t>白酒; 黄酒; 烈酒; 果酒;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</si>
  <si>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</si>
  <si>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</si>
  <si>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种一造</t>
    </r>
  </si>
  <si>
    <r>
      <t>围龙</t>
    </r>
    <r>
      <rPr>
        <sz val="11"/>
        <color theme="1"/>
        <rFont val="ＭＳ Ｐゴシック"/>
        <family val="3"/>
        <charset val="128"/>
        <scheme val="minor"/>
      </rPr>
      <t>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</si>
  <si>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食用酒精; 葡萄酒; 白酒; 果酒</t>
    </r>
  </si>
  <si>
    <r>
      <t>酒州江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</si>
  <si>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 xml:space="preserve">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</si>
  <si>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巩乃斯布拉克</t>
  </si>
  <si>
    <t>朱斌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</si>
  <si>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</si>
  <si>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唐格里曼大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</si>
  <si>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混合威士忌酒;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威士忌; 伏特加酒; 朗姆酒</t>
    </r>
  </si>
  <si>
    <r>
      <t>忻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</si>
  <si>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忻州市百事恒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</si>
  <si>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露酒;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</si>
  <si>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塘聚</t>
    </r>
  </si>
  <si>
    <t>刘春志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</si>
  <si>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</si>
  <si>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</si>
  <si>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市新雨酒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</si>
  <si>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蒸煮提取物（利口酒和烈酒）;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梅酒;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</si>
  <si>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黔王仁岸</t>
  </si>
  <si>
    <r>
      <t xml:space="preserve">葡萄酒; 露酒;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果酒;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</si>
  <si>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尔飘</t>
    </r>
    <r>
      <rPr>
        <sz val="11"/>
        <color theme="1"/>
        <rFont val="ＭＳ Ｐゴシック"/>
        <family val="3"/>
        <charset val="128"/>
        <scheme val="minor"/>
      </rPr>
      <t>香</t>
    </r>
  </si>
  <si>
    <t>于延海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</si>
  <si>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</si>
  <si>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玉棠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春</t>
    </r>
  </si>
  <si>
    <t>北京沐雨未来科技有限公司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</si>
  <si>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</si>
  <si>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蒙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</si>
  <si>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清酒（日本米酒）;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</si>
  <si>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华鲲</t>
    </r>
    <r>
      <rPr>
        <sz val="11"/>
        <color theme="1"/>
        <rFont val="ＭＳ Ｐゴシック"/>
        <family val="3"/>
        <charset val="128"/>
        <scheme val="minor"/>
      </rPr>
      <t>振宇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</si>
  <si>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</si>
  <si>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京城烟火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</si>
  <si>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</t>
    </r>
  </si>
  <si>
    <t>橙圣</t>
  </si>
  <si>
    <r>
      <t>江西梦来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</si>
  <si>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</si>
  <si>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无极</t>
    </r>
  </si>
  <si>
    <r>
      <t>广州喜悦健康科技研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</si>
  <si>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松叶酒; 梅酒; 刺五加酒;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黑覆盆子酒; 蝮蛇酒; 苦艾酒; 杜松子酒</t>
    </r>
  </si>
  <si>
    <t>房陵粮仙</t>
  </si>
  <si>
    <r>
      <t>房</t>
    </r>
    <r>
      <rPr>
        <sz val="11"/>
        <color theme="1"/>
        <rFont val="ＭＳ Ｐゴシック"/>
        <family val="3"/>
        <charset val="134"/>
        <scheme val="minor"/>
      </rPr>
      <t>县邓</t>
    </r>
    <r>
      <rPr>
        <sz val="11"/>
        <color theme="1"/>
        <rFont val="ＭＳ Ｐゴシック"/>
        <family val="3"/>
        <charset val="128"/>
        <scheme val="minor"/>
      </rPr>
      <t>文杰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</si>
  <si>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</si>
  <si>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偏城寨</t>
  </si>
  <si>
    <r>
      <t>申利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</si>
  <si>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青稞酒;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</t>
    </r>
  </si>
  <si>
    <r>
      <t>仙界匠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</si>
  <si>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匠匠心酒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</si>
  <si>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葡萄酒</t>
    </r>
  </si>
  <si>
    <t>筠食源</t>
  </si>
  <si>
    <r>
      <t>筠</t>
    </r>
    <r>
      <rPr>
        <sz val="11"/>
        <color theme="1"/>
        <rFont val="ＭＳ Ｐゴシック"/>
        <family val="3"/>
        <charset val="134"/>
        <scheme val="minor"/>
      </rPr>
      <t>连县</t>
    </r>
    <r>
      <rPr>
        <sz val="11"/>
        <color theme="1"/>
        <rFont val="ＭＳ Ｐゴシック"/>
        <family val="3"/>
        <charset val="128"/>
        <scheme val="minor"/>
      </rPr>
      <t>碧丰源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</si>
  <si>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食用酒精;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</si>
  <si>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九仕好</t>
  </si>
  <si>
    <r>
      <t>沈阳九仕好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</si>
  <si>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高粱酒; 米酒; 刺五加酒; 清酒; 葡萄酒; 白葡萄酒</t>
    </r>
  </si>
  <si>
    <r>
      <t>浪</t>
    </r>
    <r>
      <rPr>
        <sz val="11"/>
        <color theme="1"/>
        <rFont val="ＭＳ Ｐゴシック"/>
        <family val="3"/>
        <charset val="134"/>
        <scheme val="minor"/>
      </rPr>
      <t>险</t>
    </r>
    <r>
      <rPr>
        <sz val="11"/>
        <color theme="1"/>
        <rFont val="ＭＳ Ｐゴシック"/>
        <family val="3"/>
        <charset val="128"/>
        <scheme val="minor"/>
      </rPr>
      <t>攀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</si>
  <si>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澄海酒厂股份有限公司</t>
    </r>
  </si>
  <si>
    <r>
      <t>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</si>
  <si>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t>芬典</t>
  </si>
  <si>
    <r>
      <t>黄酒; 清酒（日本米酒）;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</si>
  <si>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臻知</t>
  </si>
  <si>
    <r>
      <t xml:space="preserve">烈酒; 高粱酒;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</t>
    </r>
  </si>
  <si>
    <r>
      <t>娜茗</t>
    </r>
    <r>
      <rPr>
        <sz val="11"/>
        <color theme="1"/>
        <rFont val="ＭＳ Ｐゴシック"/>
        <family val="3"/>
        <charset val="134"/>
        <scheme val="minor"/>
      </rPr>
      <t>轩</t>
    </r>
  </si>
  <si>
    <t>周娜</t>
  </si>
  <si>
    <r>
      <t xml:space="preserve">烈酒; 高粱酒; 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</si>
  <si>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南湾叙</t>
  </si>
  <si>
    <r>
      <t>河南茶</t>
    </r>
    <r>
      <rPr>
        <sz val="11"/>
        <color theme="1"/>
        <rFont val="ＭＳ Ｐゴシック"/>
        <family val="3"/>
        <charset val="134"/>
        <scheme val="minor"/>
      </rPr>
      <t>师赞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</si>
  <si>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甜酒; 高粱酒;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果酒; 白酒</t>
    </r>
  </si>
  <si>
    <t>金理益</t>
  </si>
  <si>
    <r>
      <t>贝</t>
    </r>
    <r>
      <rPr>
        <sz val="11"/>
        <color theme="1"/>
        <rFont val="ＭＳ Ｐゴシック"/>
        <family val="3"/>
        <charset val="128"/>
        <scheme val="minor"/>
      </rPr>
      <t>奥供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</si>
  <si>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威士忌; 黄酒;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米酒; 伏特加酒; 果酒（含酒精）; 白酒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</si>
  <si>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积</t>
    </r>
  </si>
  <si>
    <r>
      <t>焦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</si>
  <si>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威士忌; 黄酒; 青稞酒;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</si>
  <si>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黔榜金爵</t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</si>
  <si>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</si>
  <si>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啊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小王子</t>
    </r>
  </si>
  <si>
    <t>四川高原良品食品有限公司</t>
  </si>
  <si>
    <r>
      <t xml:space="preserve">果酒（含酒精）; 清酒（日本米酒）; 黄酒; 汽酒; 米酒; 薄荷酒;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</si>
  <si>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湖十八弯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</si>
  <si>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</si>
  <si>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金隆祥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</si>
  <si>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</si>
  <si>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鸿烧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</si>
  <si>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果酒（含酒精）; 白酒; 露酒; 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</si>
  <si>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黄酒; 露酒; 伏特加酒; 白酒; 果酒（含酒精）;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</si>
  <si>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稼月</t>
  </si>
  <si>
    <r>
      <t>李</t>
    </r>
    <r>
      <rPr>
        <sz val="11"/>
        <color theme="1"/>
        <rFont val="ＭＳ Ｐゴシック"/>
        <family val="3"/>
        <charset val="134"/>
        <scheme val="minor"/>
      </rPr>
      <t>赟</t>
    </r>
  </si>
  <si>
    <r>
      <t xml:space="preserve">甜酒; 加烈葡萄酒; 果酒（含酒精）; 米酒; 葡萄酒; 黄酒;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</si>
  <si>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酿仓满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</si>
  <si>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</si>
  <si>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白酒; 果酒; 食用酒精</t>
    </r>
  </si>
  <si>
    <t>黔水唯鑫</t>
  </si>
  <si>
    <r>
      <t>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</si>
  <si>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殴茂</t>
    </r>
    <r>
      <rPr>
        <sz val="11"/>
        <color theme="1"/>
        <rFont val="ＭＳ Ｐゴシック"/>
        <family val="3"/>
        <charset val="134"/>
        <scheme val="minor"/>
      </rPr>
      <t>凯龙</t>
    </r>
  </si>
  <si>
    <r>
      <t>利口酒; 米酒; 清酒（日本米酒）;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</si>
  <si>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JZAO</t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</si>
  <si>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东叁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拾度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</si>
  <si>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白酒; 葡萄酒</t>
    </r>
  </si>
  <si>
    <t>楠巷</t>
  </si>
  <si>
    <r>
      <t>深圳市楠巷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</si>
  <si>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</si>
  <si>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</si>
  <si>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闪</t>
    </r>
    <r>
      <rPr>
        <sz val="11"/>
        <color theme="1"/>
        <rFont val="ＭＳ Ｐゴシック"/>
        <family val="3"/>
        <charset val="128"/>
        <scheme val="minor"/>
      </rPr>
      <t>知大数据科技有限公司</t>
    </r>
  </si>
  <si>
    <r>
      <t xml:space="preserve">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白酒; 米酒</t>
    </r>
  </si>
  <si>
    <t>固天安</t>
  </si>
  <si>
    <r>
      <t>固安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特里俱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</si>
  <si>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</si>
  <si>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坛东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</si>
  <si>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伏特加酒;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</si>
  <si>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粟余</t>
  </si>
  <si>
    <r>
      <t>浙江杰</t>
    </r>
    <r>
      <rPr>
        <sz val="11"/>
        <color theme="1"/>
        <rFont val="ＭＳ Ｐゴシック"/>
        <family val="3"/>
        <charset val="134"/>
        <scheme val="minor"/>
      </rPr>
      <t>硕阅闻</t>
    </r>
    <r>
      <rPr>
        <sz val="11"/>
        <color theme="1"/>
        <rFont val="ＭＳ Ｐゴシック"/>
        <family val="3"/>
        <charset val="128"/>
        <scheme val="minor"/>
      </rPr>
      <t>建材有限公司</t>
    </r>
  </si>
  <si>
    <r>
      <t>果酒（含酒精）; 黄酒; 开胃酒;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</si>
  <si>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豫湖</t>
  </si>
  <si>
    <r>
      <t>王</t>
    </r>
    <r>
      <rPr>
        <sz val="11"/>
        <color theme="1"/>
        <rFont val="ＭＳ Ｐゴシック"/>
        <family val="3"/>
        <charset val="134"/>
        <scheme val="minor"/>
      </rPr>
      <t>赞赢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</si>
  <si>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</si>
  <si>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中尊</t>
    </r>
  </si>
  <si>
    <r>
      <t>苹果酒; 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</si>
  <si>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兮之恋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</si>
  <si>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英三石健康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</si>
  <si>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</si>
  <si>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年台王子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</si>
  <si>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</si>
  <si>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汀味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</si>
  <si>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博耀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</si>
  <si>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</si>
  <si>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黔王河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</si>
  <si>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清酒（日本米酒）; 高粱酒;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葡萄酒</t>
    </r>
  </si>
  <si>
    <t>后街故事</t>
  </si>
  <si>
    <r>
      <t xml:space="preserve">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白酒; 威士忌; 米酒; 伏特加酒</t>
    </r>
  </si>
  <si>
    <r>
      <t>三江</t>
    </r>
    <r>
      <rPr>
        <sz val="11"/>
        <color theme="1"/>
        <rFont val="ＭＳ Ｐゴシック"/>
        <family val="3"/>
        <charset val="134"/>
        <scheme val="minor"/>
      </rPr>
      <t>龙乡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</si>
  <si>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市新会区三江好物商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</si>
  <si>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白酒; 米酒; 青梅酒;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</si>
  <si>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</si>
  <si>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北京首泰恒丰酒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</si>
  <si>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</si>
  <si>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多米街</t>
  </si>
  <si>
    <r>
      <t>肖海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</si>
  <si>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</t>
    </r>
  </si>
  <si>
    <t>HONELAR</t>
  </si>
  <si>
    <r>
      <t>赵</t>
    </r>
    <r>
      <rPr>
        <sz val="11"/>
        <color theme="1"/>
        <rFont val="ＭＳ Ｐゴシック"/>
        <family val="3"/>
        <charset val="128"/>
        <scheme val="minor"/>
      </rPr>
      <t>俊杰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</si>
  <si>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烈酒; 清酒（日本米酒）; 黄酒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</si>
  <si>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虎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</si>
  <si>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威士忌; 果酒（含酒精）;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</si>
  <si>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交通匠酒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</si>
  <si>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市仲鼎商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</si>
  <si>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果酒;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</si>
  <si>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</si>
  <si>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</si>
  <si>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杏九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</si>
  <si>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果酒（含酒精）;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黄酒; 葡萄酒</t>
    </r>
  </si>
  <si>
    <t>医康源</t>
  </si>
  <si>
    <r>
      <t>杨</t>
    </r>
    <r>
      <rPr>
        <sz val="11"/>
        <color theme="1"/>
        <rFont val="ＭＳ Ｐゴシック"/>
        <family val="3"/>
        <charset val="128"/>
        <scheme val="minor"/>
      </rPr>
      <t>世平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</si>
  <si>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</si>
  <si>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谷仙翁</t>
  </si>
  <si>
    <r>
      <t>闫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</si>
  <si>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</t>
    </r>
  </si>
  <si>
    <r>
      <t>徽米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</si>
  <si>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安徽省徽米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</si>
  <si>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薄荷酒</t>
    </r>
  </si>
  <si>
    <r>
      <t>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</si>
  <si>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山西杏源汾酒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</si>
  <si>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利口酒;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</si>
  <si>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黑精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</si>
  <si>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湖北众友利合商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</si>
  <si>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</si>
  <si>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禧匠弘</t>
  </si>
  <si>
    <r>
      <t xml:space="preserve">黄酒; 清酒（日本米酒）; 米酒;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</si>
  <si>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</si>
  <si>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阜阳市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泉区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州西湖古泉酒厂</t>
    </r>
  </si>
  <si>
    <r>
      <t>果酒（含酒精）; 白酒; 米酒;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高粱酒</t>
    </r>
  </si>
  <si>
    <r>
      <t>周禀恒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心手造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</si>
  <si>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</si>
  <si>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</si>
  <si>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俩</t>
    </r>
    <r>
      <rPr>
        <sz val="11"/>
        <color theme="1"/>
        <rFont val="ＭＳ Ｐゴシック"/>
        <family val="3"/>
        <charset val="128"/>
        <scheme val="minor"/>
      </rPr>
      <t>字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</si>
  <si>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宗宝</t>
    </r>
  </si>
  <si>
    <r>
      <t xml:space="preserve">清酒; 白酒; 果酒;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高粱酒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</si>
  <si>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侬畅</t>
    </r>
  </si>
  <si>
    <r>
      <t>单县</t>
    </r>
    <r>
      <rPr>
        <sz val="11"/>
        <color theme="1"/>
        <rFont val="ＭＳ Ｐゴシック"/>
        <family val="3"/>
        <charset val="128"/>
        <scheme val="minor"/>
      </rPr>
      <t>逍遥生</t>
    </r>
    <r>
      <rPr>
        <sz val="11"/>
        <color theme="1"/>
        <rFont val="ＭＳ Ｐゴシック"/>
        <family val="3"/>
        <charset val="134"/>
        <scheme val="minor"/>
      </rPr>
      <t>态农场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</si>
  <si>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</si>
  <si>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子房</t>
    </r>
    <r>
      <rPr>
        <sz val="11"/>
        <color theme="1"/>
        <rFont val="ＭＳ Ｐゴシック"/>
        <family val="3"/>
        <charset val="134"/>
        <scheme val="minor"/>
      </rPr>
      <t>箫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</si>
  <si>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柏呈文化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</si>
  <si>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果酒（含酒精）; 高粱酒;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</si>
  <si>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ADLTSN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</si>
  <si>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喜芝悦体育有限公司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</si>
  <si>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白酒; 葡萄酒; 朗姆酒; 薄荷酒; 伏特加酒</t>
    </r>
  </si>
  <si>
    <r>
      <t>裕香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</si>
  <si>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 xml:space="preserve">葡萄酒;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</si>
  <si>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裕仁</t>
    </r>
  </si>
  <si>
    <r>
      <t xml:space="preserve">清酒（日本米酒）;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</si>
  <si>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粮翁</t>
    </r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</si>
  <si>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食用酒精;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</si>
  <si>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盈黔樽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</si>
  <si>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湛江市盈樽商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</si>
  <si>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</si>
  <si>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五鼎泉</t>
  </si>
  <si>
    <r>
      <t>鞠香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</si>
  <si>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伏特加酒; 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</si>
  <si>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UGD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</si>
  <si>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米酒; 葡萄酒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</si>
  <si>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纪鸿图</t>
    </r>
  </si>
  <si>
    <t>李世兵</t>
  </si>
  <si>
    <r>
      <t xml:space="preserve">米酒;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</si>
  <si>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零雨 ZERO RAIN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</si>
  <si>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上虞明</t>
    </r>
    <r>
      <rPr>
        <sz val="11"/>
        <color theme="1"/>
        <rFont val="ＭＳ Ｐゴシック"/>
        <family val="3"/>
        <charset val="134"/>
        <scheme val="minor"/>
      </rPr>
      <t>辉伞业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</si>
  <si>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黄酒; 白酒; 果酒; 食用酒精; 清酒; 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</si>
  <si>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坐</t>
    </r>
  </si>
  <si>
    <r>
      <t>刘永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</si>
  <si>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</si>
  <si>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交悦</t>
  </si>
  <si>
    <r>
      <t>上海越交越大酒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</si>
  <si>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</si>
  <si>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翊翌</t>
  </si>
  <si>
    <r>
      <t>秦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</si>
  <si>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黄酒; 白酒; 葡萄酒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</si>
  <si>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恋青春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</si>
  <si>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芈仓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</si>
  <si>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果酒;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</si>
  <si>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樽相知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</si>
  <si>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</si>
  <si>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</si>
  <si>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汽酒; 苹果酒;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</si>
  <si>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奇泉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</si>
  <si>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刘氏（北京）文化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</si>
  <si>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白酒</t>
    </r>
  </si>
  <si>
    <r>
      <t>硬老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</si>
  <si>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辰文化集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</si>
  <si>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</si>
  <si>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白国海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</si>
  <si>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苹果酒; 果酒; 米酒; 黄酒; 梨酒; 烈酒; 葡萄酒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</si>
  <si>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诚战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</si>
  <si>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可特种装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</si>
  <si>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</si>
  <si>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嫡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</si>
  <si>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含酒精的气泡水; 开胃酒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</si>
  <si>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秀名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JINGXIUMINGMENG</t>
    </r>
  </si>
  <si>
    <t>曾志林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</si>
  <si>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</si>
  <si>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九缸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</si>
  <si>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九缸酒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</si>
  <si>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清酒（日本米酒）; 果酒（含酒精）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</si>
  <si>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</si>
  <si>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尚建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</si>
  <si>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黄酒</t>
    </r>
  </si>
  <si>
    <r>
      <t>孟凡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</si>
  <si>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北京中科国茶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科学研究院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</si>
  <si>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黄酒; 果酒</t>
    </r>
  </si>
  <si>
    <t>登月</t>
  </si>
  <si>
    <t>陈进举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</si>
  <si>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食用酒精; 果酒（含酒精）; 葡萄酒; 威士忌; 米酒; 白酒</t>
    </r>
  </si>
  <si>
    <t>荣昌福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</si>
  <si>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</t>
    </r>
  </si>
  <si>
    <r>
      <t>硬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</si>
  <si>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</si>
  <si>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久久壹途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</si>
  <si>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</t>
    </r>
  </si>
  <si>
    <t>久久壹心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</si>
  <si>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薄荷酒; 青稞酒;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</si>
  <si>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品道</t>
    </r>
  </si>
  <si>
    <r>
      <t>安徽皇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</si>
  <si>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蒸煮提取物（利口酒和烈酒）;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</si>
  <si>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喔将 WROJIAMR</t>
  </si>
  <si>
    <t>慕奇霖</t>
  </si>
  <si>
    <r>
      <t xml:space="preserve">清酒（日本米酒）; 威士忌; 米酒;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</si>
  <si>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沂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</si>
  <si>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</si>
  <si>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</si>
  <si>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驰骋</t>
    </r>
  </si>
  <si>
    <r>
      <t>吴忠市振宁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</si>
  <si>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威士忌;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</si>
  <si>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蓟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徕</t>
    </r>
  </si>
  <si>
    <t>林兆桔</t>
  </si>
  <si>
    <r>
      <t xml:space="preserve">葡萄酒; 威士忌;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</si>
  <si>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茗月山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</si>
  <si>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温州山野集酒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</si>
  <si>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</si>
  <si>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ETBLU</t>
  </si>
  <si>
    <r>
      <t xml:space="preserve">黄酒; 白酒;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</si>
  <si>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红鹤</t>
    </r>
    <r>
      <rPr>
        <sz val="11"/>
        <color theme="1"/>
        <rFont val="ＭＳ Ｐゴシック"/>
        <family val="3"/>
        <charset val="128"/>
        <scheme val="minor"/>
      </rPr>
      <t>楼</t>
    </r>
  </si>
  <si>
    <t>孙诚</t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</si>
  <si>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开胃酒; 食用酒精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</si>
  <si>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神川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</si>
  <si>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沙葡提科技信息有限公司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</si>
  <si>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</si>
  <si>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九知泉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</si>
  <si>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南百世泉酒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</si>
  <si>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蒸煮提取物（利口酒和烈酒）; 烈酒</t>
    </r>
  </si>
  <si>
    <r>
      <t>谨</t>
    </r>
    <r>
      <rPr>
        <sz val="11"/>
        <color theme="1"/>
        <rFont val="ＭＳ Ｐゴシック"/>
        <family val="3"/>
        <charset val="128"/>
        <scheme val="minor"/>
      </rPr>
      <t>中酒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</si>
  <si>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</si>
  <si>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开胃酒</t>
    </r>
  </si>
  <si>
    <r>
      <t>漫</t>
    </r>
    <r>
      <rPr>
        <sz val="11"/>
        <color theme="1"/>
        <rFont val="ＭＳ Ｐゴシック"/>
        <family val="3"/>
        <charset val="134"/>
        <scheme val="minor"/>
      </rPr>
      <t>闻</t>
    </r>
  </si>
  <si>
    <r>
      <t>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果酒; 白酒</t>
    </r>
  </si>
  <si>
    <r>
      <t>李渡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</si>
  <si>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果酒（含酒精）</t>
    </r>
  </si>
  <si>
    <t>大渭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</si>
  <si>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</si>
  <si>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秦老</t>
    </r>
    <r>
      <rPr>
        <sz val="11"/>
        <color theme="1"/>
        <rFont val="ＭＳ Ｐゴシック"/>
        <family val="3"/>
        <charset val="134"/>
        <scheme val="minor"/>
      </rPr>
      <t>铸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</si>
  <si>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</si>
  <si>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蒸煮提取物（利口酒和烈酒）; 食用酒精;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</si>
  <si>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</si>
  <si>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金磊</t>
    </r>
  </si>
  <si>
    <r>
      <t xml:space="preserve">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</si>
  <si>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隆江福</t>
  </si>
  <si>
    <t>袁素平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</si>
  <si>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清酒;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</si>
  <si>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帝王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</si>
  <si>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天津从心餐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</si>
  <si>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伏特加酒; 米酒; 威士忌;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</si>
  <si>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岂</t>
    </r>
  </si>
  <si>
    <t>蒋春燕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</si>
  <si>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烈酒;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</si>
  <si>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匠百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</si>
  <si>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米酒; 烈酒;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</si>
  <si>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等茶数列</t>
  </si>
  <si>
    <r>
      <t>上海无垠酒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</si>
  <si>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果酒（含酒精）; 伏特加酒;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</si>
  <si>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誉甘粮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</si>
  <si>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蒸煮提取物（利口酒和烈酒）; 食用酒精; 烈酒</t>
    </r>
  </si>
  <si>
    <t>阿源祥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</si>
  <si>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民香商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</si>
  <si>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清酒; 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</si>
  <si>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敬友台酒友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</si>
  <si>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市敬友台酒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</si>
  <si>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葡萄酒; 梨酒;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</si>
  <si>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利他天成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</si>
  <si>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</si>
  <si>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潭井坊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</si>
  <si>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州市森象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</si>
  <si>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米酒; 黄酒</t>
    </r>
  </si>
  <si>
    <t>XMEIKNOWS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</si>
  <si>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哆可唯食品科技有限公司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</si>
  <si>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伏特加酒</t>
    </r>
  </si>
  <si>
    <t>留浪猫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</si>
  <si>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共</t>
    </r>
    <r>
      <rPr>
        <sz val="11"/>
        <color theme="1"/>
        <rFont val="ＭＳ Ｐゴシック"/>
        <family val="3"/>
        <charset val="134"/>
        <scheme val="minor"/>
      </rPr>
      <t>赢实业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</si>
  <si>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薄荷酒</t>
    </r>
  </si>
  <si>
    <t>玖熙玖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</si>
  <si>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州玖熙建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</si>
  <si>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</si>
  <si>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御穗珊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</si>
  <si>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泰穗山酒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</si>
  <si>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青稞酒; 果酒; 利口酒; 葡萄酒</t>
    </r>
  </si>
  <si>
    <t>月建</t>
  </si>
  <si>
    <r>
      <t>周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</si>
  <si>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白干酒（中国白酒）; 烈酒; 米酒;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</si>
  <si>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久久壹将</t>
  </si>
  <si>
    <r>
      <t xml:space="preserve">青稞酒;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白酒; 威士忌;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</si>
  <si>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小碧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</si>
  <si>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机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航空服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</si>
  <si>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葡萄酒;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</si>
  <si>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YNEZU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</si>
  <si>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云港悦逐科技有限公司</t>
    </r>
  </si>
  <si>
    <r>
      <t>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</si>
  <si>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伊万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</si>
  <si>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市丰疆酒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</si>
  <si>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白酒;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</si>
  <si>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遇</t>
    </r>
  </si>
  <si>
    <t>吴旭森</t>
  </si>
  <si>
    <r>
      <t>葡萄酒; 白酒; 果酒（含酒精）; 梅酒; 清酒（日本米酒）; 蜂蜜酒;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</si>
  <si>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CAPICHERA</t>
  </si>
  <si>
    <r>
      <t>内蒙古意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露葡萄酒文化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</si>
  <si>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草本型利口酒; 葡萄酒; 威士忌; 白葡萄酒;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</si>
  <si>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</si>
  <si>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山鹿</t>
    </r>
    <r>
      <rPr>
        <sz val="11"/>
        <color theme="1"/>
        <rFont val="ＭＳ Ｐゴシック"/>
        <family val="3"/>
        <charset val="134"/>
        <scheme val="minor"/>
      </rPr>
      <t>鸣农业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</si>
  <si>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</si>
  <si>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百草程密</t>
  </si>
  <si>
    <t>赖贵红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</si>
  <si>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黄酒; 甜果酒</t>
    </r>
  </si>
  <si>
    <t>TEACOHOLIC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</si>
  <si>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甜酒;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伏特加酒;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</si>
  <si>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善城臻</t>
  </si>
  <si>
    <r>
      <t>善城酒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</si>
  <si>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伏特加酒; 朗姆酒; 黄酒;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</si>
  <si>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得声</t>
    </r>
  </si>
  <si>
    <r>
      <t>四川漫琪酒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</si>
  <si>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</si>
  <si>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君酣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</si>
  <si>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朱雪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</si>
  <si>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食用酒精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</si>
  <si>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</si>
  <si>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白干酒（中国白酒）</t>
    </r>
  </si>
  <si>
    <t>抗衡</t>
  </si>
  <si>
    <r>
      <t>孙</t>
    </r>
    <r>
      <rPr>
        <sz val="11"/>
        <color theme="1"/>
        <rFont val="ＭＳ Ｐゴシック"/>
        <family val="3"/>
        <charset val="128"/>
        <scheme val="minor"/>
      </rPr>
      <t>田田</t>
    </r>
  </si>
  <si>
    <r>
      <t xml:space="preserve">青稞酒;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露酒; 高粱酒; 烈酒; 黄酒</t>
    </r>
  </si>
  <si>
    <t>YIBEIFEI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</si>
  <si>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盛世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源乳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</si>
  <si>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</si>
  <si>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r>
      <t>李渡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</si>
  <si>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葡萄酒; 威士忌</t>
    </r>
  </si>
  <si>
    <t>卜山晋韵</t>
  </si>
  <si>
    <t>董承斌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</si>
  <si>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</si>
  <si>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声名</t>
  </si>
  <si>
    <r>
      <t>青稞酒; 高粱酒;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</si>
  <si>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金窖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</si>
  <si>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</si>
  <si>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</si>
  <si>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韵天沟</t>
    </r>
  </si>
  <si>
    <r>
      <t>四川康明斯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力有限公司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</si>
  <si>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</si>
  <si>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柔</t>
    </r>
  </si>
  <si>
    <r>
      <t>刘国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</si>
  <si>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</t>
    </r>
  </si>
  <si>
    <t>臻焱</t>
  </si>
  <si>
    <r>
      <t>河北慈康元健康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</si>
  <si>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</si>
  <si>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久久亮声</t>
  </si>
  <si>
    <r>
      <t>黄氏草堂中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</si>
  <si>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果酒; 白酒;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</si>
  <si>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君知情</t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</si>
  <si>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果酒; 梅酒</t>
    </r>
  </si>
  <si>
    <t>谷旺泉</t>
  </si>
  <si>
    <r>
      <t>沈阳市谷泉酒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</si>
  <si>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白酒; 果酒（含酒精）; 葡萄酒; 蒸煮提取物（利口酒和烈酒）; 清酒（日本米酒）; 食用酒精</t>
    </r>
  </si>
  <si>
    <t>老斐</t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</si>
  <si>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清酒（日本米酒）; 葡萄酒</t>
    </r>
  </si>
  <si>
    <t>萍溪坊</t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</si>
  <si>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家装</t>
    </r>
    <r>
      <rPr>
        <sz val="11"/>
        <color theme="1"/>
        <rFont val="ＭＳ Ｐゴシック"/>
        <family val="3"/>
        <charset val="134"/>
        <scheme val="minor"/>
      </rPr>
      <t>饰设计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</si>
  <si>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</si>
  <si>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今香典</t>
  </si>
  <si>
    <r>
      <t>梁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</si>
  <si>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白酒; 米酒; 葡萄酒</t>
    </r>
  </si>
  <si>
    <t>橙心醉李</t>
  </si>
  <si>
    <r>
      <t>税元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</si>
  <si>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蜂蜜酒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</si>
  <si>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开胃酒;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</si>
  <si>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禾春渡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</si>
  <si>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梅酒;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威士忌</t>
    </r>
  </si>
  <si>
    <r>
      <t>劳伦</t>
    </r>
    <r>
      <rPr>
        <sz val="11"/>
        <color theme="1"/>
        <rFont val="ＭＳ Ｐゴシック"/>
        <family val="3"/>
        <charset val="128"/>
        <scheme val="minor"/>
      </rPr>
      <t>格拉芙</t>
    </r>
  </si>
  <si>
    <r>
      <t>上海佐之国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</si>
  <si>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食用酒精;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</si>
  <si>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李渡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</si>
  <si>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威士忌; 葡萄酒</t>
    </r>
  </si>
  <si>
    <t>雁和塾</t>
  </si>
  <si>
    <r>
      <t>围场满</t>
    </r>
    <r>
      <rPr>
        <sz val="11"/>
        <color theme="1"/>
        <rFont val="ＭＳ Ｐゴシック"/>
        <family val="3"/>
        <charset val="128"/>
        <scheme val="minor"/>
      </rPr>
      <t>族蒙古族自治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北雁商城</t>
    </r>
  </si>
  <si>
    <r>
      <t xml:space="preserve">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佐餐酒</t>
    </r>
  </si>
  <si>
    <r>
      <t>厨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喜藏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</si>
  <si>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市喜牛潮汕牛肉料理有限公司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</si>
  <si>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</si>
  <si>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苗茜妹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</si>
  <si>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州合友苗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</si>
  <si>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米酒; 白酒</t>
    </r>
  </si>
  <si>
    <t>梅然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</si>
  <si>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</si>
  <si>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甜果酒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</si>
  <si>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都里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</si>
  <si>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黄酒</t>
    </r>
  </si>
  <si>
    <t>常寿者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</si>
  <si>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灵椿味道餐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</si>
  <si>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葡萄酒;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烈酒; 黄酒</t>
    </r>
  </si>
  <si>
    <t>AGUA SANTA</t>
  </si>
  <si>
    <r>
      <t>墨西哥酒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易股份有限公司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</si>
  <si>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</si>
  <si>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拾光吟</t>
  </si>
  <si>
    <r>
      <t>吴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</si>
  <si>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果酒（含酒精）; 苹果酒;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薄荷酒; 白酒; 清酒; 米酒</t>
    </r>
  </si>
  <si>
    <t>中居安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</si>
  <si>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智民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急安全技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</si>
  <si>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葡萄酒; 米酒; 果酒</t>
    </r>
  </si>
  <si>
    <t>秤砣奶奶</t>
  </si>
  <si>
    <r>
      <t>陈</t>
    </r>
    <r>
      <rPr>
        <sz val="11"/>
        <color theme="1"/>
        <rFont val="ＭＳ Ｐゴシック"/>
        <family val="3"/>
        <charset val="128"/>
        <scheme val="minor"/>
      </rPr>
      <t>洪春</t>
    </r>
  </si>
  <si>
    <r>
      <t xml:space="preserve">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葡萄酒</t>
    </r>
  </si>
  <si>
    <t>估衣醉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</si>
  <si>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黄酒;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</si>
  <si>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兮氿</t>
  </si>
  <si>
    <r>
      <t>吴雨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</si>
  <si>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黄酒; 米酒</t>
    </r>
  </si>
  <si>
    <t>仁太宗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</si>
  <si>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</t>
    </r>
  </si>
  <si>
    <r>
      <t>俏</t>
    </r>
    <r>
      <rPr>
        <sz val="11"/>
        <color theme="1"/>
        <rFont val="ＭＳ Ｐゴシック"/>
        <family val="3"/>
        <charset val="134"/>
        <scheme val="minor"/>
      </rPr>
      <t>动</t>
    </r>
  </si>
  <si>
    <t>汪亮</t>
  </si>
  <si>
    <r>
      <t xml:space="preserve">高粱酒; 威士忌; 烈酒; 甜酒; 葡萄酒;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</si>
  <si>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</si>
  <si>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荣藤（上海）酒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</si>
  <si>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威士忌; 烈酒</t>
    </r>
  </si>
  <si>
    <t>黔鼓藏酒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</si>
  <si>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州皓明商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</si>
  <si>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利口酒</t>
    </r>
  </si>
  <si>
    <t>中秩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</si>
  <si>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露酒;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烈酒; 白酒</t>
    </r>
  </si>
  <si>
    <t>伊万斯克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</si>
  <si>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威士忌; 清酒（日本米酒）;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</si>
  <si>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约兰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</si>
  <si>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</si>
  <si>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圣寿云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</si>
  <si>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市大足区古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茶叶有限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</si>
  <si>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高粱酒; 清酒; 白酒; 草本型利口酒;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</si>
  <si>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友惠集</t>
  </si>
  <si>
    <r>
      <t>优</t>
    </r>
    <r>
      <rPr>
        <sz val="11"/>
        <color theme="1"/>
        <rFont val="ＭＳ Ｐゴシック"/>
        <family val="3"/>
        <charset val="128"/>
        <scheme val="minor"/>
      </rPr>
      <t>惠集（福州市）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</si>
  <si>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</t>
    </r>
  </si>
  <si>
    <r>
      <t>掌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</si>
  <si>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</si>
  <si>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亳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</si>
  <si>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谯</t>
    </r>
    <r>
      <rPr>
        <sz val="11"/>
        <color theme="1"/>
        <rFont val="ＭＳ Ｐゴシック"/>
        <family val="3"/>
        <charset val="128"/>
        <scheme val="minor"/>
      </rPr>
      <t>城区徽姑娘特色种植家庭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</si>
  <si>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</si>
  <si>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神圪</t>
    </r>
    <r>
      <rPr>
        <sz val="11"/>
        <color theme="1"/>
        <rFont val="ＭＳ Ｐゴシック"/>
        <family val="3"/>
        <charset val="134"/>
        <scheme val="minor"/>
      </rPr>
      <t>垯</t>
    </r>
  </si>
  <si>
    <r>
      <t>山西汾州府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</si>
  <si>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</si>
  <si>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</si>
  <si>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白干酒（中国白酒）; 黄酒; 白酒; 青稞酒; 高粱酒;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</si>
  <si>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深圳市紫石科技有限公司</t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</si>
  <si>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含酒精的气泡水</t>
    </r>
  </si>
  <si>
    <t>达裕字号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</si>
  <si>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铠</t>
    </r>
    <r>
      <rPr>
        <sz val="11"/>
        <color theme="1"/>
        <rFont val="ＭＳ Ｐゴシック"/>
        <family val="3"/>
        <charset val="128"/>
        <scheme val="minor"/>
      </rPr>
      <t>力管理咨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</si>
  <si>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</si>
  <si>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旺大厨</t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</si>
  <si>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</si>
  <si>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果酒（含酒精）; 白酒; 黄酒</t>
    </r>
  </si>
  <si>
    <r>
      <t>贵轩细</t>
    </r>
    <r>
      <rPr>
        <sz val="11"/>
        <color theme="1"/>
        <rFont val="ＭＳ Ｐゴシック"/>
        <family val="3"/>
        <charset val="128"/>
        <scheme val="minor"/>
      </rPr>
      <t>柳堂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</si>
  <si>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国宝酒厂有限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</si>
  <si>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露酒; 果酒（含酒精）; 苹果酒;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</si>
  <si>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密福</t>
  </si>
  <si>
    <r>
      <t>尤以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</si>
  <si>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 xml:space="preserve">黄酒;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果酒（含酒精）; 葡萄酒</t>
    </r>
  </si>
  <si>
    <t>山野喜耳</t>
  </si>
  <si>
    <t>山西心言生物科技有限公司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</si>
  <si>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</si>
  <si>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</si>
  <si>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高粱酒; 青稞酒; 黄酒;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</si>
  <si>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t>知佰幸</t>
  </si>
  <si>
    <r>
      <t>知佰幸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胞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（浙江）有限公司</t>
    </r>
  </si>
  <si>
    <r>
      <t xml:space="preserve">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</si>
  <si>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</si>
  <si>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苏联</t>
    </r>
    <r>
      <rPr>
        <sz val="11"/>
        <color theme="1"/>
        <rFont val="ＭＳ Ｐゴシック"/>
        <family val="3"/>
        <charset val="128"/>
        <scheme val="minor"/>
      </rPr>
      <t>益</t>
    </r>
  </si>
  <si>
    <r>
      <t>果酒（含酒精）; 米酒; 利口酒;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</si>
  <si>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</si>
  <si>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果酒（含酒精）; 开胃酒; 蒸煮提取物（利口酒和烈酒）; 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</si>
  <si>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墨宰相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</si>
  <si>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东郑</t>
    </r>
    <r>
      <rPr>
        <sz val="11"/>
        <color theme="1"/>
        <rFont val="ＭＳ Ｐゴシック"/>
        <family val="3"/>
        <charset val="128"/>
        <scheme val="minor"/>
      </rPr>
      <t>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</si>
  <si>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</si>
  <si>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等分溪酒庄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</si>
  <si>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市唯控酒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</si>
  <si>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白酒;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</si>
  <si>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匠香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</si>
  <si>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 xml:space="preserve">白酒;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</si>
  <si>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天目山</t>
  </si>
  <si>
    <r>
      <t>杭州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好商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</si>
  <si>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清酒; 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</si>
  <si>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大彤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</si>
  <si>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果酒; 黄酒;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</si>
  <si>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峰藏</t>
  </si>
  <si>
    <r>
      <t>北京神勇小青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</si>
  <si>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米酒; 露酒; 清酒;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</si>
  <si>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杰莫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</si>
  <si>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烈酒; 葡萄酒;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</si>
  <si>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古潭盛</t>
  </si>
  <si>
    <r>
      <t>河南省古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</si>
  <si>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加烈葡萄酒;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</si>
  <si>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久久壹意</t>
  </si>
  <si>
    <r>
      <t>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清酒（日本米酒）; 威士忌;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</si>
  <si>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</si>
  <si>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深圳市耀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</si>
  <si>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</si>
  <si>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瞬</t>
    </r>
    <r>
      <rPr>
        <sz val="11"/>
        <color theme="1"/>
        <rFont val="ＭＳ Ｐゴシック"/>
        <family val="3"/>
        <charset val="134"/>
        <scheme val="minor"/>
      </rPr>
      <t>飙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</si>
  <si>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三桶油企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</si>
  <si>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米酒;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</si>
  <si>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喜年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</si>
  <si>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青稞酒; 黄酒; 葡萄酒</t>
    </r>
  </si>
  <si>
    <r>
      <t>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运囍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</si>
  <si>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梁六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</si>
  <si>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</si>
  <si>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同人</t>
    </r>
  </si>
  <si>
    <r>
      <t xml:space="preserve">开胃酒; 甜果酒;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</si>
  <si>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小和</t>
    </r>
  </si>
  <si>
    <r>
      <t>果酒（含酒精）; 米酒;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</si>
  <si>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仙人</t>
    </r>
  </si>
  <si>
    <r>
      <t>株洲市芦淞区芳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荣光百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</si>
  <si>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高粱酒; 青稞酒;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</t>
    </r>
  </si>
  <si>
    <t>酒中老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</si>
  <si>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市双豪酒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</si>
  <si>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米酒; 食用酒精; 高粱酒;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白干酒（中国白酒）</t>
    </r>
  </si>
  <si>
    <r>
      <t>多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</si>
  <si>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州省多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</si>
  <si>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</si>
  <si>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大道云程</t>
  </si>
  <si>
    <r>
      <t>程根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</si>
  <si>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米酒; 白酒; 高粱酒;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</si>
  <si>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北院同学 BY CLASSMATE</t>
  </si>
  <si>
    <t>姜小慎</t>
  </si>
  <si>
    <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薄荷酒;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</si>
  <si>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逍遥琴</t>
  </si>
  <si>
    <r>
      <t>黄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区李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匠心酒坊</t>
    </r>
  </si>
  <si>
    <r>
      <t>薄荷酒; 米酒;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</si>
  <si>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悟幸</t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</si>
  <si>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汽酒; 烈酒;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</si>
  <si>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FANS OF NIGHT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</si>
  <si>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娱乐发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</si>
  <si>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</si>
  <si>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</si>
  <si>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耀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</si>
  <si>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佐餐酒; 葡萄酒; 烈酒; 伏特加酒</t>
    </r>
  </si>
  <si>
    <t>舍酤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</si>
  <si>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酝门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</si>
  <si>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开胃酒; 葡萄酒; 白酒;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</si>
  <si>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珍医圣堂</t>
    </r>
  </si>
  <si>
    <r>
      <t>蕲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县时</t>
    </r>
    <r>
      <rPr>
        <sz val="11"/>
        <color theme="1"/>
        <rFont val="ＭＳ Ｐゴシック"/>
        <family val="3"/>
        <charset val="128"/>
        <scheme val="minor"/>
      </rPr>
      <t>珍国医堂中医养生管理有限公司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</si>
  <si>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</si>
  <si>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备</t>
    </r>
  </si>
  <si>
    <r>
      <t>湖南四</t>
    </r>
    <r>
      <rPr>
        <sz val="11"/>
        <color theme="1"/>
        <rFont val="ＭＳ Ｐゴシック"/>
        <family val="3"/>
        <charset val="134"/>
        <scheme val="minor"/>
      </rPr>
      <t>纵经济发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</si>
  <si>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</si>
  <si>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希希有好</t>
  </si>
  <si>
    <r>
      <t>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白酒; 草本型利口酒</t>
    </r>
  </si>
  <si>
    <t>青山侯</t>
  </si>
  <si>
    <r>
      <t>周</t>
    </r>
    <r>
      <rPr>
        <sz val="11"/>
        <color theme="1"/>
        <rFont val="ＭＳ Ｐゴシック"/>
        <family val="3"/>
        <charset val="134"/>
        <scheme val="minor"/>
      </rPr>
      <t>红伟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</si>
  <si>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</si>
  <si>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然永安老街</t>
    </r>
  </si>
  <si>
    <r>
      <t>安宁市新城投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</si>
  <si>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朗姆酒;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蜂蜜酒; 食用酒精</t>
    </r>
  </si>
  <si>
    <t>嶷小凸</t>
  </si>
  <si>
    <r>
      <t>宁</t>
    </r>
    <r>
      <rPr>
        <sz val="11"/>
        <color theme="1"/>
        <rFont val="ＭＳ Ｐゴシック"/>
        <family val="3"/>
        <charset val="134"/>
        <scheme val="minor"/>
      </rPr>
      <t>远县</t>
    </r>
    <r>
      <rPr>
        <sz val="11"/>
        <color theme="1"/>
        <rFont val="ＭＳ Ｐゴシック"/>
        <family val="3"/>
        <charset val="128"/>
        <scheme val="minor"/>
      </rPr>
      <t>小凸生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</si>
  <si>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甜酒; 白酒</t>
    </r>
  </si>
  <si>
    <t>朋厚</t>
  </si>
  <si>
    <r>
      <t>河南朋厚酒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</si>
  <si>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黄酒; 葡萄酒; 米酒;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</si>
  <si>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泓黔将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</si>
  <si>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黄酒; 青稞酒; 白酒;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</si>
  <si>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明老表</t>
  </si>
  <si>
    <r>
      <t>四川明老表供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</si>
  <si>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</si>
  <si>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匠遂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</si>
  <si>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米酒; 葡萄酒; 威士忌; 白酒; 青稞酒</t>
    </r>
  </si>
  <si>
    <t>王家峪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</si>
  <si>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</si>
  <si>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</si>
  <si>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磊磊*****************X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</si>
  <si>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食用酒精;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</si>
  <si>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开元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</si>
  <si>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城知礼（泉州）文化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</si>
  <si>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</t>
    </r>
  </si>
  <si>
    <t>久久壹路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</si>
  <si>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食用酒精;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</si>
  <si>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君流年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</si>
  <si>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果酒; 葡萄酒; 威士忌</t>
    </r>
  </si>
  <si>
    <r>
      <t>久中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</si>
  <si>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毕节</t>
    </r>
    <r>
      <rPr>
        <sz val="11"/>
        <color theme="1"/>
        <rFont val="ＭＳ Ｐゴシック"/>
        <family val="3"/>
        <charset val="128"/>
        <scheme val="minor"/>
      </rPr>
      <t>叙豪酒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</si>
  <si>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蒸煮提取物（利口酒和烈酒）; 葡萄酒; 黄酒; 果酒; 白酒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</si>
  <si>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柳叶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</si>
  <si>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</si>
  <si>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</si>
  <si>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秦想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</si>
  <si>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寅午戌商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</si>
  <si>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</si>
  <si>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李渡洪州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</si>
  <si>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威士忌; 果酒（含酒精）</t>
    </r>
  </si>
  <si>
    <t>立德同行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</si>
  <si>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</si>
  <si>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达裕一品</t>
  </si>
  <si>
    <r>
      <t>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</si>
  <si>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深圳市真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</si>
  <si>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葡萄酒; 威士忌;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</si>
  <si>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白掌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</si>
  <si>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</si>
  <si>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老金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</si>
  <si>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州遵赤台酒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</si>
  <si>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清酒;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汽酒</t>
    </r>
  </si>
  <si>
    <r>
      <t>五帝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</si>
  <si>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改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</si>
  <si>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高粱酒</t>
    </r>
  </si>
  <si>
    <t>遵芋</t>
  </si>
  <si>
    <t>冷江</t>
  </si>
  <si>
    <r>
      <t>露酒;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</si>
  <si>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沱疆御酒</t>
  </si>
  <si>
    <t>刘天生</t>
  </si>
  <si>
    <r>
      <t>伏特加酒;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威士忌; 开胃酒;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</si>
  <si>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嘉洲液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</si>
  <si>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佐餐酒;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</t>
    </r>
  </si>
  <si>
    <t>暴跳星球</t>
  </si>
  <si>
    <r>
      <t>鲸驰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</si>
  <si>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利口酒; 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</si>
  <si>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尘欢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</si>
  <si>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</si>
  <si>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利口酒; 白酒;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</si>
  <si>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r>
      <t>辛巴赫偶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</si>
  <si>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江辛巴赫生物科技有限公司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</si>
  <si>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利口酒</t>
    </r>
  </si>
  <si>
    <r>
      <t>辽东</t>
    </r>
    <r>
      <rPr>
        <sz val="11"/>
        <color theme="1"/>
        <rFont val="ＭＳ Ｐゴシック"/>
        <family val="3"/>
        <charset val="128"/>
        <scheme val="minor"/>
      </rPr>
      <t>金将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</si>
  <si>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</si>
  <si>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开胃酒; 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</si>
  <si>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拉伯</t>
    </r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</si>
  <si>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</si>
  <si>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梅酒;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甜酒; 烈酒</t>
    </r>
  </si>
  <si>
    <t>滕阳郡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</si>
  <si>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威士忌; 米酒; 朗姆酒; 白酒; 果酒</t>
    </r>
  </si>
  <si>
    <r>
      <t>浙江中科中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</si>
  <si>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</si>
  <si>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窑清花藏</t>
    </r>
  </si>
  <si>
    <t>山西杏花杏汾国酒股份有限公司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</si>
  <si>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朗姆酒; 伏特加酒;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</si>
  <si>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SDHIBD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</si>
  <si>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生信息与健康医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大数据学会</t>
    </r>
  </si>
  <si>
    <r>
      <t>米酒;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白葡萄酒; 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</si>
  <si>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伞</t>
    </r>
    <r>
      <rPr>
        <sz val="11"/>
        <color theme="1"/>
        <rFont val="ＭＳ Ｐゴシック"/>
        <family val="3"/>
        <charset val="128"/>
        <scheme val="minor"/>
      </rPr>
      <t>下有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</si>
  <si>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葡萄酒; 含酒精的气泡水;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</si>
  <si>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GARAINI 格睿尼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</si>
  <si>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格睿尼科技有限公司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</si>
  <si>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</si>
  <si>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友溢</t>
  </si>
  <si>
    <r>
      <t>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</si>
  <si>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梁脉</t>
  </si>
  <si>
    <t>河南众香子生物科技有限公司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</si>
  <si>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利口酒; 黄酒</t>
    </r>
  </si>
  <si>
    <t>SIX SIX FRUIT SQUARES</t>
  </si>
  <si>
    <r>
      <t>陈</t>
    </r>
    <r>
      <rPr>
        <sz val="11"/>
        <color theme="1"/>
        <rFont val="ＭＳ Ｐゴシック"/>
        <family val="3"/>
        <charset val="128"/>
        <scheme val="minor"/>
      </rPr>
      <t>春霞</t>
    </r>
  </si>
  <si>
    <r>
      <t>威士忌; 含酒精的气泡水;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果酒（含酒精）</t>
    </r>
  </si>
  <si>
    <r>
      <t>擎天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</si>
  <si>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杨长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</si>
  <si>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</si>
  <si>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文武万邦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</si>
  <si>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州国宝天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</si>
  <si>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</si>
  <si>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湘玉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</si>
  <si>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安化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八方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</si>
  <si>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</si>
  <si>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临酝别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</si>
  <si>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市曲酒二厂</t>
    </r>
  </si>
  <si>
    <r>
      <t>朗姆酒; 青稞酒; 白酒; 威士忌;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阿蒙蒂拉多白葡萄酒; 黄酒</t>
    </r>
  </si>
  <si>
    <t>信隆盛</t>
  </si>
  <si>
    <t>信阳隆盛茶叶有限公司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</si>
  <si>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</si>
  <si>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埃克日慕</t>
  </si>
  <si>
    <r>
      <t>阿里甫·努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</si>
  <si>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 xml:space="preserve">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高粱酒</t>
    </r>
  </si>
  <si>
    <t>宗先森</t>
  </si>
  <si>
    <t>杭州崇奈品牌策划有限公司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</si>
  <si>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利口酒;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白酒; 日本梅子酒</t>
    </r>
  </si>
  <si>
    <t>瑾辰</t>
  </si>
  <si>
    <r>
      <t xml:space="preserve">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果酒; 草莓酒; 高粱酒; 黄酒</t>
    </r>
  </si>
  <si>
    <r>
      <t>去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</si>
  <si>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州醉心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</si>
  <si>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</si>
  <si>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箫鸣</t>
    </r>
    <r>
      <rPr>
        <sz val="11"/>
        <color theme="1"/>
        <rFont val="ＭＳ Ｐゴシック"/>
        <family val="3"/>
        <charset val="128"/>
        <scheme val="minor"/>
      </rPr>
      <t>道</t>
    </r>
  </si>
  <si>
    <t>刘杰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</si>
  <si>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</si>
  <si>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</si>
  <si>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t>王子定</t>
  </si>
  <si>
    <r>
      <t>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烈酒; 开胃酒; 白酒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</si>
  <si>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橹</t>
    </r>
    <r>
      <rPr>
        <sz val="11"/>
        <color theme="1"/>
        <rFont val="ＭＳ Ｐゴシック"/>
        <family val="3"/>
        <charset val="128"/>
        <scheme val="minor"/>
      </rPr>
      <t>椹</t>
    </r>
  </si>
  <si>
    <r>
      <t>德州</t>
    </r>
    <r>
      <rPr>
        <sz val="11"/>
        <color theme="1"/>
        <rFont val="ＭＳ Ｐゴシック"/>
        <family val="3"/>
        <charset val="134"/>
        <scheme val="minor"/>
      </rPr>
      <t>润灏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</si>
  <si>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朗姆酒; 白酒; 梅酒; 米酒;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</si>
  <si>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陶花醴</t>
  </si>
  <si>
    <r>
      <t>兰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</si>
  <si>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薄荷酒; 苦味酒; 葡萄酒</t>
    </r>
  </si>
  <si>
    <t>相思魂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</si>
  <si>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</si>
  <si>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三默</t>
  </si>
  <si>
    <r>
      <t>滁州丹青翰墨供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</si>
  <si>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黄酒;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</t>
    </r>
  </si>
  <si>
    <t>天欲晚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</si>
  <si>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州弘真文化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</si>
  <si>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含酒精的气泡水;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酸酒（低等葡萄酒）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</si>
  <si>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意菡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</si>
  <si>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意菡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牧林水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</si>
  <si>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威士忌; 米酒; 青稞酒; 黄酒</t>
    </r>
  </si>
  <si>
    <t>秦川玉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</si>
  <si>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米酒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</si>
  <si>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泽尔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</si>
  <si>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东标</t>
    </r>
    <r>
      <rPr>
        <sz val="11"/>
        <color theme="1"/>
        <rFont val="ＭＳ Ｐゴシック"/>
        <family val="3"/>
        <charset val="128"/>
        <scheme val="minor"/>
      </rPr>
      <t>素家居有限公司</t>
    </r>
  </si>
  <si>
    <r>
      <t xml:space="preserve">葡萄酒; 果酒（含酒精）; 白葡萄酒;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</si>
  <si>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州品宝食品有限公司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</si>
  <si>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</si>
  <si>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贾东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</si>
  <si>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东贾东</t>
    </r>
    <r>
      <rPr>
        <sz val="11"/>
        <color theme="1"/>
        <rFont val="ＭＳ Ｐゴシック"/>
        <family val="3"/>
        <charset val="128"/>
        <scheme val="minor"/>
      </rPr>
      <t>普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外用品有限公司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</si>
  <si>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开胃酒; 白酒</t>
    </r>
  </si>
  <si>
    <t>敦克</t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</si>
  <si>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</si>
  <si>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焱</t>
    </r>
  </si>
  <si>
    <r>
      <t>开胃酒;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</si>
  <si>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</si>
  <si>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慧翎******************</t>
    </r>
  </si>
  <si>
    <r>
      <t>白干酒（中国白酒）; 白酒; 米酒;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</si>
  <si>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</si>
  <si>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北京博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睿智科技有限公司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</si>
  <si>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</si>
  <si>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一人一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</si>
  <si>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福建一人一</t>
    </r>
    <r>
      <rPr>
        <sz val="11"/>
        <color theme="1"/>
        <rFont val="ＭＳ Ｐゴシック"/>
        <family val="3"/>
        <charset val="134"/>
        <scheme val="minor"/>
      </rPr>
      <t>树农业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</si>
  <si>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松叶酒; 草本型利口酒;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苦艾酒;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</si>
  <si>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尹城</t>
  </si>
  <si>
    <r>
      <t>尹俊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</si>
  <si>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甜酒; 烈酒;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</si>
  <si>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柳三香</t>
  </si>
  <si>
    <r>
      <t>柳州市利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得食品科技有限公司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</si>
  <si>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黄酒; 清酒（日本米酒）; 开胃酒</t>
    </r>
  </si>
  <si>
    <r>
      <t>丝尔</t>
    </r>
    <r>
      <rPr>
        <sz val="11"/>
        <color theme="1"/>
        <rFont val="ＭＳ Ｐゴシック"/>
        <family val="3"/>
        <charset val="128"/>
        <scheme val="minor"/>
      </rPr>
      <t>达喜拉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</si>
  <si>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蜂蜜酒; 米酒; 白酒; 葡萄酒; 含奶油利口酒;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高粱酒</t>
    </r>
  </si>
  <si>
    <r>
      <t>轩锦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</si>
  <si>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林（******************）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</si>
  <si>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蒸煮提取物（利口酒和烈酒）; 白酒</t>
    </r>
  </si>
  <si>
    <r>
      <t>五醍原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</si>
  <si>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</si>
  <si>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梦舞皇廷</t>
  </si>
  <si>
    <t>袁旭媛</t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</si>
  <si>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</si>
  <si>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箭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</si>
  <si>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湖北仙山碧水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</si>
  <si>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</si>
  <si>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大粤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·地球村</t>
    </r>
  </si>
  <si>
    <r>
      <t>大粤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食品（佛山市）有限公司</t>
    </r>
  </si>
  <si>
    <r>
      <t>烈酒; 甜酒; 米酒;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</si>
  <si>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沼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</si>
  <si>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开胃酒</t>
    </r>
  </si>
  <si>
    <t>女杜氏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</si>
  <si>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日式甜米酒; 白酒; 朗姆酒; 日本梅子酒; 果酒（含酒精）;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</si>
  <si>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山里人燕姐</t>
  </si>
  <si>
    <t>林双燕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</si>
  <si>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果酒; 米酒;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</si>
  <si>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</si>
  <si>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</si>
  <si>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果妙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</si>
  <si>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纪酿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</si>
  <si>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</si>
  <si>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</si>
  <si>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</si>
  <si>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白酒; 清酒（日本米酒）; 米酒</t>
    </r>
  </si>
  <si>
    <t>玉奉</t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</si>
  <si>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</si>
  <si>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昭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</si>
  <si>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</si>
  <si>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伊犁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野生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</si>
  <si>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草莓酒;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威士忌; 高粱酒; 青梅酒</t>
    </r>
  </si>
  <si>
    <r>
      <t>橙</t>
    </r>
    <r>
      <rPr>
        <sz val="11"/>
        <color theme="1"/>
        <rFont val="ＭＳ Ｐゴシック"/>
        <family val="3"/>
        <charset val="134"/>
        <scheme val="minor"/>
      </rPr>
      <t>风</t>
    </r>
  </si>
  <si>
    <t>浙江城之南科技有限公司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</si>
  <si>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含酒精的气泡水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</si>
  <si>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</si>
  <si>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凰（北京）林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</si>
  <si>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</si>
  <si>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翔水</t>
    </r>
  </si>
  <si>
    <r>
      <t>吴毓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</si>
  <si>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烈酒; 黄酒</t>
    </r>
  </si>
  <si>
    <t>菲立斯福多多</t>
  </si>
  <si>
    <r>
      <t>西班牙菲立斯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</si>
  <si>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威士忌;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</si>
  <si>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恒臻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</si>
  <si>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果酒（含酒精）</t>
    </r>
  </si>
  <si>
    <t>GLIM</t>
  </si>
  <si>
    <t>余青枝</t>
  </si>
  <si>
    <r>
      <t xml:space="preserve">开胃酒; 苹果酒;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</si>
  <si>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凯铭</t>
    </r>
  </si>
  <si>
    <r>
      <t>翟运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</si>
  <si>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米酒</t>
    </r>
  </si>
  <si>
    <t>瑞晟元</t>
  </si>
  <si>
    <t>深圳瑞晟元健康科技有限公司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</si>
  <si>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</si>
  <si>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和丰</t>
    </r>
  </si>
  <si>
    <r>
      <t xml:space="preserve">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</si>
  <si>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奉君笑</t>
  </si>
  <si>
    <r>
      <t xml:space="preserve">果酒（含酒精）;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</si>
  <si>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秦久哥</t>
  </si>
  <si>
    <r>
      <t>秦帮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</si>
  <si>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白干酒（中国白酒）; 蜂蜜酒;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</si>
  <si>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邦邦富酒庄</t>
  </si>
  <si>
    <t>湖南邦邦富科技有限公司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</si>
  <si>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</si>
  <si>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陇贡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</si>
  <si>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亳州市妙泉酒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</si>
  <si>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米酒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</si>
  <si>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</si>
  <si>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开胃酒; 威士忌; 果酒（含酒精）; 葡萄酒; 白酒</t>
    </r>
  </si>
  <si>
    <r>
      <t>武梦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</si>
  <si>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武俊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</si>
  <si>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</si>
  <si>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星雒古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</si>
  <si>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四川恩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</si>
  <si>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</si>
  <si>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糖稀湖</t>
  </si>
  <si>
    <r>
      <t>兰</t>
    </r>
    <r>
      <rPr>
        <sz val="11"/>
        <color theme="1"/>
        <rFont val="ＭＳ Ｐゴシック"/>
        <family val="3"/>
        <charset val="128"/>
        <scheme val="minor"/>
      </rPr>
      <t>陵湘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</si>
  <si>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</si>
  <si>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驭</t>
    </r>
    <r>
      <rPr>
        <sz val="11"/>
        <color theme="1"/>
        <rFont val="ＭＳ Ｐゴシック"/>
        <family val="3"/>
        <charset val="128"/>
        <scheme val="minor"/>
      </rPr>
      <t>江潮</t>
    </r>
  </si>
  <si>
    <r>
      <t>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开胃酒</t>
    </r>
  </si>
  <si>
    <t>洋瑃坊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</si>
  <si>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</si>
  <si>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</si>
  <si>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</si>
  <si>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烈酒; 露酒; 白干酒（中国白酒）; 米酒;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</si>
  <si>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定襄</t>
    </r>
    <r>
      <rPr>
        <sz val="11"/>
        <color theme="1"/>
        <rFont val="ＭＳ Ｐゴシック"/>
        <family val="3"/>
        <charset val="134"/>
        <scheme val="minor"/>
      </rPr>
      <t>县锻</t>
    </r>
    <r>
      <rPr>
        <sz val="11"/>
        <color theme="1"/>
        <rFont val="ＭＳ Ｐゴシック"/>
        <family val="3"/>
        <charset val="128"/>
        <scheme val="minor"/>
      </rPr>
      <t>造之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</si>
  <si>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葡萄酒; 白酒;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</si>
  <si>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博熙露</t>
    </r>
  </si>
  <si>
    <t>李万珍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</si>
  <si>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</si>
  <si>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银图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</si>
  <si>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</si>
  <si>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立宴</t>
  </si>
  <si>
    <t>付相立</t>
  </si>
  <si>
    <r>
      <t xml:space="preserve">米酒;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</si>
  <si>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荣舍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</si>
  <si>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清酒; 食用酒精;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</si>
  <si>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佳豆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</si>
  <si>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青梅酒;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</si>
  <si>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</si>
  <si>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白酒; 威士忌;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</si>
  <si>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阔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</si>
  <si>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班开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</si>
  <si>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</si>
  <si>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乐颂</t>
    </r>
  </si>
  <si>
    <r>
      <t>宋云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</si>
  <si>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烈酒; 葡萄酒;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甜酒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</si>
  <si>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名川</t>
    </r>
  </si>
  <si>
    <t>汪梦瑶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</si>
  <si>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开胃酒; 果酒（含酒精）; 白酒;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</si>
  <si>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天井坊</t>
  </si>
  <si>
    <r>
      <t>四川天井酒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</si>
  <si>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</si>
  <si>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锐顿</t>
  </si>
  <si>
    <t>许进军</t>
  </si>
  <si>
    <r>
      <t xml:space="preserve">烈酒; 葡萄酒;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果酒（含酒精）;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</si>
  <si>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海云森尊酒</t>
  </si>
  <si>
    <t>深圳市海云森科技有限公司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</si>
  <si>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葡萄酒;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</si>
  <si>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龙鲵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</si>
  <si>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西益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元生物科技有限公司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</si>
  <si>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</si>
  <si>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磐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</si>
  <si>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赛欢电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</si>
  <si>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食用酒精; 米酒; 果酒（含酒精）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</si>
  <si>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晚</t>
    </r>
  </si>
  <si>
    <r>
      <t>南阳市卧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区石</t>
    </r>
    <r>
      <rPr>
        <sz val="11"/>
        <color theme="1"/>
        <rFont val="ＭＳ Ｐゴシック"/>
        <family val="3"/>
        <charset val="134"/>
        <scheme val="minor"/>
      </rPr>
      <t>桥镇</t>
    </r>
    <r>
      <rPr>
        <sz val="11"/>
        <color theme="1"/>
        <rFont val="ＭＳ Ｐゴシック"/>
        <family val="3"/>
        <charset val="128"/>
        <scheme val="minor"/>
      </rPr>
      <t>文珍小家</t>
    </r>
    <r>
      <rPr>
        <sz val="11"/>
        <color theme="1"/>
        <rFont val="ＭＳ Ｐゴシック"/>
        <family val="3"/>
        <charset val="134"/>
        <scheme val="minor"/>
      </rPr>
      <t>电门</t>
    </r>
    <r>
      <rPr>
        <sz val="11"/>
        <color theme="1"/>
        <rFont val="ＭＳ Ｐゴシック"/>
        <family val="3"/>
        <charset val="128"/>
        <scheme val="minor"/>
      </rPr>
      <t>市部</t>
    </r>
  </si>
  <si>
    <t>白酒; 梅酒; 烈酒; 葡萄酒; 黄酒; 清酒; 甜酒; 果酒; 米酒</t>
  </si>
  <si>
    <r>
      <t>颂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</si>
  <si>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</si>
  <si>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清酒; 果酒（含酒精）; 甜果酒; 黄酒; 葡萄酒; 白酒; 米酒</t>
    </r>
  </si>
  <si>
    <r>
      <t>莱圣美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</si>
  <si>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广州海恒酒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</si>
  <si>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</si>
  <si>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鸿烧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</si>
  <si>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清酒（日本米酒）</t>
    </r>
  </si>
  <si>
    <t>SONG'S FRESHNESS 宋三仙</t>
  </si>
  <si>
    <r>
      <t>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</si>
  <si>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</si>
  <si>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</si>
  <si>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葡萄酒</t>
    </r>
  </si>
  <si>
    <t>天衍礼道</t>
  </si>
  <si>
    <r>
      <t>佛山天衍易道信息咨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</si>
  <si>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</si>
  <si>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</si>
  <si>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上海尊河酒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</si>
  <si>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</si>
  <si>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PURPLE BLANC</t>
  </si>
  <si>
    <r>
      <t>上海墨</t>
    </r>
    <r>
      <rPr>
        <sz val="11"/>
        <color theme="1"/>
        <rFont val="ＭＳ Ｐゴシック"/>
        <family val="3"/>
        <charset val="134"/>
        <scheme val="minor"/>
      </rPr>
      <t>鲨</t>
    </r>
    <r>
      <rPr>
        <sz val="11"/>
        <color theme="1"/>
        <rFont val="ＭＳ Ｐゴシック"/>
        <family val="3"/>
        <charset val="128"/>
        <scheme val="minor"/>
      </rPr>
      <t>醇</t>
    </r>
    <r>
      <rPr>
        <sz val="11"/>
        <color theme="1"/>
        <rFont val="ＭＳ Ｐゴシック"/>
        <family val="3"/>
        <charset val="134"/>
        <scheme val="minor"/>
      </rPr>
      <t>选贸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</si>
  <si>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含酒精的气泡水;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杜松子酒; 葡萄汽酒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</si>
  <si>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梦秋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</si>
  <si>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绿锦艺</t>
    </r>
    <r>
      <rPr>
        <sz val="11"/>
        <color theme="1"/>
        <rFont val="ＭＳ Ｐゴシック"/>
        <family val="3"/>
        <charset val="128"/>
        <scheme val="minor"/>
      </rPr>
      <t>园林工程有限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</si>
  <si>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</si>
  <si>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CENSTO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</si>
  <si>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</si>
  <si>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菲莎</t>
    </r>
  </si>
  <si>
    <t>胡正川</t>
  </si>
  <si>
    <r>
      <t>葡萄酒;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</si>
  <si>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天井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</si>
  <si>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</si>
  <si>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金香酒</t>
    </r>
  </si>
  <si>
    <r>
      <t>上海黔淄商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</si>
  <si>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</si>
  <si>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琉礼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</si>
  <si>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</si>
  <si>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</si>
  <si>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>白酒; 开胃酒;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</si>
  <si>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二六市</t>
  </si>
  <si>
    <r>
      <t>余姚市三七市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二六市村股份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</si>
  <si>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蒸煮提取物（利口酒和烈酒）; 葡萄酒</t>
    </r>
  </si>
  <si>
    <t>口粱焱</t>
  </si>
  <si>
    <r>
      <t>白酒; 米酒; 高粱酒;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开胃酒</t>
    </r>
  </si>
  <si>
    <r>
      <t>尊河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</si>
  <si>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</t>
    </r>
  </si>
  <si>
    <t>空城里</t>
  </si>
  <si>
    <r>
      <t>安徽省御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</si>
  <si>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葡萄酒; 白干酒（中国白酒）;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</si>
  <si>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粮九天下</t>
  </si>
  <si>
    <r>
      <t>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</si>
  <si>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京台玖洧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</si>
  <si>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白干酒（中国白酒）;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</si>
  <si>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雪悠山</t>
  </si>
  <si>
    <r>
      <t>白酒;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</si>
  <si>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PRINCESS RINA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</si>
  <si>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</si>
  <si>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蜂蜜酒;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</t>
    </r>
  </si>
  <si>
    <r>
      <t>溇</t>
    </r>
    <r>
      <rPr>
        <sz val="11"/>
        <color theme="1"/>
        <rFont val="ＭＳ Ｐゴシック"/>
        <family val="3"/>
        <charset val="128"/>
        <scheme val="minor"/>
      </rPr>
      <t>蛮寨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</si>
  <si>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家界金竹山生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</si>
  <si>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果酒（含酒精）;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</si>
  <si>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华钢</t>
    </r>
  </si>
  <si>
    <t>武花珍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</si>
  <si>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</si>
  <si>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t>佰寨夫人</t>
  </si>
  <si>
    <r>
      <t>谢</t>
    </r>
    <r>
      <rPr>
        <sz val="11"/>
        <color theme="1"/>
        <rFont val="ＭＳ Ｐゴシック"/>
        <family val="3"/>
        <charset val="128"/>
        <scheme val="minor"/>
      </rPr>
      <t>富明</t>
    </r>
  </si>
  <si>
    <r>
      <t xml:space="preserve">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</si>
  <si>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城南橙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</si>
  <si>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</si>
  <si>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匠遵</t>
    </r>
    <r>
      <rPr>
        <sz val="11"/>
        <color theme="1"/>
        <rFont val="ＭＳ Ｐゴシック"/>
        <family val="3"/>
        <charset val="134"/>
        <scheme val="minor"/>
      </rPr>
      <t>赋</t>
    </r>
  </si>
  <si>
    <t>周春明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</si>
  <si>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</si>
  <si>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粤芳春</t>
  </si>
  <si>
    <r>
      <t xml:space="preserve">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</si>
  <si>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</si>
  <si>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烈酒; 甜酒; 果酒（含酒精）;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</si>
  <si>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观长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</si>
  <si>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山源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</si>
  <si>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</si>
  <si>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苑双秀</t>
    </r>
  </si>
  <si>
    <r>
      <t>南京美</t>
    </r>
    <r>
      <rPr>
        <sz val="11"/>
        <color theme="1"/>
        <rFont val="ＭＳ Ｐゴシック"/>
        <family val="3"/>
        <charset val="134"/>
        <scheme val="minor"/>
      </rPr>
      <t>谛丝语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</si>
  <si>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蒸煮提取物（利口酒和烈酒）; 白酒; 黄酒; 葡萄酒; 米酒</t>
    </r>
  </si>
  <si>
    <t>颜领鲜</t>
  </si>
  <si>
    <r>
      <t>海南佳德香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</si>
  <si>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食用酒精; 葡萄酒; 果酒（含酒精）; 烈酒;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</si>
  <si>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驼</t>
    </r>
    <r>
      <rPr>
        <sz val="11"/>
        <color theme="1"/>
        <rFont val="ＭＳ Ｐゴシック"/>
        <family val="3"/>
        <charset val="128"/>
        <scheme val="minor"/>
      </rPr>
      <t>之梦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</si>
  <si>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番市</t>
    </r>
    <r>
      <rPr>
        <sz val="11"/>
        <color theme="1"/>
        <rFont val="ＭＳ Ｐゴシック"/>
        <family val="3"/>
        <charset val="134"/>
        <scheme val="minor"/>
      </rPr>
      <t>驼铃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</si>
  <si>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</si>
  <si>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梦之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</si>
  <si>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</si>
  <si>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吴越大夫</t>
  </si>
  <si>
    <t>王美英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</si>
  <si>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</si>
  <si>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李舍</t>
  </si>
  <si>
    <t>李国治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</si>
  <si>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</si>
  <si>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五醍本源</t>
  </si>
  <si>
    <r>
      <t>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</si>
  <si>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露酒</t>
    </r>
  </si>
  <si>
    <t>旺瀛</t>
  </si>
  <si>
    <r>
      <t>东营</t>
    </r>
    <r>
      <rPr>
        <sz val="11"/>
        <color theme="1"/>
        <rFont val="ＭＳ Ｐゴシック"/>
        <family val="3"/>
        <charset val="128"/>
        <scheme val="minor"/>
      </rPr>
      <t>瀛氏食品有限公司</t>
    </r>
  </si>
  <si>
    <r>
      <t xml:space="preserve">米酒; 白酒; 梅酒; 黄酒; 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</si>
  <si>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客</t>
    </r>
  </si>
  <si>
    <t>胡垠盈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</si>
  <si>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</si>
  <si>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连侨</t>
  </si>
  <si>
    <r>
      <t>天台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鞠躬日用品有限公司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</si>
  <si>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白酒; 开胃酒;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</si>
  <si>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越亨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</si>
  <si>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越亨酒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</si>
  <si>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果酒; 烈酒</t>
    </r>
  </si>
  <si>
    <t>溪漪</t>
  </si>
  <si>
    <r>
      <t xml:space="preserve">米酒; 果酒（含酒精）; 黄酒;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</si>
  <si>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佳人</t>
    </r>
  </si>
  <si>
    <r>
      <t>晋江市新塘街道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派百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</si>
  <si>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</si>
  <si>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蛮林</t>
  </si>
  <si>
    <r>
      <t>清酒（日本米酒）;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开胃酒; 白酒</t>
    </r>
  </si>
  <si>
    <r>
      <t>皖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</si>
  <si>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宁夏航晨生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</si>
  <si>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</si>
  <si>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蜀江印象</t>
  </si>
  <si>
    <r>
      <t>成都斯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</si>
  <si>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米酒; 葡萄酒</t>
    </r>
  </si>
  <si>
    <r>
      <t>至</t>
    </r>
    <r>
      <rPr>
        <sz val="11"/>
        <color theme="1"/>
        <rFont val="ＭＳ Ｐゴシック"/>
        <family val="3"/>
        <charset val="134"/>
        <scheme val="minor"/>
      </rPr>
      <t>为</t>
    </r>
  </si>
  <si>
    <t>陈龙视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</si>
  <si>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食用酒精</t>
    </r>
  </si>
  <si>
    <r>
      <t>骅</t>
    </r>
    <r>
      <rPr>
        <sz val="11"/>
        <color theme="1"/>
        <rFont val="ＭＳ Ｐゴシック"/>
        <family val="3"/>
        <charset val="128"/>
        <scheme val="minor"/>
      </rPr>
      <t>倍</t>
    </r>
  </si>
  <si>
    <r>
      <t>淮北乾之隆酒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</si>
  <si>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食用酒精; 高粱酒; 白酒</t>
    </r>
  </si>
  <si>
    <t>双正好物</t>
  </si>
  <si>
    <r>
      <t>定州市双正好物商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</si>
  <si>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威士忌; 黄酒;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</si>
  <si>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诗传龙马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</si>
  <si>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</si>
  <si>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BENLUOBO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</si>
  <si>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西秦五福文化有限公司</t>
    </r>
  </si>
  <si>
    <r>
      <t xml:space="preserve">葡萄酒; 白酒; 米酒; 威士忌; 烈酒; 黄酒; 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</si>
  <si>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</si>
  <si>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山西圣幻星星之火国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</si>
  <si>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</si>
  <si>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韧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</si>
  <si>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章君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</si>
  <si>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高粱酒; 果酒（含酒精）; 威士忌</t>
    </r>
  </si>
  <si>
    <t>厦言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</si>
  <si>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市同安民</t>
    </r>
    <r>
      <rPr>
        <sz val="11"/>
        <color theme="1"/>
        <rFont val="ＭＳ Ｐゴシック"/>
        <family val="3"/>
        <charset val="134"/>
        <scheme val="minor"/>
      </rPr>
      <t>兴酿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</si>
  <si>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利口酒</t>
    </r>
  </si>
  <si>
    <t>隆掌柜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</si>
  <si>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庆伟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</si>
  <si>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青稞酒; 苹果酒</t>
    </r>
  </si>
  <si>
    <t>川竹熊猫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</si>
  <si>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芗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</si>
  <si>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果酒（含酒精）; 威士忌; 伏特加酒; 青稞酒; 朗姆酒; 米酒; 黄酒; 葡萄酒; 白酒; 开胃酒</t>
  </si>
  <si>
    <t>果有品</t>
  </si>
  <si>
    <r>
      <t>白干酒（中国白酒）; 黄酒; 食用酒精; 果酒; 米酒; 葡萄酒;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</si>
  <si>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悠果粒</t>
  </si>
  <si>
    <r>
      <t xml:space="preserve">葡萄酒; 果酒（含酒精）; 黄酒;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米酒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</si>
  <si>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有境界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</si>
  <si>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黄酒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</si>
  <si>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黄酒; 蒸煮提取物（利口酒和烈酒）;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</si>
  <si>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天香酒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</si>
  <si>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</si>
  <si>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</si>
  <si>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力达瑞德（青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</si>
  <si>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咖啡利口酒; 黄酒; 烈酒; 白酒;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</si>
  <si>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上之交</t>
  </si>
  <si>
    <r>
      <t>上海徼妙企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</si>
  <si>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</si>
  <si>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</si>
  <si>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</si>
  <si>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t>万利加</t>
  </si>
  <si>
    <r>
      <t>韩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</si>
  <si>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</si>
  <si>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偏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清花</t>
    </r>
  </si>
  <si>
    <t>郭浪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</si>
  <si>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威士忌; 果酒（含酒精）</t>
    </r>
  </si>
  <si>
    <t>翃丰</t>
  </si>
  <si>
    <r>
      <t>刘先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</si>
  <si>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露酒; 白酒; 清酒;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</si>
  <si>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巨源八斗</t>
  </si>
  <si>
    <r>
      <t>敦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（包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市）管理有限公司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</si>
  <si>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</si>
  <si>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 xml:space="preserve">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</si>
  <si>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</si>
  <si>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月吟</t>
    </r>
  </si>
  <si>
    <r>
      <t>黄酒; 汽酒;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</si>
  <si>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敕勒歌</t>
  </si>
  <si>
    <r>
      <t>内蒙古敕勒歌酒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</si>
  <si>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</si>
  <si>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</si>
  <si>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九仙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</si>
  <si>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清酒（日本米酒）</t>
    </r>
  </si>
  <si>
    <r>
      <t>乔纳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</si>
  <si>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市思帆食品有限公司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</si>
  <si>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</si>
  <si>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黄小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</si>
  <si>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黄山供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</si>
  <si>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</t>
    </r>
  </si>
  <si>
    <t>老瑞</t>
  </si>
  <si>
    <r>
      <t xml:space="preserve">清酒（日本米酒）;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威士忌; 葡萄酒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</si>
  <si>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丽贵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</si>
  <si>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</si>
  <si>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开胃酒;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利口酒;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</si>
  <si>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</si>
  <si>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</si>
  <si>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大田集</t>
  </si>
  <si>
    <r>
      <t>国花科技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</si>
  <si>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食用酒精;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</si>
  <si>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桉</t>
    </r>
  </si>
  <si>
    <r>
      <t>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</si>
  <si>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</si>
  <si>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食用酒精; 果酒; 蒸煮提取物（利口酒和烈酒）;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</si>
  <si>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帝开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</si>
  <si>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黄酒;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葡萄酒; 米酒; 白酒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</si>
  <si>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</si>
  <si>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</si>
  <si>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汽酒;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</si>
  <si>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凌穹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</si>
  <si>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开胃酒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</si>
  <si>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花好月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</si>
  <si>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果酒</t>
    </r>
  </si>
  <si>
    <r>
      <t>福叩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</si>
  <si>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云南鼎</t>
    </r>
    <r>
      <rPr>
        <sz val="11"/>
        <color theme="1"/>
        <rFont val="ＭＳ Ｐゴシック"/>
        <family val="3"/>
        <charset val="134"/>
        <scheme val="minor"/>
      </rPr>
      <t>创营销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</si>
  <si>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食用酒精;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</si>
  <si>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丰祺鑫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</si>
  <si>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</si>
  <si>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CHATEAU GIZELR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</si>
  <si>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</si>
  <si>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姚溪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</si>
  <si>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大姚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</si>
  <si>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露酒; 白酒; 果酒（含酒精）; 甜果酒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</si>
  <si>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道液</t>
    </r>
  </si>
  <si>
    <r>
      <t>上海玻宇工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</si>
  <si>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甜果酒; 米酒; 葡萄酒; 白酒</t>
    </r>
  </si>
  <si>
    <t>萃星禾尚品</t>
  </si>
  <si>
    <r>
      <t>四川佑美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</si>
  <si>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</t>
    </r>
  </si>
  <si>
    <t>口粮焱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</si>
  <si>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露酒; 高粱酒</t>
    </r>
  </si>
  <si>
    <r>
      <t>递</t>
    </r>
    <r>
      <rPr>
        <sz val="11"/>
        <color theme="1"/>
        <rFont val="ＭＳ Ｐゴシック"/>
        <family val="3"/>
        <charset val="128"/>
        <scheme val="minor"/>
      </rPr>
      <t>酒天</t>
    </r>
  </si>
  <si>
    <r>
      <t>安阳酒在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</si>
  <si>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清酒（日本米酒）; 米酒; 食用酒精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</si>
  <si>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</si>
  <si>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吉林吉孟商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</si>
  <si>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清酒; 水果汽酒;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</si>
  <si>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滇无二</t>
  </si>
  <si>
    <r>
      <t>开胃酒; 果酒;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</si>
  <si>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许铜锣</t>
  </si>
  <si>
    <r>
      <t>黄酒; 果酒; 利口酒;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清酒; 威士忌</t>
    </r>
  </si>
  <si>
    <t>西施井</t>
  </si>
  <si>
    <r>
      <t>国医圣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</si>
  <si>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</si>
  <si>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t>樽棠</t>
  </si>
  <si>
    <r>
      <t>赖</t>
    </r>
    <r>
      <rPr>
        <sz val="11"/>
        <color theme="1"/>
        <rFont val="ＭＳ Ｐゴシック"/>
        <family val="3"/>
        <charset val="128"/>
        <scheme val="minor"/>
      </rPr>
      <t>昌乾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</si>
  <si>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米酒</t>
    </r>
  </si>
  <si>
    <r>
      <t>内蒙古云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达信息技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</si>
  <si>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露酒; 白干酒（中国白酒）;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</si>
  <si>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</si>
  <si>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</si>
  <si>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清酒（日本米酒）; 米酒; 汽酒; 黄酒</t>
    </r>
  </si>
  <si>
    <t>敷甦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</si>
  <si>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</si>
  <si>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禄禄大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</si>
  <si>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市新会禄和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</si>
  <si>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露酒;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白干酒（中国白酒）; 柑香酒</t>
    </r>
  </si>
  <si>
    <r>
      <t>合丰9号 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直供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</si>
  <si>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</si>
  <si>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</si>
  <si>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允堂</t>
    </r>
  </si>
  <si>
    <r>
      <t>北同</t>
    </r>
    <r>
      <rPr>
        <sz val="11"/>
        <color theme="1"/>
        <rFont val="ＭＳ Ｐゴシック"/>
        <family val="3"/>
        <charset val="134"/>
        <scheme val="minor"/>
      </rPr>
      <t>验</t>
    </r>
    <r>
      <rPr>
        <sz val="11"/>
        <color theme="1"/>
        <rFont val="ＭＳ Ｐゴシック"/>
        <family val="3"/>
        <charset val="128"/>
        <scheme val="minor"/>
      </rPr>
      <t>方堂(杭州)健康科技有限公司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</si>
  <si>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</si>
  <si>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</si>
  <si>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</si>
  <si>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督</t>
    </r>
  </si>
  <si>
    <r>
      <t xml:space="preserve">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</si>
  <si>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唐朝</t>
    </r>
    <r>
      <rPr>
        <sz val="11"/>
        <color theme="1"/>
        <rFont val="ＭＳ Ｐゴシック"/>
        <family val="3"/>
        <charset val="134"/>
        <scheme val="minor"/>
      </rPr>
      <t>单</t>
    </r>
    <r>
      <rPr>
        <sz val="11"/>
        <color theme="1"/>
        <rFont val="ＭＳ Ｐゴシック"/>
        <family val="3"/>
        <charset val="128"/>
        <scheme val="minor"/>
      </rPr>
      <t>碗儿</t>
    </r>
  </si>
  <si>
    <r>
      <t>四川唐朝老窖（集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</si>
  <si>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青稞酒;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葡萄酒; 蒸煮提取物（利口酒和烈酒）; 果酒</t>
    </r>
  </si>
  <si>
    <t>雍曦</t>
  </si>
  <si>
    <r>
      <t>南安市梅山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萌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</si>
  <si>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食用酒精; 米酒</t>
    </r>
  </si>
  <si>
    <r>
      <t>晋江市禾万稼商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</si>
  <si>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</si>
  <si>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安徽青韶医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</si>
  <si>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果酒（含酒精）;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食用酒精; 果酒; 烈酒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</si>
  <si>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</si>
  <si>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黄酒; 果酒</t>
    </r>
  </si>
  <si>
    <r>
      <t>寄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</si>
  <si>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合肥灵蓄信息技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</si>
  <si>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蒸煮提取物（利口酒和烈酒）; 食用酒精;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</si>
  <si>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t>SIQIYOUNG</t>
  </si>
  <si>
    <t>袁忠利</t>
  </si>
  <si>
    <r>
      <t xml:space="preserve">葡萄酒; 果酒;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</si>
  <si>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射竹峰</t>
  </si>
  <si>
    <r>
      <t>河南省黄金御泉酒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</si>
  <si>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利口酒;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葡萄酒; 果酒（含酒精）; 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</si>
  <si>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府第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</si>
  <si>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钺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</si>
  <si>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汽酒; 果酒（含酒精）; 白酒;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</si>
  <si>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鲟龙</t>
    </r>
    <r>
      <rPr>
        <sz val="11"/>
        <color theme="1"/>
        <rFont val="ＭＳ Ｐゴシック"/>
        <family val="3"/>
        <charset val="128"/>
        <scheme val="minor"/>
      </rPr>
      <t>爵</t>
    </r>
  </si>
  <si>
    <t>天下一品（北京）品牌管理有限公司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</si>
  <si>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</si>
  <si>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菜姊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 xml:space="preserve"> ZI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</si>
  <si>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味精食品有限公司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</si>
  <si>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米酒; 食用酒精; 白酒</t>
    </r>
  </si>
  <si>
    <r>
      <t>昱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金都</t>
    </r>
  </si>
  <si>
    <r>
      <t>耿延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</si>
  <si>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甘蔗制烈酒</t>
    </r>
  </si>
  <si>
    <r>
      <t>光前</t>
    </r>
    <r>
      <rPr>
        <sz val="11"/>
        <color theme="1"/>
        <rFont val="ＭＳ Ｐゴシック"/>
        <family val="3"/>
        <charset val="134"/>
        <scheme val="minor"/>
      </rPr>
      <t>酿</t>
    </r>
  </si>
  <si>
    <t>裕后泉有限公司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</si>
  <si>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</si>
  <si>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恪正酒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</si>
  <si>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屈元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</si>
  <si>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葡萄酒;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</si>
  <si>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NEXT STORY</t>
  </si>
  <si>
    <t>梁洪昌</t>
  </si>
  <si>
    <r>
      <t xml:space="preserve">甜酒; 黄酒; 清酒; 米酒; 食用酒精; 白酒; 果酒;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</si>
  <si>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鑫京</t>
    </r>
    <r>
      <rPr>
        <sz val="11"/>
        <color theme="1"/>
        <rFont val="ＭＳ Ｐゴシック"/>
        <family val="3"/>
        <charset val="134"/>
        <scheme val="minor"/>
      </rPr>
      <t>风</t>
    </r>
  </si>
  <si>
    <t>李昊男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</si>
  <si>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</si>
  <si>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万沼</t>
  </si>
  <si>
    <r>
      <t>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</si>
  <si>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兴许东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</si>
  <si>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许东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</si>
  <si>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梨酒; 米酒; 清酒（日本米酒）</t>
    </r>
  </si>
  <si>
    <t>清照白酒</t>
  </si>
  <si>
    <t>清照星辰</t>
  </si>
  <si>
    <r>
      <t>白酒; 开胃酒; 苹果酒;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酸酒（低等葡萄酒）</t>
    </r>
  </si>
  <si>
    <t>脱孤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</si>
  <si>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冈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</si>
  <si>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t>D 道小果 D D 道小果</t>
  </si>
  <si>
    <r>
      <t>周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</si>
  <si>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威士忌; 黄酒; 白酒; 清酒（日本米酒）;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</si>
  <si>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屋</t>
    </r>
  </si>
  <si>
    <r>
      <t>深圳市平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</si>
  <si>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清酒（日本米酒）;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</si>
  <si>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花小北</t>
  </si>
  <si>
    <t>何超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</si>
  <si>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</si>
  <si>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</si>
  <si>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上杭</t>
    </r>
    <r>
      <rPr>
        <sz val="11"/>
        <color theme="1"/>
        <rFont val="ＭＳ Ｐゴシック"/>
        <family val="3"/>
        <charset val="134"/>
        <scheme val="minor"/>
      </rPr>
      <t>县闽</t>
    </r>
    <r>
      <rPr>
        <sz val="11"/>
        <color theme="1"/>
        <rFont val="ＭＳ Ｐゴシック"/>
        <family val="3"/>
        <charset val="128"/>
        <scheme val="minor"/>
      </rPr>
      <t>耀食品加工厂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</si>
  <si>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</si>
  <si>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缀</t>
    </r>
    <r>
      <rPr>
        <sz val="11"/>
        <color theme="1"/>
        <rFont val="ＭＳ Ｐゴシック"/>
        <family val="3"/>
        <charset val="128"/>
        <scheme val="minor"/>
      </rPr>
      <t>牛 ZHEEUNIU</t>
    </r>
  </si>
  <si>
    <t>孟搏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</si>
  <si>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黄酒;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</t>
    </r>
  </si>
  <si>
    <r>
      <t>缘圆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</si>
  <si>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张兴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</si>
  <si>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 xml:space="preserve">高粱酒; 米酒; 黄酒; 白酒; 食用酒精;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青稞酒</t>
    </r>
  </si>
  <si>
    <t>湖南三餐品牌管理有限公司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</si>
  <si>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米酒; 开胃酒; 甜酒; 果酒; 烈酒; 黄酒</t>
    </r>
  </si>
  <si>
    <r>
      <t>葡萄酒; 甜酒; 清酒; 黄酒; 米酒;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</si>
  <si>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大元福盛</t>
    </r>
  </si>
  <si>
    <t>浙江元福盛文化科技有限公司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</si>
  <si>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苦味酒; 开胃酒; 白酒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</si>
  <si>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化答</t>
    </r>
    <r>
      <rPr>
        <sz val="11"/>
        <color theme="1"/>
        <rFont val="ＭＳ Ｐゴシック"/>
        <family val="3"/>
        <charset val="134"/>
        <scheme val="minor"/>
      </rPr>
      <t>题</t>
    </r>
    <r>
      <rPr>
        <sz val="11"/>
        <color theme="1"/>
        <rFont val="ＭＳ Ｐゴシック"/>
        <family val="3"/>
        <charset val="128"/>
        <scheme val="minor"/>
      </rPr>
      <t>文化（山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</si>
  <si>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烈酒; 米酒</t>
    </r>
  </si>
  <si>
    <t>文略</t>
  </si>
  <si>
    <t>白勇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</si>
  <si>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白酒; 利口酒; 黄酒</t>
    </r>
  </si>
  <si>
    <t>裕后泉·裕民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</si>
  <si>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</si>
  <si>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巳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</si>
  <si>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 xml:space="preserve">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</si>
  <si>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醉梅姚江</t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</si>
  <si>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含酒精的气泡水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</si>
  <si>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日凸</t>
    </r>
  </si>
  <si>
    <r>
      <t>国蒙健康科技（通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</si>
  <si>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</si>
  <si>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柒翁</t>
  </si>
  <si>
    <t>姜涛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</si>
  <si>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</si>
  <si>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恒蜀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</si>
  <si>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</si>
  <si>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解悠礼韵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</si>
  <si>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</si>
  <si>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白干酒（中国白酒）; 黄酒; 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</si>
  <si>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山源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</si>
  <si>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山源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</si>
  <si>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烈酒;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白酒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</si>
  <si>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安祥瑞</t>
    </r>
  </si>
  <si>
    <t>刘莎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</si>
  <si>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</si>
  <si>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鲟龙汇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</si>
  <si>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</si>
  <si>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沅景台</t>
  </si>
  <si>
    <r>
      <t>食用酒精; 白酒; 果酒; 葡萄酒;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</si>
  <si>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市增和酒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</si>
  <si>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清酒; 食用酒精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</si>
  <si>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越粮</t>
    </r>
  </si>
  <si>
    <r>
      <t>保定众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</si>
  <si>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</si>
  <si>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话</t>
    </r>
    <r>
      <rPr>
        <sz val="11"/>
        <color theme="1"/>
        <rFont val="ＭＳ Ｐゴシック"/>
        <family val="3"/>
        <charset val="128"/>
        <scheme val="minor"/>
      </rPr>
      <t>蜀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</si>
  <si>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果酒; 黄酒; 开胃酒</t>
    </r>
  </si>
  <si>
    <r>
      <t>拉夫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</si>
  <si>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圣•格雷斯国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</si>
  <si>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</si>
  <si>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藏元</t>
    </r>
    <r>
      <rPr>
        <sz val="11"/>
        <color theme="1"/>
        <rFont val="ＭＳ Ｐゴシック"/>
        <family val="3"/>
        <charset val="134"/>
        <scheme val="minor"/>
      </rPr>
      <t>鸿</t>
    </r>
  </si>
  <si>
    <t>周利凡</t>
  </si>
  <si>
    <r>
      <t>清酒（日本米酒）;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开胃酒; 威士忌</t>
    </r>
  </si>
  <si>
    <t>粉笔</t>
  </si>
  <si>
    <r>
      <t>北京粉笔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天科技有限公司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</si>
  <si>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杜松子酒;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果酒（含酒精）; 蜂蜜酒</t>
    </r>
  </si>
  <si>
    <t>圣照健</t>
  </si>
  <si>
    <r>
      <t>上海万寿山医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</si>
  <si>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米酒; 青稞酒;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</si>
  <si>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半壁翁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</si>
  <si>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市叙典坊酒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</si>
  <si>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</si>
  <si>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三耳兔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</si>
  <si>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</si>
  <si>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</si>
  <si>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裕后泉·裕家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</si>
  <si>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</si>
  <si>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鑫京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</si>
  <si>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白酒; 果酒（含酒精）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</si>
  <si>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</si>
  <si>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海口仟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</si>
  <si>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梨酒; 白酒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</si>
  <si>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阶</t>
    </r>
  </si>
  <si>
    <r>
      <t>党松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</si>
  <si>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</si>
  <si>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玖未烊</t>
  </si>
  <si>
    <r>
      <t>石家庄玖未烊酒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</si>
  <si>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米酒; 果酒; 白干酒（中国白酒）; 高粱酒; 黄酒</t>
    </r>
  </si>
  <si>
    <t>广善德</t>
  </si>
  <si>
    <r>
      <t>镇</t>
    </r>
    <r>
      <rPr>
        <sz val="11"/>
        <color theme="1"/>
        <rFont val="ＭＳ Ｐゴシック"/>
        <family val="3"/>
        <charset val="128"/>
        <scheme val="minor"/>
      </rPr>
      <t>江广善德中医</t>
    </r>
    <r>
      <rPr>
        <sz val="11"/>
        <color theme="1"/>
        <rFont val="ＭＳ Ｐゴシック"/>
        <family val="3"/>
        <charset val="134"/>
        <scheme val="minor"/>
      </rPr>
      <t>门诊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</si>
  <si>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食用酒精</t>
    </r>
  </si>
  <si>
    <r>
      <t>骆驼</t>
    </r>
    <r>
      <rPr>
        <sz val="11"/>
        <color theme="1"/>
        <rFont val="ＭＳ Ｐゴシック"/>
        <family val="3"/>
        <charset val="128"/>
        <scheme val="minor"/>
      </rPr>
      <t>景花春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</si>
  <si>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骆驼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</si>
  <si>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</si>
  <si>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海益熹达</t>
  </si>
  <si>
    <r>
      <t>海南省益椰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</si>
  <si>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</si>
  <si>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</si>
  <si>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茂隆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园食品有限公司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</si>
  <si>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</t>
    </r>
  </si>
  <si>
    <r>
      <t>骇</t>
    </r>
    <r>
      <rPr>
        <sz val="11"/>
        <color theme="1"/>
        <rFont val="ＭＳ Ｐゴシック"/>
        <family val="3"/>
        <charset val="128"/>
        <scheme val="minor"/>
      </rPr>
      <t>浪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</si>
  <si>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</si>
  <si>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御舒福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</si>
  <si>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堂科技有限公司</t>
    </r>
  </si>
  <si>
    <r>
      <t>白酒; 利口酒; 黄酒;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</si>
  <si>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彧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</si>
  <si>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市楚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</si>
  <si>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食用酒精; 果酒（含酒精）; 白酒; 葡萄酒; 米酒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</si>
  <si>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言栖拾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</si>
  <si>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</si>
  <si>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古水古</t>
  </si>
  <si>
    <t>梁保峰******************</t>
  </si>
  <si>
    <r>
      <t>烈性干酒; 白干酒（中国白酒）; 清酒（日本米酒）; 食用酒精; 果酒;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</si>
  <si>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古水古坊</t>
  </si>
  <si>
    <r>
      <t>白酒; 果酒; 食用酒精; 米酒; 清酒（日本米酒）;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烈性干酒; 烈酒; 黄酒</t>
    </r>
  </si>
  <si>
    <t>裕九君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</si>
  <si>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高粱酒;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果酒; 黄酒</t>
    </r>
  </si>
  <si>
    <r>
      <t>猛</t>
    </r>
    <r>
      <rPr>
        <sz val="11"/>
        <color theme="1"/>
        <rFont val="ＭＳ Ｐゴシック"/>
        <family val="3"/>
        <charset val="134"/>
        <scheme val="minor"/>
      </rPr>
      <t>计</t>
    </r>
  </si>
  <si>
    <t>李遵平</t>
  </si>
  <si>
    <r>
      <t>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清酒;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</si>
  <si>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唐有</t>
    </r>
    <r>
      <rPr>
        <sz val="11"/>
        <color theme="1"/>
        <rFont val="ＭＳ Ｐゴシック"/>
        <family val="3"/>
        <charset val="134"/>
        <scheme val="minor"/>
      </rPr>
      <t>财</t>
    </r>
  </si>
  <si>
    <t>李斌</t>
  </si>
  <si>
    <r>
      <t>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黄酒; 餐后酒（利口酒和烈酒）; 果酒（含酒精）</t>
    </r>
  </si>
  <si>
    <t>大沛</t>
  </si>
  <si>
    <r>
      <t>白酒; 开胃酒; 清酒（日本米酒）;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</si>
  <si>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寻觅</t>
    </r>
    <r>
      <rPr>
        <sz val="11"/>
        <color theme="1"/>
        <rFont val="ＭＳ Ｐゴシック"/>
        <family val="3"/>
        <charset val="128"/>
        <scheme val="minor"/>
      </rPr>
      <t>甜心</t>
    </r>
  </si>
  <si>
    <t>温州零下八度食品有限公司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</si>
  <si>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含奶油利口酒; 米酒; 白酒; 果酒; 白葡萄酒;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</si>
  <si>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滦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</si>
  <si>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</si>
  <si>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白酒; 果酒(含酒精); 威士忌; 葡萄酒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</si>
  <si>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释</t>
    </r>
  </si>
  <si>
    <r>
      <t xml:space="preserve">黄酒; 米酒; 葡萄酒; 白酒; 青稞酒;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</si>
  <si>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食空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</si>
  <si>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漯河市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</si>
  <si>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白酒; 黄酒; 果酒（含酒精）;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</si>
  <si>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匠咏匠</t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</si>
  <si>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</si>
  <si>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威士忌;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</si>
  <si>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</si>
  <si>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 xml:space="preserve">葡萄酒; 米酒; 青稞酒;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</si>
  <si>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希健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</si>
  <si>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希健生物科技集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</si>
  <si>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</si>
  <si>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日扇</t>
  </si>
  <si>
    <t>耿娜莉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</si>
  <si>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日本梅子酒</t>
    </r>
  </si>
  <si>
    <r>
      <t>果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力量</t>
    </r>
  </si>
  <si>
    <r>
      <t>石家庄巨嘴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</si>
  <si>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青稞酒; 含酒精的气泡水; 果酒（含酒精）; 甜果酒; 露酒;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</si>
  <si>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君百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</si>
  <si>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烈酒;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</si>
  <si>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安七郎中</t>
    </r>
  </si>
  <si>
    <t>四川省七郎养道文化科技有限公司</t>
  </si>
  <si>
    <r>
      <t xml:space="preserve">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米酒; 汽酒; 白酒; 果酒（含酒精）; 黄酒</t>
    </r>
  </si>
  <si>
    <t>宋芝源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</si>
  <si>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</si>
  <si>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景</t>
    </r>
  </si>
  <si>
    <r>
      <t>深圳市合源松达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</si>
  <si>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威士忌; 蜂蜜酒; 葡萄酒</t>
    </r>
  </si>
  <si>
    <r>
      <t>粮王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</si>
  <si>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苹果酒; 梨酒; 葡萄酒; 蜂蜜酒;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</si>
  <si>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道巷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</si>
  <si>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</si>
  <si>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裕后泉裕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</si>
  <si>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</si>
  <si>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龙调</t>
  </si>
  <si>
    <r>
      <t xml:space="preserve">黄酒; 果酒;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高粱酒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</si>
  <si>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</si>
  <si>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尊匠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</si>
  <si>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尊印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</si>
  <si>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白酒; 食用酒精;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</si>
  <si>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湾印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</si>
  <si>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茶一八六一文化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口）有限公司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</si>
  <si>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清酒; 白酒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</si>
  <si>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</si>
  <si>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青稞酒; 威士忌; 葡萄酒;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</si>
  <si>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聚当年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</si>
  <si>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</si>
  <si>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上海来布拉科技有限公司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</si>
  <si>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水果汽酒;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果酒（含酒精）; 梅酒; 甜果酒</t>
    </r>
  </si>
  <si>
    <t>璋元明</t>
  </si>
  <si>
    <r>
      <t>宁波宝烽城市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</si>
  <si>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</si>
  <si>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光前牌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</si>
  <si>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</si>
  <si>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TAISUIXIANG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</si>
  <si>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锡贝尔</t>
    </r>
    <r>
      <rPr>
        <sz val="11"/>
        <color theme="1"/>
        <rFont val="ＭＳ Ｐゴシック"/>
        <family val="3"/>
        <charset val="128"/>
        <scheme val="minor"/>
      </rPr>
      <t>康生物科技研究所</t>
    </r>
  </si>
  <si>
    <r>
      <t>清酒（日本米酒）;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</si>
  <si>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迎正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</si>
  <si>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威士忌; 白酒; 青稞酒; 黄酒; 米酒;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</si>
  <si>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银涧</t>
  </si>
  <si>
    <r>
      <t xml:space="preserve">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</si>
  <si>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盖世玉</t>
    </r>
    <r>
      <rPr>
        <sz val="11"/>
        <color theme="1"/>
        <rFont val="ＭＳ Ｐゴシック"/>
        <family val="3"/>
        <charset val="134"/>
        <scheme val="minor"/>
      </rPr>
      <t>玺</t>
    </r>
  </si>
  <si>
    <t>祁佳怡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</si>
  <si>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白酒; 米酒; 黄酒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</si>
  <si>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草原</t>
    </r>
  </si>
  <si>
    <r>
      <t>内蒙古太仆寺旗草原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</si>
  <si>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</si>
  <si>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甜果象</t>
  </si>
  <si>
    <t>南京溧达辰新科技有限公司</t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</si>
  <si>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茴芹酒（利口酒）; 米酒</t>
    </r>
  </si>
  <si>
    <r>
      <t>祎</t>
    </r>
    <r>
      <rPr>
        <sz val="11"/>
        <color theme="1"/>
        <rFont val="ＭＳ Ｐゴシック"/>
        <family val="3"/>
        <charset val="128"/>
        <scheme val="minor"/>
      </rPr>
      <t>旺</t>
    </r>
  </si>
  <si>
    <t>梁建勇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</si>
  <si>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米酒; 清酒（日本米酒）;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</si>
  <si>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果孖孖</t>
  </si>
  <si>
    <t>王磊******************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</si>
  <si>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</si>
  <si>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崖河</t>
    </r>
  </si>
  <si>
    <r>
      <t>天水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崖河菌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种植有限公司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</si>
  <si>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甜酒;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</si>
  <si>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益中丞</t>
  </si>
  <si>
    <r>
      <t>孙</t>
    </r>
    <r>
      <rPr>
        <sz val="11"/>
        <color theme="1"/>
        <rFont val="ＭＳ Ｐゴシック"/>
        <family val="3"/>
        <charset val="128"/>
        <scheme val="minor"/>
      </rPr>
      <t>增光</t>
    </r>
  </si>
  <si>
    <r>
      <t>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</si>
  <si>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</si>
  <si>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燕玉</t>
    </r>
  </si>
  <si>
    <r>
      <t xml:space="preserve">米酒; 高粱酒; 梅酒;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</si>
  <si>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奢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</si>
  <si>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南悦容酒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</si>
  <si>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</si>
  <si>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溢</t>
    </r>
    <r>
      <rPr>
        <sz val="11"/>
        <color theme="1"/>
        <rFont val="ＭＳ Ｐゴシック"/>
        <family val="3"/>
        <charset val="134"/>
        <scheme val="minor"/>
      </rPr>
      <t>锦铭</t>
    </r>
  </si>
  <si>
    <r>
      <t>李平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</si>
  <si>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开胃酒; 餐后酒（利口酒和烈酒）; 果酒（含酒精）</t>
    </r>
  </si>
  <si>
    <t>BEAR HH</t>
  </si>
  <si>
    <t>王杰</t>
  </si>
  <si>
    <r>
      <t xml:space="preserve">蜂蜜酒; 米酒; 白干酒（中国白酒）;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</si>
  <si>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黄小浪</t>
  </si>
  <si>
    <r>
      <t>兰库</t>
    </r>
    <r>
      <rPr>
        <sz val="11"/>
        <color theme="1"/>
        <rFont val="ＭＳ Ｐゴシック"/>
        <family val="3"/>
        <charset val="128"/>
        <scheme val="minor"/>
      </rPr>
      <t>（甘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）食品科技有限公司</t>
    </r>
  </si>
  <si>
    <r>
      <t>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伏特加酒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</si>
  <si>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中楚天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</si>
  <si>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中楚天医院管理（湖南）集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</si>
  <si>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威士忌; 葡萄酒; 米酒; 蜂蜜酒; 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</si>
  <si>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</si>
  <si>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清酒; 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</si>
  <si>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初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</si>
  <si>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</si>
  <si>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云露山</t>
  </si>
  <si>
    <r>
      <t>南阳云牧默河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光旅游有限公司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</si>
  <si>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烈酒;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</si>
  <si>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艾双喜</t>
  </si>
  <si>
    <t>艾小喜（四川省）食品有限公司</t>
  </si>
  <si>
    <r>
      <t>露酒;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清酒（日本米酒）;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日式甜米酒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</si>
  <si>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桑叒</t>
    </r>
  </si>
  <si>
    <r>
      <t>四川便利同城网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</si>
  <si>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白酒;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</si>
  <si>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匠王秉乾四季</t>
  </si>
  <si>
    <r>
      <t>直</t>
    </r>
    <r>
      <rPr>
        <sz val="11"/>
        <color theme="1"/>
        <rFont val="ＭＳ Ｐゴシック"/>
        <family val="3"/>
        <charset val="134"/>
        <scheme val="minor"/>
      </rPr>
      <t>订</t>
    </r>
    <r>
      <rPr>
        <sz val="11"/>
        <color theme="1"/>
        <rFont val="ＭＳ Ｐゴシック"/>
        <family val="3"/>
        <charset val="128"/>
        <scheme val="minor"/>
      </rPr>
      <t>网网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</si>
  <si>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白酒; 薄荷酒</t>
    </r>
  </si>
  <si>
    <t>文晟一品</t>
  </si>
  <si>
    <r>
      <t>深圳初心酒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</si>
  <si>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威士忌</t>
    </r>
  </si>
  <si>
    <t>李明英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</si>
  <si>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市李明英酒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</si>
  <si>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葡萄酒; 白酒; 青稞酒; 露酒; 黄酒; 梨酒;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</si>
  <si>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神州行</t>
  </si>
  <si>
    <r>
      <t>佛山市和麦丰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</si>
  <si>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</si>
  <si>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衍蔵</t>
  </si>
  <si>
    <r>
      <t>徐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</si>
  <si>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米酒;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</t>
    </r>
  </si>
  <si>
    <t>阿斯特利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</si>
  <si>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</si>
  <si>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利口酒; 朗姆酒; 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伏特加酒</t>
    </r>
  </si>
  <si>
    <r>
      <t>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尊大</t>
    </r>
  </si>
  <si>
    <t>何小娟</t>
  </si>
  <si>
    <r>
      <t>米酒; 黄酒;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</si>
  <si>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秘半卷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</si>
  <si>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</si>
  <si>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米酒; 蒸煮提取物（利口酒和烈酒）;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</si>
  <si>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漉台</t>
  </si>
  <si>
    <r>
      <t>北京大地泰河科技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</si>
  <si>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高粱酒; 白葡萄酒; 果酒（含酒精）</t>
    </r>
  </si>
  <si>
    <t>金世幸福牌 金世之福金世福牌金世福酒庄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</si>
  <si>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清酒; 烈酒; 果酒; 白酒</t>
    </r>
  </si>
  <si>
    <t>梁盛坊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</si>
  <si>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开胃酒;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</si>
  <si>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KATARRAKTIS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</si>
  <si>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</si>
  <si>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</si>
  <si>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海朗祺园</t>
  </si>
  <si>
    <t>海南松康康养有限公司</t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</si>
  <si>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伏特加酒</t>
    </r>
  </si>
  <si>
    <r>
      <t>行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</si>
  <si>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四川菀虞酒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</si>
  <si>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烈酒;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</si>
  <si>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似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</si>
  <si>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孙继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</si>
  <si>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</si>
  <si>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邦瑞公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</si>
  <si>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聚科技有限公司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</si>
  <si>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</si>
  <si>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华节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</si>
  <si>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州五魁首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</si>
  <si>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食用酒精;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</si>
  <si>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章河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</si>
  <si>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欣育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</si>
  <si>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烈酒; 米酒</t>
    </r>
  </si>
  <si>
    <t>牛斗星</t>
  </si>
  <si>
    <r>
      <t xml:space="preserve">果酒（含酒精）;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米酒; 青稞酒</t>
    </r>
  </si>
  <si>
    <t>㶁霖</t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</si>
  <si>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</si>
  <si>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卿吻</t>
  </si>
  <si>
    <t>黄雪桃</t>
  </si>
  <si>
    <r>
      <t xml:space="preserve">白酒; 果酒; 果酒（含酒精）; 葡萄酒; 黄酒; 白干酒（中国白酒）;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</si>
  <si>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西北</t>
    </r>
    <r>
      <rPr>
        <sz val="11"/>
        <color theme="1"/>
        <rFont val="ＭＳ Ｐゴシック"/>
        <family val="3"/>
        <charset val="134"/>
        <scheme val="minor"/>
      </rPr>
      <t>沧</t>
    </r>
  </si>
  <si>
    <r>
      <t>北京牛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山庄酒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</si>
  <si>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</t>
    </r>
  </si>
  <si>
    <t>沅芷墨</t>
  </si>
  <si>
    <r>
      <t>巨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科技（厦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</si>
  <si>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青稞酒;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</si>
  <si>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桑芝宝</t>
  </si>
  <si>
    <r>
      <t>安徽蜀佳酒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</si>
  <si>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果酒（含酒精）; 黄酒; 食用酒精; 开胃酒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</si>
  <si>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亮春</t>
    </r>
  </si>
  <si>
    <r>
      <t>张书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</si>
  <si>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葡萄酒; 米酒; 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</si>
  <si>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中原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</si>
  <si>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</si>
  <si>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UIRU</t>
  </si>
  <si>
    <r>
      <t>深圳市宜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</si>
  <si>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</si>
  <si>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输赢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</si>
  <si>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州御原坊酒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</si>
  <si>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蒸煮提取物（利口酒和烈酒）; 葡萄酒; 白酒; 露酒</t>
    </r>
  </si>
  <si>
    <t>尤稼源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</si>
  <si>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稼源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</si>
  <si>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含酒精的气泡水</t>
    </r>
  </si>
  <si>
    <r>
      <t>凤饮</t>
    </r>
    <r>
      <rPr>
        <sz val="11"/>
        <color theme="1"/>
        <rFont val="ＭＳ Ｐゴシック"/>
        <family val="3"/>
        <charset val="128"/>
        <scheme val="minor"/>
      </rPr>
      <t>蠡水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</si>
  <si>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沂燚天下企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</si>
  <si>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刺五加酒;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</si>
  <si>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川菱科技（惠州）有限公司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</si>
  <si>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蜂蜜酒; 葡萄酒;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</si>
  <si>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量可老</t>
  </si>
  <si>
    <r>
      <t>深圳三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达建筑工程有限公司</t>
    </r>
  </si>
  <si>
    <r>
      <t>蒸煮提取物（利口酒和烈酒）; 伏特加酒; 威士忌;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</si>
  <si>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悍春堂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</si>
  <si>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宁市海</t>
    </r>
    <r>
      <rPr>
        <sz val="11"/>
        <color theme="1"/>
        <rFont val="ＭＳ Ｐゴシック"/>
        <family val="3"/>
        <charset val="134"/>
        <scheme val="minor"/>
      </rPr>
      <t>跃电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</si>
  <si>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果酒; 白酒</t>
    </r>
  </si>
  <si>
    <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薄荷酒;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</si>
  <si>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绿艺</t>
  </si>
  <si>
    <r>
      <t>中方侗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花食品科技有限公司</t>
    </r>
  </si>
  <si>
    <r>
      <t>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</si>
  <si>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冀晟唐</t>
    </r>
  </si>
  <si>
    <t>李晶晶（*****************X）</t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</si>
  <si>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白酒; 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</si>
  <si>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稣</t>
    </r>
  </si>
  <si>
    <t>盛文杰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</si>
  <si>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</si>
  <si>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客桂匠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</si>
  <si>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市金客酒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</si>
  <si>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</si>
  <si>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闻龙</t>
    </r>
  </si>
  <si>
    <r>
      <t>湖南湘江新区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湘宏韵商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</si>
  <si>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</si>
  <si>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风华</t>
    </r>
    <r>
      <rPr>
        <sz val="11"/>
        <color theme="1"/>
        <rFont val="ＭＳ Ｐゴシック"/>
        <family val="3"/>
        <charset val="128"/>
        <scheme val="minor"/>
      </rPr>
      <t>尊鼎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</si>
  <si>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烈酒; 葡萄酒;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</si>
  <si>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根知根</t>
  </si>
  <si>
    <t>潘少杰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</si>
  <si>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</si>
  <si>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益事千成</t>
  </si>
  <si>
    <r>
      <t>临</t>
    </r>
    <r>
      <rPr>
        <sz val="11"/>
        <color theme="1"/>
        <rFont val="ＭＳ Ｐゴシック"/>
        <family val="3"/>
        <charset val="128"/>
        <scheme val="minor"/>
      </rPr>
      <t>汾市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都区益事千成商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</si>
  <si>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烈酒; 白酒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</si>
  <si>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酒侠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</si>
  <si>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</si>
  <si>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</si>
  <si>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河洋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</si>
  <si>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高粱酒; 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食用酒精; 烈酒; 白酒</t>
    </r>
  </si>
  <si>
    <t>乾江月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</si>
  <si>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开胃酒; 葡萄酒; 清酒（日本米酒）;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</si>
  <si>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曹公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</si>
  <si>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</si>
  <si>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逍雄</t>
  </si>
  <si>
    <r>
      <t xml:space="preserve">威士忌;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黄酒</t>
    </r>
  </si>
  <si>
    <r>
      <t>实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</si>
  <si>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润兴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</si>
  <si>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</si>
  <si>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t>北虹湾</t>
  </si>
  <si>
    <r>
      <t>上海弘程宗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</si>
  <si>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</si>
  <si>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河南季禧堂国医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</si>
  <si>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白酒; 青稞酒;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开胃酒; 葡萄酒</t>
    </r>
  </si>
  <si>
    <t>公王首</t>
  </si>
  <si>
    <r>
      <t>西安公王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</si>
  <si>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威士忌</t>
    </r>
  </si>
  <si>
    <t>翠瀚</t>
  </si>
  <si>
    <r>
      <t>苏</t>
    </r>
    <r>
      <rPr>
        <sz val="11"/>
        <color theme="1"/>
        <rFont val="ＭＳ Ｐゴシック"/>
        <family val="3"/>
        <charset val="128"/>
        <scheme val="minor"/>
      </rPr>
      <t>美亮</t>
    </r>
  </si>
  <si>
    <r>
      <t>苹果酒;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梨酒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</si>
  <si>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一家人</t>
    </r>
  </si>
  <si>
    <r>
      <t>河南省及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</si>
  <si>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</si>
  <si>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谷王君</t>
  </si>
  <si>
    <r>
      <t>深圳果然旺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</si>
  <si>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</si>
  <si>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神源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</si>
  <si>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市神源酒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</si>
  <si>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</si>
  <si>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洞天宝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</si>
  <si>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白酒;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</si>
  <si>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</si>
  <si>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</t>
    </r>
  </si>
  <si>
    <r>
      <t>峰燕九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</si>
  <si>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</si>
  <si>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烈酒;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</t>
    </r>
  </si>
  <si>
    <t>万酒之上</t>
  </si>
  <si>
    <r>
      <t xml:space="preserve">黄酒; 米酒; 开胃酒;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</si>
  <si>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 xml:space="preserve">葡萄酒;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</si>
  <si>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伊谷天韵</t>
  </si>
  <si>
    <r>
      <t>可克达拉市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瑞国有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</si>
  <si>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</t>
    </r>
  </si>
  <si>
    <t>SUNNYWISH</t>
  </si>
  <si>
    <r>
      <t>辛集市哥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达服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</si>
  <si>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清酒（日本米酒）; 黄酒;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</si>
  <si>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雪地鼠</t>
  </si>
  <si>
    <t>刘宏波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</si>
  <si>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果酒; 甜酒; 白酒; 露酒; 苹果酒; 蜂蜜酒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</si>
  <si>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宝桑</t>
    </r>
  </si>
  <si>
    <r>
      <t>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开胃酒; 葡萄酒; 食用酒精; 高粱酒; 米酒; 汽酒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</si>
  <si>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冠粮</t>
    </r>
  </si>
  <si>
    <r>
      <t>周云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</si>
  <si>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米酒; 白酒;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露酒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</si>
  <si>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</si>
  <si>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苹果酒;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</si>
  <si>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弘程有理</t>
  </si>
  <si>
    <r>
      <t>葡萄酒;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</si>
  <si>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墨佳村</t>
  </si>
  <si>
    <t>张伟伟</t>
  </si>
  <si>
    <r>
      <t>白酒;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朗姆酒; 苹果酒; 葡萄酒</t>
    </r>
  </si>
  <si>
    <t>匠心女</t>
  </si>
  <si>
    <r>
      <t>杭州月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意工作室(个人独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</si>
  <si>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</si>
  <si>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威起</t>
  </si>
  <si>
    <t>威海首普新型材料科技有限公司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</si>
  <si>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</si>
  <si>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r>
      <t>唤</t>
    </r>
    <r>
      <rPr>
        <sz val="11"/>
        <color theme="1"/>
        <rFont val="ＭＳ Ｐゴシック"/>
        <family val="3"/>
        <charset val="128"/>
        <scheme val="minor"/>
      </rPr>
      <t>雨坊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</si>
  <si>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德通商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</si>
  <si>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</si>
  <si>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蜀玉</t>
    </r>
  </si>
  <si>
    <r>
      <t>河南豫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</si>
  <si>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</si>
  <si>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浙江道乙文化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</si>
  <si>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</si>
  <si>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坪</t>
    </r>
    <r>
      <rPr>
        <sz val="11"/>
        <color theme="1"/>
        <rFont val="ＭＳ Ｐゴシック"/>
        <family val="3"/>
        <charset val="134"/>
        <scheme val="minor"/>
      </rPr>
      <t>坝营</t>
    </r>
  </si>
  <si>
    <t>湖北硒客食品有限公司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</si>
  <si>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</si>
  <si>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九益良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</si>
  <si>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国良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</si>
  <si>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</si>
  <si>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神麟忠</t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</si>
  <si>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利口酒; 米酒</t>
    </r>
  </si>
  <si>
    <t>饮领</t>
  </si>
  <si>
    <t>任勇******************</t>
  </si>
  <si>
    <r>
      <t>果酒（含酒精）; 葡萄酒; 食用酒精; 开胃酒;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</si>
  <si>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九九香</t>
    </r>
    <r>
      <rPr>
        <sz val="11"/>
        <color theme="1"/>
        <rFont val="ＭＳ Ｐゴシック"/>
        <family val="3"/>
        <charset val="134"/>
        <scheme val="minor"/>
      </rPr>
      <t>传</t>
    </r>
  </si>
  <si>
    <t>何雨晋</t>
  </si>
  <si>
    <r>
      <t xml:space="preserve">开胃酒; 葡萄酒; 白酒;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</si>
  <si>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碧</t>
    </r>
    <r>
      <rPr>
        <sz val="11"/>
        <color theme="1"/>
        <rFont val="ＭＳ Ｐゴシック"/>
        <family val="3"/>
        <charset val="134"/>
        <scheme val="minor"/>
      </rPr>
      <t>还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</si>
  <si>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青稞酒;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米酒</t>
    </r>
  </si>
  <si>
    <t>儒思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</si>
  <si>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州儒思盒子文化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</si>
  <si>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果酒（含酒精）; 白酒; 刺五加酒;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</si>
  <si>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德什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</si>
  <si>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什邡市三木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</si>
  <si>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</si>
  <si>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宁耕礼</t>
  </si>
  <si>
    <r>
      <t>吴忠市聚响网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</si>
  <si>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</si>
  <si>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白酒; 果酒（含酒精）; 梨酒; 米酒; 露酒;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</si>
  <si>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塞北霸王河</t>
  </si>
  <si>
    <r>
      <t>商都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塞北七台王酒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</si>
  <si>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果酒; 开胃酒;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</t>
    </r>
  </si>
  <si>
    <t>MOMO&amp;XOXO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</si>
  <si>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</si>
  <si>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夜天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</si>
  <si>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天之白酒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</si>
  <si>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高粱酒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</si>
  <si>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</si>
  <si>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孚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</si>
  <si>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甜酒; 杜松子酒;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佐餐酒;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</si>
  <si>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雅盛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</si>
  <si>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上海今麦吉商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</si>
  <si>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</si>
  <si>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水都泓</t>
  </si>
  <si>
    <t>丹江口市曲之源生物科技有限公司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</si>
  <si>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</si>
  <si>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CVYOE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</si>
  <si>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曜企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</si>
  <si>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</si>
  <si>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邂逅</t>
    </r>
  </si>
  <si>
    <t>曹志康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</si>
  <si>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果酒; 梅酒; 米酒; 汽酒; 白酒; 黄酒; 甜酒; 利口酒</t>
    </r>
  </si>
  <si>
    <t>玄洲御匠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</si>
  <si>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葡萄酒; 米酒; 青稞酒;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</si>
  <si>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臻天山壹号酒</t>
  </si>
  <si>
    <t>赵华</t>
  </si>
  <si>
    <r>
      <t>白酒; 果酒; 葡萄酒;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</si>
  <si>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粮公瑾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</si>
  <si>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黄酒;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</si>
  <si>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</si>
  <si>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</si>
  <si>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</si>
  <si>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r>
      <t>斛生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</si>
  <si>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葡萄酒; 蜂蜜酒; 黄酒; 米酒</t>
    </r>
  </si>
  <si>
    <t>生命淳</t>
  </si>
  <si>
    <r>
      <t>吕</t>
    </r>
    <r>
      <rPr>
        <sz val="11"/>
        <color theme="1"/>
        <rFont val="ＭＳ Ｐゴシック"/>
        <family val="3"/>
        <charset val="128"/>
        <scheme val="minor"/>
      </rPr>
      <t>春荣</t>
    </r>
  </si>
  <si>
    <t>果酒; 黄酒; 白酒; 米酒; 汽酒; 清酒; 烈酒; 甜酒; 葡萄酒; 食用酒精</t>
  </si>
  <si>
    <t>宜品莱酒</t>
  </si>
  <si>
    <r>
      <t>山西德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</si>
  <si>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利口酒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</si>
  <si>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白酒; 果酒（含酒精）;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</si>
  <si>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旺 旺田嫂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</si>
  <si>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州市旺田嫂食品有限公司</t>
    </r>
  </si>
  <si>
    <r>
      <t>杜松子酒;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</si>
  <si>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岳虫二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</si>
  <si>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青花汾酒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</si>
  <si>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</si>
  <si>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夺</t>
    </r>
    <r>
      <rPr>
        <sz val="11"/>
        <color theme="1"/>
        <rFont val="ＭＳ Ｐゴシック"/>
        <family val="3"/>
        <charset val="128"/>
        <scheme val="minor"/>
      </rPr>
      <t>赫</t>
    </r>
  </si>
  <si>
    <r>
      <t>美集美嘉(青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</si>
  <si>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杜松子酒;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</si>
  <si>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力延</t>
    </r>
  </si>
  <si>
    <r>
      <t>海南四沙海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</si>
  <si>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清酒（日本米酒）</t>
    </r>
  </si>
  <si>
    <t>塞上禧</t>
  </si>
  <si>
    <r>
      <t xml:space="preserve">葡萄酒; 黄酒; 开胃酒;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</si>
  <si>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笔</t>
    </r>
    <r>
      <rPr>
        <sz val="11"/>
        <color theme="1"/>
        <rFont val="ＭＳ Ｐゴシック"/>
        <family val="3"/>
        <charset val="134"/>
        <scheme val="minor"/>
      </rPr>
      <t>继</t>
    </r>
  </si>
  <si>
    <r>
      <t>雅盛供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</si>
  <si>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</si>
  <si>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</si>
  <si>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米酒;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</si>
  <si>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都星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</si>
  <si>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青稞酒; 米酒; 白酒; 烈酒; 果酒（含酒精）; 葡萄酒</t>
    </r>
  </si>
  <si>
    <t>小㶁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</si>
  <si>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</si>
  <si>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至今尊朝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</si>
  <si>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</si>
  <si>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雪中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</si>
  <si>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蕴县</t>
    </r>
    <r>
      <rPr>
        <sz val="11"/>
        <color theme="1"/>
        <rFont val="ＭＳ Ｐゴシック"/>
        <family val="3"/>
        <charset val="128"/>
        <scheme val="minor"/>
      </rPr>
      <t>可可托海星空商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</si>
  <si>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</si>
  <si>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盛京沐</t>
    </r>
    <r>
      <rPr>
        <sz val="11"/>
        <color theme="1"/>
        <rFont val="ＭＳ Ｐゴシック"/>
        <family val="3"/>
        <charset val="134"/>
        <scheme val="minor"/>
      </rPr>
      <t>泽</t>
    </r>
  </si>
  <si>
    <t>刘永哲</t>
  </si>
  <si>
    <r>
      <t>果酒（含酒精）; 汽酒; 白酒; 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梨酒</t>
    </r>
  </si>
  <si>
    <r>
      <t>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</si>
  <si>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鹿延元</t>
  </si>
  <si>
    <r>
      <t>张</t>
    </r>
    <r>
      <rPr>
        <sz val="11"/>
        <color theme="1"/>
        <rFont val="ＭＳ Ｐゴシック"/>
        <family val="3"/>
        <charset val="128"/>
        <scheme val="minor"/>
      </rPr>
      <t>金根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</si>
  <si>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威士忌; 果酒（含酒精）</t>
    </r>
  </si>
  <si>
    <t>九窖禧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</si>
  <si>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</si>
  <si>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黄酒; 利口酒;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</si>
  <si>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小露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</si>
  <si>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西安雅利柏商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</si>
  <si>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青稞酒; 黄酒; 清酒;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</si>
  <si>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矮老三酒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</si>
  <si>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州康泰生物科技有限公司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</si>
  <si>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</si>
  <si>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今晨嘉</t>
  </si>
  <si>
    <r>
      <t>王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</si>
  <si>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开胃酒; 葡萄酒; 甜果酒;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</si>
  <si>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富澈 FULLCHEER</t>
  </si>
  <si>
    <r>
      <t>上海常眠酒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</si>
  <si>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白酒; 清酒;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白葡萄酒; 含酒精的气泡水;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</si>
  <si>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登庭湖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</si>
  <si>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青稞酒; 白酒; 黄酒</t>
    </r>
  </si>
  <si>
    <t>耀臣</t>
  </si>
  <si>
    <t>王振威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</si>
  <si>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黄酒;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</si>
  <si>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汇贵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</si>
  <si>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白酒;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</t>
    </r>
  </si>
  <si>
    <t>潮瀚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</si>
  <si>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</t>
    </r>
  </si>
  <si>
    <t>粉邂逅</t>
  </si>
  <si>
    <r>
      <t xml:space="preserve">果酒; 梅酒; 汽酒; 葡萄酒; 白酒; 利口酒;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</si>
  <si>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好食 SHUNHAUS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</si>
  <si>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尚心臻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</si>
  <si>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白酒; 开胃酒</t>
    </r>
  </si>
  <si>
    <r>
      <t>同信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</si>
  <si>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果酒（含酒精）</t>
    </r>
  </si>
  <si>
    <t>万酒王者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</si>
  <si>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米酒; 白酒</t>
    </r>
  </si>
  <si>
    <t>宗府家酒</t>
  </si>
  <si>
    <r>
      <t>宗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</si>
  <si>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高粱酒; 葡萄酒</t>
    </r>
  </si>
  <si>
    <t>呼蒙王</t>
  </si>
  <si>
    <r>
      <t>四川省佳冠酒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</si>
  <si>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</si>
  <si>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龙华</t>
    </r>
    <r>
      <rPr>
        <sz val="11"/>
        <color theme="1"/>
        <rFont val="ＭＳ Ｐゴシック"/>
        <family val="3"/>
        <charset val="128"/>
        <scheme val="minor"/>
      </rPr>
      <t>肆</t>
    </r>
  </si>
  <si>
    <r>
      <t>上海晚花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</si>
  <si>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含酒精的气泡水</t>
    </r>
  </si>
  <si>
    <t>泉城正康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</si>
  <si>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爱农产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</si>
  <si>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青梅酒; 葡萄酒; 米酒; 黄酒; 果酒; 甘蔗制烈酒;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</t>
    </r>
  </si>
  <si>
    <t>PALDO</t>
  </si>
  <si>
    <t>株式会社八道</t>
  </si>
  <si>
    <t>汽酒; 米酒; 杜松子酒; 葡萄酒; 蜂蜜酒; 朗姆酒; 利口酒; 果酒（含酒精）; 白酒; 伏特加酒</t>
  </si>
  <si>
    <r>
      <t>赵</t>
    </r>
    <r>
      <rPr>
        <sz val="11"/>
        <color theme="1"/>
        <rFont val="ＭＳ Ｐゴシック"/>
        <family val="3"/>
        <charset val="128"/>
        <scheme val="minor"/>
      </rPr>
      <t>姓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</si>
  <si>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</si>
  <si>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清酒;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</si>
  <si>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黄昏</t>
    </r>
  </si>
  <si>
    <t>秦永章</t>
  </si>
  <si>
    <r>
      <t>葡萄酒; 威士忌; 黄酒; 清酒;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</t>
    </r>
  </si>
  <si>
    <t>HEREFORD</t>
  </si>
  <si>
    <r>
      <t>乔</t>
    </r>
    <r>
      <rPr>
        <sz val="11"/>
        <color theme="1"/>
        <rFont val="ＭＳ Ｐゴシック"/>
        <family val="3"/>
        <charset val="128"/>
        <scheme val="minor"/>
      </rPr>
      <t>伊</t>
    </r>
    <r>
      <rPr>
        <sz val="11"/>
        <color theme="1"/>
        <rFont val="ＭＳ Ｐゴシック"/>
        <family val="3"/>
        <charset val="134"/>
        <scheme val="minor"/>
      </rPr>
      <t>纳罗</t>
    </r>
    <r>
      <rPr>
        <sz val="11"/>
        <color theme="1"/>
        <rFont val="ＭＳ Ｐゴシック"/>
        <family val="3"/>
        <charset val="128"/>
        <scheme val="minor"/>
      </rPr>
      <t>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有限公司（</t>
    </r>
    <r>
      <rPr>
        <sz val="11"/>
        <color theme="1"/>
        <rFont val="ＭＳ Ｐゴシック"/>
        <family val="3"/>
        <charset val="134"/>
        <scheme val="minor"/>
      </rPr>
      <t>为乔</t>
    </r>
    <r>
      <rPr>
        <sz val="11"/>
        <color theme="1"/>
        <rFont val="ＭＳ Ｐゴシック"/>
        <family val="3"/>
        <charset val="128"/>
        <scheme val="minor"/>
      </rPr>
      <t>伊</t>
    </r>
    <r>
      <rPr>
        <sz val="11"/>
        <color theme="1"/>
        <rFont val="ＭＳ Ｐゴシック"/>
        <family val="3"/>
        <charset val="134"/>
        <scheme val="minor"/>
      </rPr>
      <t>纳罗</t>
    </r>
    <r>
      <rPr>
        <sz val="11"/>
        <color theme="1"/>
        <rFont val="ＭＳ Ｐゴシック"/>
        <family val="3"/>
        <charset val="128"/>
        <scheme val="minor"/>
      </rPr>
      <t>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信托的托管公司）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</si>
  <si>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干气泡酒; 干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干葡萄酒; 葡萄酒; 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无气葡萄酒; 甜气泡酒; 白葡萄酒; 含葡萄酒的酒精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姜汁酒; 水果汽酒; 气泡酒; 加度甜葡萄酒; 甜白葡萄酒; 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年葡萄酒; 葡萄酒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低酒精葡萄酒; 加烈葡萄酒; 含葡萄酒的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主）; 混合葡萄酒; 加度干葡萄酒; 干白葡萄酒; 不起泡葡...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</si>
  <si>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 xml:space="preserve">泰 </t>
    </r>
    <r>
      <rPr>
        <sz val="11"/>
        <color theme="1"/>
        <rFont val="ＭＳ Ｐゴシック"/>
        <family val="3"/>
        <charset val="134"/>
        <scheme val="minor"/>
      </rPr>
      <t>绥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药业</t>
    </r>
  </si>
  <si>
    <t>山西妙安健康科技有限公司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</si>
  <si>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</si>
  <si>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</si>
  <si>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</si>
  <si>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</t>
    </r>
  </si>
  <si>
    <r>
      <t>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</si>
  <si>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宣城国控恩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世界木屋村有限公司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</si>
  <si>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含酒精的气泡水;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</si>
  <si>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车丽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</si>
  <si>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东车丽</t>
    </r>
    <r>
      <rPr>
        <sz val="11"/>
        <color theme="1"/>
        <rFont val="ＭＳ Ｐゴシック"/>
        <family val="3"/>
        <charset val="128"/>
        <scheme val="minor"/>
      </rPr>
      <t>友汽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</si>
  <si>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</si>
  <si>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阔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</si>
  <si>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昆明惠提百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</si>
  <si>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果酒; 米酒; 朗姆酒; 白酒;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</t>
    </r>
  </si>
  <si>
    <t>泉之臣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</si>
  <si>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朗姆酒; 清酒（日本米酒）</t>
    </r>
  </si>
  <si>
    <r>
      <t>现</t>
    </r>
    <r>
      <rPr>
        <sz val="11"/>
        <color theme="1"/>
        <rFont val="ＭＳ Ｐゴシック"/>
        <family val="3"/>
        <charset val="128"/>
        <scheme val="minor"/>
      </rPr>
      <t>代九草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</si>
  <si>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</si>
  <si>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</si>
  <si>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宝</t>
    </r>
    <r>
      <rPr>
        <sz val="11"/>
        <color theme="1"/>
        <rFont val="ＭＳ Ｐゴシック"/>
        <family val="3"/>
        <charset val="129"/>
        <scheme val="minor"/>
      </rPr>
      <t>查</t>
    </r>
  </si>
  <si>
    <r>
      <t>北京馥雅泰和商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</si>
  <si>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伏特加酒;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白葡萄酒; 白干酒（中国白酒）; 高粱酒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</si>
  <si>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</si>
  <si>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</si>
  <si>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</si>
  <si>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都旭日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</si>
  <si>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昌欧仕嘉塑料包装制品有限公司</t>
    </r>
  </si>
  <si>
    <r>
      <t>餐后酒（利口酒和烈酒）;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食用酒精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</si>
  <si>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</si>
  <si>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王子（中国）有限公司</t>
    </r>
  </si>
  <si>
    <r>
      <t>葡萄酒; 白酒;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</si>
  <si>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炎黄幸福名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</si>
  <si>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</si>
  <si>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科圣九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</si>
  <si>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河南嘉合祥盛工程咨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</si>
  <si>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利口酒</t>
    </r>
  </si>
  <si>
    <t>吧久年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</si>
  <si>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果酒;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</si>
  <si>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奉叔公</t>
  </si>
  <si>
    <t>周展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</si>
  <si>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蜂蜜酒; 开胃酒;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</si>
  <si>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中耀大唐</t>
  </si>
  <si>
    <r>
      <t>赵</t>
    </r>
    <r>
      <rPr>
        <sz val="11"/>
        <color theme="1"/>
        <rFont val="ＭＳ Ｐゴシック"/>
        <family val="3"/>
        <charset val="128"/>
        <scheme val="minor"/>
      </rPr>
      <t>耀煜</t>
    </r>
  </si>
  <si>
    <r>
      <t xml:space="preserve">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</t>
    </r>
  </si>
  <si>
    <t>英朗养樽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</si>
  <si>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州英朗养樽酒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</si>
  <si>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</si>
  <si>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那拉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</si>
  <si>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王涛</t>
    </r>
  </si>
  <si>
    <r>
      <t>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威士忌; 苹果酒</t>
    </r>
  </si>
  <si>
    <t>黟茗泉</t>
  </si>
  <si>
    <r>
      <t>江西熠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</si>
  <si>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伏特加酒; 米酒; 青稞酒; 开胃酒; 葡萄酒; 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</si>
  <si>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云元气</t>
    </r>
  </si>
  <si>
    <t>李林俊</t>
  </si>
  <si>
    <r>
      <t>米酒;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</si>
  <si>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秦王河</t>
  </si>
  <si>
    <t>潘琪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</si>
  <si>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</si>
  <si>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老六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</si>
  <si>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崇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</si>
  <si>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葡萄酒;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梨酒;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</si>
  <si>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宠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</si>
  <si>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丰睿冷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</si>
  <si>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果酒（含酒精）; 烈酒; 露酒;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含酒精的气泡水; 青梅酒</t>
    </r>
  </si>
  <si>
    <t>DACHAOMENG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</si>
  <si>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</si>
  <si>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汽酒; 米酒; 白酒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</si>
  <si>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梦天下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</si>
  <si>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葡萄酒; 食用酒精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</si>
  <si>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酒圣</t>
    </r>
  </si>
  <si>
    <r>
      <t>四川川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</si>
  <si>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黄酒; 食用酒精; 清酒（日本米酒）</t>
    </r>
  </si>
  <si>
    <t>卉富拓世</t>
  </si>
  <si>
    <r>
      <t>交个酒友酒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</si>
  <si>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朗姆酒; 露酒; 葡萄酒; 烈酒; 黄酒; 威士忌;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</si>
  <si>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师拣</t>
  </si>
  <si>
    <r>
      <t>利口酒; 米酒; 白干酒（中国白酒）; 开胃酒; 黄酒;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</si>
  <si>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少年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</si>
  <si>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青稞酒; 果酒（含酒精）;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</si>
  <si>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卡赫</t>
    </r>
  </si>
  <si>
    <t>刘启源</t>
  </si>
  <si>
    <r>
      <t>果酒; 白酒; 食用酒精;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</t>
    </r>
  </si>
  <si>
    <t>梦棠</t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</si>
  <si>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</si>
  <si>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亼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</si>
  <si>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</si>
  <si>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</t>
    </r>
  </si>
  <si>
    <r>
      <t>保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马</t>
    </r>
  </si>
  <si>
    <t>何光瑞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</si>
  <si>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露酒;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清酒; 葡萄酒</t>
    </r>
  </si>
  <si>
    <r>
      <t>龙凤华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</si>
  <si>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葡萄酒; 白干酒（中国白酒）; 果酒; 米酒</t>
    </r>
  </si>
  <si>
    <r>
      <t>计</t>
    </r>
    <r>
      <rPr>
        <sz val="11"/>
        <color theme="1"/>
        <rFont val="ＭＳ Ｐゴシック"/>
        <family val="3"/>
        <charset val="128"/>
        <scheme val="minor"/>
      </rPr>
      <t>小白</t>
    </r>
  </si>
  <si>
    <r>
      <t>广州我任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</si>
  <si>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</si>
  <si>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牛玖康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</si>
  <si>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东龙</t>
    </r>
    <r>
      <rPr>
        <sz val="11"/>
        <color theme="1"/>
        <rFont val="ＭＳ Ｐゴシック"/>
        <family val="3"/>
        <charset val="128"/>
        <scheme val="minor"/>
      </rPr>
      <t>邦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</si>
  <si>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</si>
  <si>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遵粮古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</si>
  <si>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州遵粮古酒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</si>
  <si>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蜂蜜酒;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苹果酒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</si>
  <si>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壶传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</si>
  <si>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小光</t>
    </r>
  </si>
  <si>
    <r>
      <t>果酒（含酒精）; 葡萄酒; 清酒（日本米酒）; 白酒;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</si>
  <si>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首力</t>
    </r>
    <r>
      <rPr>
        <sz val="11"/>
        <color theme="1"/>
        <rFont val="ＭＳ Ｐゴシック"/>
        <family val="3"/>
        <charset val="134"/>
        <scheme val="minor"/>
      </rPr>
      <t>严选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</si>
  <si>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首力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</si>
  <si>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苦味酒; 白酒</t>
    </r>
  </si>
  <si>
    <t>懂益仁</t>
  </si>
  <si>
    <r>
      <t>董高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</si>
  <si>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</si>
  <si>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落日</t>
    </r>
    <r>
      <rPr>
        <sz val="11"/>
        <color theme="1"/>
        <rFont val="ＭＳ Ｐゴシック"/>
        <family val="3"/>
        <charset val="134"/>
        <scheme val="minor"/>
      </rPr>
      <t>飞车</t>
    </r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</si>
  <si>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</si>
  <si>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薄荷酒;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</si>
  <si>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滕姓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</si>
  <si>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清酒; 葡萄酒; 烈酒; 果酒（含酒精）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</si>
  <si>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晓隐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</si>
  <si>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蒸煮提取物（利口酒和烈酒）</t>
    </r>
  </si>
  <si>
    <r>
      <t>变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</si>
  <si>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</si>
  <si>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大宋汴春坊</t>
  </si>
  <si>
    <r>
      <t>河南省汴南村酒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</si>
  <si>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利口酒;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</si>
  <si>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陈枫</t>
  </si>
  <si>
    <r>
      <t xml:space="preserve">汽酒; 清酒; 露酒; 葡萄酒; 含酒精的气泡水;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</si>
  <si>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味止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</si>
  <si>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上达体育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</si>
  <si>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</t>
    </r>
  </si>
  <si>
    <t>巴江春</t>
  </si>
  <si>
    <r>
      <t>蒲明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</si>
  <si>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果酒（含酒精）; 清酒（日本米酒）; 米酒;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</si>
  <si>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坊市开春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</si>
  <si>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加烈葡萄酒; 苹果酒;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</si>
  <si>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利口酒;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苹果酒; 果酒（含酒精）; 葡萄酒;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</si>
  <si>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虞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</si>
  <si>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</si>
  <si>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懂</t>
    </r>
    <r>
      <rPr>
        <sz val="11"/>
        <color theme="1"/>
        <rFont val="ＭＳ Ｐゴシック"/>
        <family val="3"/>
        <charset val="134"/>
        <scheme val="minor"/>
      </rPr>
      <t>绍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</si>
  <si>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晟酩酒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</si>
  <si>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</si>
  <si>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春作序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</si>
  <si>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四季酒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</si>
  <si>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葡萄酒; 白酒; 威士忌;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</si>
  <si>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阳和信</t>
  </si>
  <si>
    <r>
      <t>洛阳市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旋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</si>
  <si>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 xml:space="preserve">果酒（含酒精）; 葡萄酒; 清酒;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果酒; 米酒; 清酒（日本米酒）; 梅酒</t>
    </r>
  </si>
  <si>
    <t>听溪山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</si>
  <si>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镇罗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</si>
  <si>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白干酒（中国白酒）;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</si>
  <si>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董妤</t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</si>
  <si>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</si>
  <si>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征仰</t>
  </si>
  <si>
    <r>
      <t>吴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</si>
  <si>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果酒（含酒精）</t>
    </r>
  </si>
  <si>
    <t>宜首冠</t>
  </si>
  <si>
    <r>
      <t xml:space="preserve">白酒;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食用酒精; 蜂蜜酒</t>
    </r>
  </si>
  <si>
    <t>耘芯堂</t>
  </si>
  <si>
    <r>
      <t>董筱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</si>
  <si>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白酒;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甜酒</t>
    </r>
  </si>
  <si>
    <t>楚霄泉</t>
  </si>
  <si>
    <r>
      <t>刘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</si>
  <si>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露酒;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</si>
  <si>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YUP！ALLLIVES 雅潽全生活</t>
  </si>
  <si>
    <r>
      <t>浙江中派文化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</si>
  <si>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威士忌; 果酒;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</si>
  <si>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晴玫香</t>
  </si>
  <si>
    <r>
      <t>杨</t>
    </r>
    <r>
      <rPr>
        <sz val="11"/>
        <color theme="1"/>
        <rFont val="ＭＳ Ｐゴシック"/>
        <family val="3"/>
        <charset val="128"/>
        <scheme val="minor"/>
      </rPr>
      <t>凌晴玫香家庭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</si>
  <si>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葡萄酒</t>
    </r>
  </si>
  <si>
    <t>炎黄神州名</t>
  </si>
  <si>
    <t>陈艳丽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</si>
  <si>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威士忌</t>
    </r>
  </si>
  <si>
    <t>中仕</t>
  </si>
  <si>
    <r>
      <t>白干酒（中国白酒）;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</si>
  <si>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平丞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</si>
  <si>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</si>
  <si>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米酒</t>
    </r>
  </si>
  <si>
    <r>
      <t>濮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</si>
  <si>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白酒</t>
    </r>
  </si>
  <si>
    <t>平笠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</si>
  <si>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</si>
  <si>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平信</t>
  </si>
  <si>
    <r>
      <t xml:space="preserve">米酒;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</si>
  <si>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磁湖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</si>
  <si>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黄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</si>
  <si>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</t>
    </r>
  </si>
  <si>
    <t>朝民味</t>
  </si>
  <si>
    <t>石相虎</t>
  </si>
  <si>
    <r>
      <t>米酒; 果酒; 清酒（日本米酒）;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</t>
    </r>
  </si>
  <si>
    <r>
      <t>养千</t>
    </r>
    <r>
      <rPr>
        <sz val="11"/>
        <color theme="1"/>
        <rFont val="ＭＳ Ｐゴシック"/>
        <family val="3"/>
        <charset val="134"/>
        <scheme val="minor"/>
      </rPr>
      <t>浔</t>
    </r>
  </si>
  <si>
    <t>宁夏荣昇包装材料有限公司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</si>
  <si>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</t>
    </r>
  </si>
  <si>
    <r>
      <t>棠邑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</si>
  <si>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南京市八两酒酒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</si>
  <si>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</t>
    </r>
  </si>
  <si>
    <t>建咫春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</si>
  <si>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宏品味定制酒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</si>
  <si>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梨酒;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</si>
  <si>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客佳姐婆</t>
  </si>
  <si>
    <r>
      <t>林达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</si>
  <si>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水果汽酒; 清酒;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</si>
  <si>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</si>
  <si>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</si>
  <si>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画启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</si>
  <si>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果酒（含酒精）; 葡萄酒; 黄酒</t>
    </r>
  </si>
  <si>
    <r>
      <t>悦韵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</si>
  <si>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</t>
    </r>
  </si>
  <si>
    <t>圣九天下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</si>
  <si>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诚恳</t>
    </r>
    <r>
      <rPr>
        <sz val="11"/>
        <color theme="1"/>
        <rFont val="ＭＳ Ｐゴシック"/>
        <family val="3"/>
        <charset val="128"/>
        <scheme val="minor"/>
      </rPr>
      <t>副食店</t>
    </r>
  </si>
  <si>
    <r>
      <t>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</si>
  <si>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侬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</si>
  <si>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刘喜</t>
    </r>
    <r>
      <rPr>
        <sz val="11"/>
        <color theme="1"/>
        <rFont val="ＭＳ Ｐゴシック"/>
        <family val="3"/>
        <charset val="134"/>
        <scheme val="minor"/>
      </rPr>
      <t>恺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</si>
  <si>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</si>
  <si>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窖花</t>
    </r>
    <r>
      <rPr>
        <sz val="11"/>
        <color theme="1"/>
        <rFont val="ＭＳ Ｐゴシック"/>
        <family val="3"/>
        <charset val="134"/>
        <scheme val="minor"/>
      </rPr>
      <t>凤</t>
    </r>
  </si>
  <si>
    <t>王静宇</t>
  </si>
  <si>
    <r>
      <t>白酒; 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果酒（含酒精）</t>
    </r>
  </si>
  <si>
    <t>忠斧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</si>
  <si>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葡萄酒;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</si>
  <si>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道美九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</si>
  <si>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果酒（含酒精）; 开胃酒;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</si>
  <si>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程家岭</t>
  </si>
  <si>
    <r>
      <t>宿松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</si>
  <si>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</si>
  <si>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象未来甄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</si>
  <si>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杉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</si>
  <si>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</si>
  <si>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仁和</t>
    </r>
  </si>
  <si>
    <t>何政取</t>
  </si>
  <si>
    <r>
      <t>葡萄酒;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</si>
  <si>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沩</t>
    </r>
    <r>
      <rPr>
        <sz val="11"/>
        <color theme="1"/>
        <rFont val="ＭＳ Ｐゴシック"/>
        <family val="3"/>
        <charset val="128"/>
        <scheme val="minor"/>
      </rPr>
      <t>水烟火</t>
    </r>
  </si>
  <si>
    <t>欧腊枚</t>
  </si>
  <si>
    <r>
      <t>露酒;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</t>
    </r>
  </si>
  <si>
    <t>吉羽喆</t>
  </si>
  <si>
    <t>吉守坤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</si>
  <si>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</si>
  <si>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未止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</si>
  <si>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葡萄酒; 清酒; 清酒（日本米酒）;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</si>
  <si>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味止酒</t>
  </si>
  <si>
    <r>
      <t>白酒; 白葡萄酒;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清酒（日本米酒）</t>
    </r>
  </si>
  <si>
    <t>尽采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</si>
  <si>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呱呱餐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</si>
  <si>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</si>
  <si>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官塘亼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</si>
  <si>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</si>
  <si>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叙</t>
    </r>
  </si>
  <si>
    <r>
      <t>吉林省荣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</si>
  <si>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利口酒; 杜松子酒</t>
    </r>
  </si>
  <si>
    <t>HE YU XUAN</t>
  </si>
  <si>
    <r>
      <t>韩</t>
    </r>
    <r>
      <rPr>
        <sz val="11"/>
        <color theme="1"/>
        <rFont val="ＭＳ Ｐゴシック"/>
        <family val="3"/>
        <charset val="128"/>
        <scheme val="minor"/>
      </rPr>
      <t>首峰</t>
    </r>
  </si>
  <si>
    <r>
      <t xml:space="preserve">白酒; 黄酒;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</si>
  <si>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禹迹</t>
    </r>
  </si>
  <si>
    <t>雷寿旺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</si>
  <si>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蜂蜜酒;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</si>
  <si>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</si>
  <si>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德江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牛角酒厂有限公司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</si>
  <si>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果酒（含酒精）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</si>
  <si>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滑霜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</si>
  <si>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中成国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</si>
  <si>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</si>
  <si>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中古禧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</si>
  <si>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</si>
  <si>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牛牛淘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</si>
  <si>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州牛牛汽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</si>
  <si>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开胃酒; 果酒（含酒精）;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</si>
  <si>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茶超</t>
  </si>
  <si>
    <r>
      <t>保靖瑞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</si>
  <si>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</si>
  <si>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淮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</si>
  <si>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开胃酒; 威士忌; 清酒（日本米酒）</t>
    </r>
  </si>
  <si>
    <t>豌青故事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</si>
  <si>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沂豌青茶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</si>
  <si>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</si>
  <si>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承匠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</si>
  <si>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食用酒精;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</si>
  <si>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仰宋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</si>
  <si>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</si>
  <si>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葛帝</t>
    </r>
  </si>
  <si>
    <r>
      <t>开胃酒; 清酒（日本米酒）;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</si>
  <si>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崇穗</t>
  </si>
  <si>
    <t>邓县华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</si>
  <si>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清酒（日本米酒）; 果酒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</si>
  <si>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师门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</si>
  <si>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市醉一回酒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</si>
  <si>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</si>
  <si>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馨元通宝</t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</si>
  <si>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市开元酒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</si>
  <si>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</si>
  <si>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t>云横九派</t>
  </si>
  <si>
    <r>
      <t>江西省天韵文化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</si>
  <si>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烈酒; 米酒; 清酒;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</si>
  <si>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r>
      <t>凤鸣</t>
    </r>
    <r>
      <rPr>
        <sz val="11"/>
        <color theme="1"/>
        <rFont val="ＭＳ Ｐゴシック"/>
        <family val="3"/>
        <charset val="128"/>
        <scheme val="minor"/>
      </rPr>
      <t>塔源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</si>
  <si>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</si>
  <si>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韵晗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</si>
  <si>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市昀晗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</si>
  <si>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</si>
  <si>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道</t>
    </r>
  </si>
  <si>
    <t>孙伟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</si>
  <si>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果酒（含酒精）; 米酒;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</si>
  <si>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禹石油化工有限公司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</si>
  <si>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青稞酒;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</si>
  <si>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烈焰本色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</si>
  <si>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</si>
  <si>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奇禧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</si>
  <si>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伏特加酒; 果酒（含酒精）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</si>
  <si>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</si>
  <si>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</si>
  <si>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威士忌; 蒸煮提取物（利口酒和烈酒）; 白酒; 葡萄酒; 伏特加酒;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</si>
  <si>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液定</t>
  </si>
  <si>
    <r>
      <t>成都保得利代理</t>
    </r>
    <r>
      <rPr>
        <sz val="11"/>
        <color theme="1"/>
        <rFont val="ＭＳ Ｐゴシック"/>
        <family val="3"/>
        <charset val="134"/>
        <scheme val="minor"/>
      </rPr>
      <t>记账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</si>
  <si>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青稞酒; 黄酒; 梨酒; 米酒;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</si>
  <si>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</si>
  <si>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台西春(湖北)酒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</si>
  <si>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食用酒精;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</si>
  <si>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著和 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名著 和美之作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</si>
  <si>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</si>
  <si>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法莱堡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</si>
  <si>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</si>
  <si>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谣</t>
    </r>
    <r>
      <rPr>
        <sz val="11"/>
        <color theme="1"/>
        <rFont val="ＭＳ Ｐゴシック"/>
        <family val="3"/>
        <charset val="128"/>
        <scheme val="minor"/>
      </rPr>
      <t>集</t>
    </r>
  </si>
  <si>
    <r>
      <t>大牛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夏（宁夏）文化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</si>
  <si>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白酒; 威士忌;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</si>
  <si>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洞庭波兮木叶下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</si>
  <si>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西迁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</si>
  <si>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</t>
    </r>
  </si>
  <si>
    <t>星稀旺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</si>
  <si>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莞市聚</t>
    </r>
    <r>
      <rPr>
        <sz val="11"/>
        <color theme="1"/>
        <rFont val="ＭＳ Ｐゴシック"/>
        <family val="3"/>
        <charset val="134"/>
        <scheme val="minor"/>
      </rPr>
      <t>势贸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</si>
  <si>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</t>
    </r>
  </si>
  <si>
    <r>
      <t>落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星辰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</si>
  <si>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</si>
  <si>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亿储</t>
  </si>
  <si>
    <r>
      <t>亿储</t>
    </r>
    <r>
      <rPr>
        <sz val="11"/>
        <color theme="1"/>
        <rFont val="ＭＳ Ｐゴシック"/>
        <family val="3"/>
        <charset val="128"/>
        <scheme val="minor"/>
      </rPr>
      <t>品牌管理（湖北）有限公司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</si>
  <si>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清酒; 果酒（含酒精）; 食用酒精; 米酒; 黄酒</t>
    </r>
  </si>
  <si>
    <t>燎原臻韵</t>
  </si>
  <si>
    <r>
      <t>泉州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嘉航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</si>
  <si>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米酒; 高粱酒</t>
    </r>
  </si>
  <si>
    <t>虎喊</t>
  </si>
  <si>
    <r>
      <t>李</t>
    </r>
    <r>
      <rPr>
        <sz val="11"/>
        <color theme="1"/>
        <rFont val="ＭＳ Ｐゴシック"/>
        <family val="3"/>
        <charset val="134"/>
        <scheme val="minor"/>
      </rPr>
      <t>泽权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</si>
  <si>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</si>
  <si>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</si>
  <si>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</si>
  <si>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君天鹿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</si>
  <si>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青稞酒; 白酒; 果酒（含酒精）</t>
    </r>
  </si>
  <si>
    <t>杏池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</si>
  <si>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</si>
  <si>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r>
      <t>鹿俏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</si>
  <si>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苏铜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</si>
  <si>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</t>
    </r>
  </si>
  <si>
    <t>兄弟禧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</si>
  <si>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</si>
  <si>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醉迎福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</si>
  <si>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开胃酒;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</si>
  <si>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廷烈焰</t>
    </r>
  </si>
  <si>
    <r>
      <t xml:space="preserve">葡萄酒; 果酒（含酒精）; 威士忌;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</si>
  <si>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甲卓天香</t>
  </si>
  <si>
    <r>
      <t>四川甲着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</si>
  <si>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蜂蜜酒;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</si>
  <si>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梁山映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</si>
  <si>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梁山酒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</si>
  <si>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黄酒;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</si>
  <si>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</si>
  <si>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</si>
  <si>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</si>
  <si>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恭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</si>
  <si>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</si>
  <si>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坛传说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</si>
  <si>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白酒; 葡萄酒;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</si>
  <si>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</si>
  <si>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清花</t>
    </r>
  </si>
  <si>
    <t>都利武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</si>
  <si>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威士忌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</si>
  <si>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端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</si>
  <si>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大祺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</si>
  <si>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朗姆酒;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</si>
  <si>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洲</t>
    </r>
  </si>
  <si>
    <t>王宏亮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</si>
  <si>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米酒</t>
    </r>
  </si>
  <si>
    <t>光小妹</t>
  </si>
  <si>
    <t>秦文君******************</t>
  </si>
  <si>
    <r>
      <t>果酒（含酒精）; 黄酒; 柑香酒; 蜂蜜酒;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清酒</t>
    </r>
  </si>
  <si>
    <t>溪泉湾</t>
  </si>
  <si>
    <t>肖雅怡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</si>
  <si>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</si>
  <si>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御尚庄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</si>
  <si>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</si>
  <si>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</si>
  <si>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七月</t>
    </r>
    <r>
      <rPr>
        <sz val="11"/>
        <color theme="1"/>
        <rFont val="ＭＳ Ｐゴシック"/>
        <family val="3"/>
        <charset val="134"/>
        <scheme val="minor"/>
      </rPr>
      <t>岚</t>
    </r>
  </si>
  <si>
    <t>王旭</t>
  </si>
  <si>
    <r>
      <t>清酒;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伏特加酒</t>
    </r>
  </si>
  <si>
    <t>百达雁</t>
  </si>
  <si>
    <r>
      <t>南通全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羽</t>
    </r>
    <r>
      <rPr>
        <sz val="11"/>
        <color theme="1"/>
        <rFont val="ＭＳ Ｐゴシック"/>
        <family val="3"/>
        <charset val="134"/>
        <scheme val="minor"/>
      </rPr>
      <t>绒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</si>
  <si>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葡萄酒; 果酒（含酒精）</t>
    </r>
  </si>
  <si>
    <t>大哉洞庭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</si>
  <si>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</si>
  <si>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酒尊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</si>
  <si>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薄荷酒;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食用酒精; 黄酒; 威士忌; 清酒（日本米酒）</t>
    </r>
  </si>
  <si>
    <t>杰拉德</t>
  </si>
  <si>
    <r>
      <t>上海泰勒伯</t>
    </r>
    <r>
      <rPr>
        <sz val="11"/>
        <color theme="1"/>
        <rFont val="ＭＳ Ｐゴシック"/>
        <family val="3"/>
        <charset val="134"/>
        <scheme val="minor"/>
      </rPr>
      <t>顿钻</t>
    </r>
    <r>
      <rPr>
        <sz val="11"/>
        <color theme="1"/>
        <rFont val="ＭＳ Ｐゴシック"/>
        <family val="3"/>
        <charset val="128"/>
        <scheme val="minor"/>
      </rPr>
      <t>石有限公司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</si>
  <si>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</si>
  <si>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英特</t>
    </r>
    <r>
      <rPr>
        <sz val="11"/>
        <color theme="1"/>
        <rFont val="ＭＳ Ｐゴシック"/>
        <family val="3"/>
        <charset val="134"/>
        <scheme val="minor"/>
      </rPr>
      <t>润</t>
    </r>
  </si>
  <si>
    <t>杭州德豪汽配有限公司</t>
  </si>
  <si>
    <r>
      <t>黄酒; 葡萄酒; 白酒; 果酒（含酒精）; 伏特加酒;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</si>
  <si>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</si>
  <si>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实农业产业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</si>
  <si>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</si>
  <si>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落笔星辰</t>
  </si>
  <si>
    <r>
      <t xml:space="preserve">米酒;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</si>
  <si>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李姓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</si>
  <si>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黄酒; 白酒; 高粱酒; 果酒（含酒精）</t>
    </r>
  </si>
  <si>
    <r>
      <t>凤仪</t>
    </r>
    <r>
      <rPr>
        <sz val="11"/>
        <color theme="1"/>
        <rFont val="ＭＳ Ｐゴシック"/>
        <family val="3"/>
        <charset val="128"/>
        <scheme val="minor"/>
      </rPr>
      <t>雅韵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</si>
  <si>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汽酒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</si>
  <si>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化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</si>
  <si>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</si>
  <si>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朗姆酒; 青稞酒</t>
    </r>
  </si>
  <si>
    <t>徐延芳</t>
  </si>
  <si>
    <r>
      <t>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青梅酒;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</si>
  <si>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越韵流</t>
    </r>
    <r>
      <rPr>
        <sz val="11"/>
        <color theme="1"/>
        <rFont val="ＭＳ Ｐゴシック"/>
        <family val="3"/>
        <charset val="134"/>
        <scheme val="minor"/>
      </rPr>
      <t>觞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</si>
  <si>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氏健康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</si>
  <si>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甜果酒; 白酒; 米酒; 青梅酒;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日式甜米酒;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</si>
  <si>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禧御泰</t>
  </si>
  <si>
    <r>
      <t>白酒; 果酒（含酒精）; 葡萄酒; 米酒;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</si>
  <si>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未止酒</t>
  </si>
  <si>
    <r>
      <t xml:space="preserve">清酒（日本米酒）; 葡萄酒; 清酒; 白干酒（中国白酒）; 白酒; 白葡萄酒;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</si>
  <si>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生金</t>
    </r>
  </si>
  <si>
    <r>
      <t>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青稞酒</t>
    </r>
  </si>
  <si>
    <t>咏正祥</t>
  </si>
  <si>
    <t>朱勃通</t>
  </si>
  <si>
    <r>
      <t>白酒;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</si>
  <si>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才古香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</si>
  <si>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开胃酒; 果酒（含酒精）; 葡萄酒; 餐后酒（利口酒和烈酒）; 食用酒精; 黄酒</t>
    </r>
  </si>
  <si>
    <r>
      <t>颂贤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</si>
  <si>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 xml:space="preserve">葡萄酒; 米酒;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</si>
  <si>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月亮都</t>
  </si>
  <si>
    <r>
      <t>冯</t>
    </r>
    <r>
      <rPr>
        <sz val="11"/>
        <color theme="1"/>
        <rFont val="ＭＳ Ｐゴシック"/>
        <family val="3"/>
        <charset val="128"/>
        <scheme val="minor"/>
      </rPr>
      <t>步生</t>
    </r>
  </si>
  <si>
    <r>
      <t xml:space="preserve">汽酒;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</si>
  <si>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喜得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</si>
  <si>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巴土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</si>
  <si>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白酒; 高粱酒; 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</si>
  <si>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谐龙</t>
  </si>
  <si>
    <r>
      <t>开胃酒;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</si>
  <si>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t>牛百康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</si>
  <si>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</si>
  <si>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YQ</t>
  </si>
  <si>
    <r>
      <t>邓</t>
    </r>
    <r>
      <rPr>
        <sz val="11"/>
        <color theme="1"/>
        <rFont val="ＭＳ Ｐゴシック"/>
        <family val="3"/>
        <charset val="128"/>
        <scheme val="minor"/>
      </rPr>
      <t>必南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</si>
  <si>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蜂蜜酒;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葡萄酒</t>
    </r>
  </si>
  <si>
    <t>良品良宅</t>
  </si>
  <si>
    <r>
      <t>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冻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</si>
  <si>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</si>
  <si>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鹿王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</si>
  <si>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</si>
  <si>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滳</t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</si>
  <si>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闲农农业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</si>
  <si>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薄荷酒; 草莓酒; 白酒; 果酒; 苹果酒; 蜂蜜酒; 草本型利口酒</t>
    </r>
  </si>
  <si>
    <t>学控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</si>
  <si>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</si>
  <si>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涂山璟</t>
  </si>
  <si>
    <r>
      <t>陈</t>
    </r>
    <r>
      <rPr>
        <sz val="11"/>
        <color theme="1"/>
        <rFont val="ＭＳ Ｐゴシック"/>
        <family val="3"/>
        <charset val="128"/>
        <scheme val="minor"/>
      </rPr>
      <t>霄</t>
    </r>
  </si>
  <si>
    <r>
      <t>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</si>
  <si>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牛九霸</t>
  </si>
  <si>
    <r>
      <t>果酒（含酒精）; 威士忌; 白酒;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</si>
  <si>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六朝十二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</si>
  <si>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</si>
  <si>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</si>
  <si>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匠羡</t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</si>
  <si>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</si>
  <si>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</si>
  <si>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</si>
  <si>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</si>
  <si>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周口洪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</si>
  <si>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</si>
  <si>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利百文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</si>
  <si>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利百文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</si>
  <si>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葡萄酒; 果酒（含酒精）; 米酒</t>
    </r>
  </si>
  <si>
    <t>瑶霖悦享</t>
  </si>
  <si>
    <r>
      <t>昌黎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藤家庭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</si>
  <si>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</si>
  <si>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</t>
    </r>
  </si>
  <si>
    <t>蜀舟酒窖</t>
  </si>
  <si>
    <r>
      <t>四川班舟商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</si>
  <si>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高粱酒</t>
    </r>
  </si>
  <si>
    <r>
      <t>送久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</si>
  <si>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</si>
  <si>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</t>
    </r>
  </si>
  <si>
    <t>嵊都</t>
  </si>
  <si>
    <r>
      <t>张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</si>
  <si>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 xml:space="preserve">食用酒精; 黄酒; 烈酒; 白酒; 白干酒（中国白酒）;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</si>
  <si>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金章堰</t>
  </si>
  <si>
    <r>
      <t>上海金章堰商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</si>
  <si>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青梅酒; 甜酒;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梅酒</t>
    </r>
  </si>
  <si>
    <t>液阳丹</t>
  </si>
  <si>
    <r>
      <t>西安十方空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</si>
  <si>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米酒; 高粱酒; 青稞酒; 葡萄酒; 果酒（含酒精）</t>
    </r>
  </si>
  <si>
    <t>吉秦</t>
  </si>
  <si>
    <r>
      <t>吕</t>
    </r>
    <r>
      <rPr>
        <sz val="11"/>
        <color theme="1"/>
        <rFont val="ＭＳ Ｐゴシック"/>
        <family val="3"/>
        <charset val="128"/>
        <scheme val="minor"/>
      </rPr>
      <t>宏亮</t>
    </r>
  </si>
  <si>
    <r>
      <t>开胃酒;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</si>
  <si>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小哥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</si>
  <si>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方通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</si>
  <si>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</si>
  <si>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西岭乾坤酒</t>
  </si>
  <si>
    <t>王新箭</t>
  </si>
  <si>
    <r>
      <t>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白酒; 开胃酒; 米酒; 青稞酒; 苹果酒</t>
    </r>
  </si>
  <si>
    <t>君余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</si>
  <si>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</si>
  <si>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六哥</t>
    </r>
  </si>
  <si>
    <r>
      <t xml:space="preserve">梨酒; 黄酒; 果酒（含酒精）; 葡萄酒; 开胃酒;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餐后酒（利口酒和烈酒）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</si>
  <si>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</si>
  <si>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白酒; 威士忌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</si>
  <si>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局</t>
    </r>
  </si>
  <si>
    <r>
      <t>祥富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</si>
  <si>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</si>
  <si>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海西州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牧局信息中心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</si>
  <si>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黄酒</t>
    </r>
  </si>
  <si>
    <t>牧荒者 HERDE PEOPLE</t>
  </si>
  <si>
    <t>杭州康米巴品牌管理有限公司</t>
  </si>
  <si>
    <r>
      <t>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白酒; 清酒（日本米酒）</t>
    </r>
  </si>
  <si>
    <r>
      <t>匠司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</si>
  <si>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</si>
  <si>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零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</si>
  <si>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西零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多商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</si>
  <si>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米酒; 清酒; 葡萄酒; 白酒; 高粱酒;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</si>
  <si>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也哈</t>
  </si>
  <si>
    <r>
      <t>韩</t>
    </r>
    <r>
      <rPr>
        <sz val="11"/>
        <color theme="1"/>
        <rFont val="ＭＳ Ｐゴシック"/>
        <family val="3"/>
        <charset val="128"/>
        <scheme val="minor"/>
      </rPr>
      <t>果静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</si>
  <si>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伏特加酒; 葡萄酒</t>
    </r>
  </si>
  <si>
    <t>情月谷</t>
  </si>
  <si>
    <r>
      <t>济</t>
    </r>
    <r>
      <rPr>
        <sz val="11"/>
        <color theme="1"/>
        <rFont val="ＭＳ Ｐゴシック"/>
        <family val="3"/>
        <charset val="128"/>
        <scheme val="minor"/>
      </rPr>
      <t>源市承乾运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</si>
  <si>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汽酒;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</si>
  <si>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</si>
  <si>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葡萄酒;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</si>
  <si>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云祖</t>
  </si>
  <si>
    <r>
      <t xml:space="preserve">米酒; 白酒; 果酒（含酒精）; 餐后酒（利口酒和烈酒）;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</si>
  <si>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钓烧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</si>
  <si>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葡萄酒; 米酒; 果酒（含酒精）; 茴香酒（利口酒）;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餐后酒（利口酒和烈酒）</t>
    </r>
  </si>
  <si>
    <t>江月与她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</si>
  <si>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沙瑾和物流有限公司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</si>
  <si>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</si>
  <si>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</si>
  <si>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</si>
  <si>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奢序</t>
  </si>
  <si>
    <r>
      <t>陈</t>
    </r>
    <r>
      <rPr>
        <sz val="11"/>
        <color theme="1"/>
        <rFont val="ＭＳ Ｐゴシック"/>
        <family val="3"/>
        <charset val="128"/>
        <scheme val="minor"/>
      </rPr>
      <t>善达</t>
    </r>
  </si>
  <si>
    <r>
      <t>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</si>
  <si>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诺诗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</si>
  <si>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</t>
    </r>
  </si>
  <si>
    <t>逸花醉</t>
  </si>
  <si>
    <r>
      <t xml:space="preserve">果酒;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白酒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</si>
  <si>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清之坊</t>
    </r>
  </si>
  <si>
    <t>熊家清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</si>
  <si>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</si>
  <si>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科技(北京)有限公司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</si>
  <si>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果酒（含酒精）</t>
    </r>
  </si>
  <si>
    <t>煌渡人生</t>
  </si>
  <si>
    <t>王彦曾</t>
  </si>
  <si>
    <r>
      <t xml:space="preserve">米酒; 清酒; 果酒; 食用酒精; 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</si>
  <si>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一卜浪</t>
  </si>
  <si>
    <r>
      <t>内蒙古玉米地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</si>
  <si>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果酒; 白酒;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开胃酒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</si>
  <si>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</si>
  <si>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浙江一墨文化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</si>
  <si>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高粱酒;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果酒</t>
    </r>
  </si>
  <si>
    <t>宏紫潭</t>
  </si>
  <si>
    <r>
      <t>罗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</si>
  <si>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</si>
  <si>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成佳</t>
    </r>
    <r>
      <rPr>
        <sz val="11"/>
        <color theme="1"/>
        <rFont val="ＭＳ Ｐゴシック"/>
        <family val="3"/>
        <charset val="134"/>
        <scheme val="minor"/>
      </rPr>
      <t>酿</t>
    </r>
  </si>
  <si>
    <t>王宁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</si>
  <si>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青稞酒;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</si>
  <si>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粮理想</t>
  </si>
  <si>
    <t>邓帅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</si>
  <si>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果酒（含酒精）</t>
    </r>
  </si>
  <si>
    <t>柒染九离</t>
  </si>
  <si>
    <t>姜敏光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</si>
  <si>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</si>
  <si>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</si>
  <si>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开胃酒;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</si>
  <si>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果小季</t>
  </si>
  <si>
    <r>
      <t>杨</t>
    </r>
    <r>
      <rPr>
        <sz val="11"/>
        <color theme="1"/>
        <rFont val="ＭＳ Ｐゴシック"/>
        <family val="3"/>
        <charset val="128"/>
        <scheme val="minor"/>
      </rPr>
      <t>小明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</si>
  <si>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黄酒</t>
    </r>
  </si>
  <si>
    <t>碧流源</t>
  </si>
  <si>
    <r>
      <t>中研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数信息技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(吉林)有限公司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</si>
  <si>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烈酒; 梨酒; 白干酒（中国白酒）; 黄酒; 白酒; 葡萄酒</t>
    </r>
  </si>
  <si>
    <t>牧能</t>
  </si>
  <si>
    <r>
      <t xml:space="preserve">食用酒精; 白酒; 甜酒; 黄酒; 汽酒; 清酒;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</si>
  <si>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玥供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</si>
  <si>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葡萄酒;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</si>
  <si>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谧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</si>
  <si>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深圳佳利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器材有限公司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</si>
  <si>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</si>
  <si>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蒋全付</t>
  </si>
  <si>
    <r>
      <t xml:space="preserve">高粱酒; 米酒; 烈酒; 黄酒; 果酒;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</si>
  <si>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柑生有理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</si>
  <si>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市中睿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</si>
  <si>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</si>
  <si>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盼逍遥</t>
  </si>
  <si>
    <t>林昌泉</t>
  </si>
  <si>
    <r>
      <t>清酒（日本米酒）;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</si>
  <si>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裕九</t>
    </r>
    <r>
      <rPr>
        <sz val="11"/>
        <color theme="1"/>
        <rFont val="ＭＳ Ｐゴシック"/>
        <family val="3"/>
        <charset val="134"/>
        <scheme val="minor"/>
      </rPr>
      <t>爷</t>
    </r>
  </si>
  <si>
    <t>黄建洪</t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</si>
  <si>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开胃酒</t>
    </r>
  </si>
  <si>
    <t>极味十三朝</t>
  </si>
  <si>
    <r>
      <t>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兵</t>
    </r>
  </si>
  <si>
    <t>果酒; 清酒; 烈酒; 食用酒精; 黄酒; 汽酒; 白酒; 甜酒; 米酒; 葡萄酒</t>
  </si>
  <si>
    <t>泰昆</t>
  </si>
  <si>
    <r>
      <t>韩</t>
    </r>
    <r>
      <rPr>
        <sz val="11"/>
        <color theme="1"/>
        <rFont val="ＭＳ Ｐゴシック"/>
        <family val="3"/>
        <charset val="128"/>
        <scheme val="minor"/>
      </rPr>
      <t>杰*****************X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</si>
  <si>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利口酒;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</si>
  <si>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QUEEN ISABELLA</t>
  </si>
  <si>
    <r>
      <t>海南知道信息技</t>
    </r>
    <r>
      <rPr>
        <sz val="11"/>
        <color theme="1"/>
        <rFont val="ＭＳ Ｐゴシック"/>
        <family val="3"/>
        <charset val="134"/>
        <scheme val="minor"/>
      </rPr>
      <t>术传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</si>
  <si>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</si>
  <si>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</si>
  <si>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山西四喜食品有限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</si>
  <si>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</si>
  <si>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乾山酩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</si>
  <si>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州版筑旅游开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</si>
  <si>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</si>
  <si>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</si>
  <si>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正迹</t>
  </si>
  <si>
    <t>陈战卫</t>
  </si>
  <si>
    <r>
      <t>果酒（含酒精）; 白酒; 米酒;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</si>
  <si>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千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</si>
  <si>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特(福建)酒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</si>
  <si>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威士忌; 伏特加酒; 黄酒; 果酒（含酒精）</t>
    </r>
  </si>
  <si>
    <r>
      <t>唐蜜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</t>
    </r>
  </si>
  <si>
    <t>唐蜜（北京）健康管理有限公司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</si>
  <si>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食用酒精; 果酒;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</si>
  <si>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秀哉</t>
  </si>
  <si>
    <r>
      <t>伏特加酒;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薄荷酒;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</si>
  <si>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捡</t>
    </r>
    <r>
      <rPr>
        <sz val="11"/>
        <color theme="1"/>
        <rFont val="ＭＳ Ｐゴシック"/>
        <family val="3"/>
        <charset val="128"/>
        <scheme val="minor"/>
      </rPr>
      <t>草坪</t>
    </r>
  </si>
  <si>
    <r>
      <t>平武万丰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</si>
  <si>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</si>
  <si>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金校之家</t>
  </si>
  <si>
    <r>
      <t>启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未来文化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</si>
  <si>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日本梅子酒;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威士忌; 葡萄酒</t>
    </r>
  </si>
  <si>
    <t>熏者吟</t>
  </si>
  <si>
    <r>
      <t xml:space="preserve">开胃酒;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</si>
  <si>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</si>
  <si>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御酩源（北京）酒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</si>
  <si>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</si>
  <si>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敬吾界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</si>
  <si>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州黔味食品开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</si>
  <si>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</si>
  <si>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在吾界</t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</si>
  <si>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</si>
  <si>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蜀京城</t>
  </si>
  <si>
    <r>
      <t>刘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璐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</si>
  <si>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白酒; 威士忌</t>
    </r>
  </si>
  <si>
    <t>鑫九麦</t>
  </si>
  <si>
    <r>
      <t>张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</si>
  <si>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开胃酒; 葡萄酒; 黄酒;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</si>
  <si>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浿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</si>
  <si>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南鑫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达建材有限公司</t>
    </r>
  </si>
  <si>
    <r>
      <t>清酒（日本米酒）; 果酒（含酒精）;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</si>
  <si>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双舍有道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</si>
  <si>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</si>
  <si>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小西</t>
    </r>
  </si>
  <si>
    <r>
      <t>迪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州方</t>
    </r>
    <r>
      <rPr>
        <sz val="11"/>
        <color theme="1"/>
        <rFont val="ＭＳ Ｐゴシック"/>
        <family val="3"/>
        <charset val="134"/>
        <scheme val="minor"/>
      </rPr>
      <t>维传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</si>
  <si>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开胃酒;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</t>
    </r>
  </si>
  <si>
    <t>牛力八野</t>
  </si>
  <si>
    <t>吴金泉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</si>
  <si>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</si>
  <si>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路行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</si>
  <si>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宜昌市方达物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</si>
  <si>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</t>
    </r>
  </si>
  <si>
    <r>
      <t>迎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</si>
  <si>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璟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（吉林）商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</si>
  <si>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苦味酒; 果酒（含酒精）</t>
    </r>
  </si>
  <si>
    <t>听目</t>
  </si>
  <si>
    <r>
      <t>湖州君品酒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</si>
  <si>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</t>
    </r>
  </si>
  <si>
    <t>丰砂行</t>
  </si>
  <si>
    <r>
      <t>砂仁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研究(广州)有限公司</t>
    </r>
  </si>
  <si>
    <r>
      <t xml:space="preserve">米酒;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</si>
  <si>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谊</t>
    </r>
    <r>
      <rPr>
        <sz val="11"/>
        <color theme="1"/>
        <rFont val="ＭＳ Ｐゴシック"/>
        <family val="3"/>
        <charset val="128"/>
        <scheme val="minor"/>
      </rPr>
      <t>久青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</si>
  <si>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保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</si>
  <si>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清酒;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</si>
  <si>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嗵</t>
    </r>
    <r>
      <rPr>
        <sz val="11"/>
        <color theme="1"/>
        <rFont val="ＭＳ Ｐゴシック"/>
        <family val="3"/>
        <charset val="128"/>
        <scheme val="minor"/>
      </rPr>
      <t>仙凌</t>
    </r>
  </si>
  <si>
    <r>
      <t>北京光大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合能源管理技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</si>
  <si>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黄酒; 甘蔗制烈酒;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白干酒（中国白酒）; 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</si>
  <si>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睿禧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</si>
  <si>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睿禧酒商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</si>
  <si>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</t>
    </r>
  </si>
  <si>
    <t>三三洞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</si>
  <si>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</si>
  <si>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鉴码赟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</si>
  <si>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鉴码赟</t>
    </r>
    <r>
      <rPr>
        <sz val="11"/>
        <color theme="1"/>
        <rFont val="ＭＳ Ｐゴシック"/>
        <family val="3"/>
        <charset val="128"/>
        <scheme val="minor"/>
      </rPr>
      <t>付科技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</si>
  <si>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</si>
  <si>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迎曲河</t>
  </si>
  <si>
    <r>
      <t>孙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</si>
  <si>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葡萄酒; 开胃酒;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黄酒; 食用酒精</t>
    </r>
  </si>
  <si>
    <t>天玉皇</t>
  </si>
  <si>
    <r>
      <t>天玉煌酒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</si>
  <si>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黄酒; 清酒（日本米酒）;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</si>
  <si>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曹圣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</si>
  <si>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果酒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</si>
  <si>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</si>
  <si>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MDENBOL 曼登堡</t>
  </si>
  <si>
    <t>吴振明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</si>
  <si>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清酒;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</si>
  <si>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徂汶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</si>
  <si>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东锦</t>
    </r>
    <r>
      <rPr>
        <sz val="11"/>
        <color theme="1"/>
        <rFont val="ＭＳ Ｐゴシック"/>
        <family val="3"/>
        <charset val="128"/>
        <scheme val="minor"/>
      </rPr>
      <t>城控股有限公司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</si>
  <si>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米酒; 梨酒; 果酒</t>
    </r>
  </si>
  <si>
    <t>藏迦耀</t>
  </si>
  <si>
    <r>
      <t>西藏藏迦耀商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</si>
  <si>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</si>
  <si>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</si>
  <si>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段志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</si>
  <si>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伏特加酒;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餐后酒（利口酒和烈酒）; 青稞酒</t>
    </r>
  </si>
  <si>
    <r>
      <t>梦回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</si>
  <si>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孙际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</si>
  <si>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</si>
  <si>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合衣</t>
  </si>
  <si>
    <r>
      <t>利口酒;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</si>
  <si>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尚五宝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</si>
  <si>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县红绿</t>
    </r>
    <r>
      <rPr>
        <sz val="11"/>
        <color theme="1"/>
        <rFont val="ＭＳ Ｐゴシック"/>
        <family val="3"/>
        <charset val="128"/>
        <scheme val="minor"/>
      </rPr>
      <t>园家庭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</si>
  <si>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草莓酒; 果酒; 葡萄酒; 烈酒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</si>
  <si>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吾界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</si>
  <si>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</si>
  <si>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吾界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</si>
  <si>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</si>
  <si>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t>LIBERLIVE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</si>
  <si>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联创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</si>
  <si>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米酒; 葡萄酒;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</si>
  <si>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德和堂</t>
    </r>
    <r>
      <rPr>
        <sz val="11"/>
        <color theme="1"/>
        <rFont val="ＭＳ Ｐゴシック"/>
        <family val="3"/>
        <charset val="134"/>
        <scheme val="minor"/>
      </rPr>
      <t>赵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</si>
  <si>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</si>
  <si>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</si>
  <si>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DOUQUDA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</si>
  <si>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一搭科技有限公司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</si>
  <si>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</si>
  <si>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教授</t>
    </r>
  </si>
  <si>
    <t>陈军</t>
  </si>
  <si>
    <r>
      <t xml:space="preserve">果酒;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甜酒; 米酒; 黄酒; 汽酒; 白酒</t>
    </r>
  </si>
  <si>
    <r>
      <t>酉尽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</si>
  <si>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深圳和光同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</si>
  <si>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蜂蜜酒; 米酒; 伏特加酒; 果酒（含酒精）; 黄酒</t>
    </r>
  </si>
  <si>
    <r>
      <t>述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</si>
  <si>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</si>
  <si>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</si>
  <si>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ZEAFRST</t>
  </si>
  <si>
    <r>
      <t>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</si>
  <si>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威士忌; 白酒; 果酒;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威末酒;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利口酒; 伏特加酒;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</si>
  <si>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豫上豫</t>
  </si>
  <si>
    <t>李冉</t>
  </si>
  <si>
    <r>
      <t>朗姆酒;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</si>
  <si>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·玖·隆</t>
    </r>
  </si>
  <si>
    <r>
      <t>福建省上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堂科技有限公司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</si>
  <si>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青梅酒;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</si>
  <si>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熙界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</si>
  <si>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汽酒; 甜酒;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</si>
  <si>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秀湖醉美</t>
  </si>
  <si>
    <r>
      <t>丰城市平邦酒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</si>
  <si>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</t>
    </r>
  </si>
  <si>
    <r>
      <t>商</t>
    </r>
    <r>
      <rPr>
        <sz val="11"/>
        <color theme="1"/>
        <rFont val="ＭＳ Ｐゴシック"/>
        <family val="3"/>
        <charset val="134"/>
        <scheme val="minor"/>
      </rPr>
      <t>玮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</si>
  <si>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商委肉制品有限公司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</si>
  <si>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</si>
  <si>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小傲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喰</t>
    </r>
  </si>
  <si>
    <r>
      <t>小傲江湖数字科技江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</si>
  <si>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</si>
  <si>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好礼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蒙</t>
    </r>
  </si>
  <si>
    <r>
      <t>果酒（含酒精）; 米酒; 威士忌; 青稞酒;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</si>
  <si>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壮美西域</t>
  </si>
  <si>
    <r>
      <t>财缝</t>
    </r>
    <r>
      <rPr>
        <sz val="11"/>
        <color theme="1"/>
        <rFont val="ＭＳ Ｐゴシック"/>
        <family val="3"/>
        <charset val="128"/>
        <scheme val="minor"/>
      </rPr>
      <t>宝控股（青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</si>
  <si>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威士忌; 果酒（含酒精）; 葡萄酒;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</si>
  <si>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院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食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</si>
  <si>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院餐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</si>
  <si>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青梅酒;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水果汽酒;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</si>
  <si>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黔韵</t>
    </r>
    <r>
      <rPr>
        <sz val="11"/>
        <color theme="1"/>
        <rFont val="ＭＳ Ｐゴシック"/>
        <family val="3"/>
        <charset val="134"/>
        <scheme val="minor"/>
      </rPr>
      <t>锦鸿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</si>
  <si>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州醇康商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</si>
  <si>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</si>
  <si>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苏飞</t>
    </r>
    <r>
      <rPr>
        <sz val="11"/>
        <color theme="1"/>
        <rFont val="ＭＳ Ｐゴシック"/>
        <family val="3"/>
        <charset val="128"/>
        <scheme val="minor"/>
      </rPr>
      <t>碟航天科技有限公司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</si>
  <si>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</si>
  <si>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r>
      <t>湘乾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</si>
  <si>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</si>
  <si>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开胃酒;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伏特加酒; 清酒（日本米酒）; 朗姆酒</t>
    </r>
  </si>
  <si>
    <t>晋小黑</t>
  </si>
  <si>
    <t>张军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</si>
  <si>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白酒;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</si>
  <si>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齐鲁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</si>
  <si>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东齐鲁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腾电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</si>
  <si>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</t>
    </r>
  </si>
  <si>
    <t>草木天下</t>
  </si>
  <si>
    <r>
      <t>北京草木天下文化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</si>
  <si>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</t>
    </r>
  </si>
  <si>
    <r>
      <t>卉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</si>
  <si>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敬穆（上海）文化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</si>
  <si>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露酒; 高粱酒; 葡萄酒</t>
    </r>
  </si>
  <si>
    <t>泉一口</t>
  </si>
  <si>
    <r>
      <t>彭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彭令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</si>
  <si>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</si>
  <si>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耕道</t>
    </r>
    <r>
      <rPr>
        <sz val="11"/>
        <color theme="1"/>
        <rFont val="ＭＳ Ｐゴシック"/>
        <family val="3"/>
        <charset val="134"/>
        <scheme val="minor"/>
      </rPr>
      <t>猎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</si>
  <si>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陈伟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</si>
  <si>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</si>
  <si>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擎洋</t>
  </si>
  <si>
    <r>
      <t xml:space="preserve">利口酒; 威士忌; 果酒; 朗姆酒;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威末酒;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</si>
  <si>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萧记车门</t>
    </r>
    <r>
      <rPr>
        <sz val="11"/>
        <color theme="1"/>
        <rFont val="ＭＳ Ｐゴシック"/>
        <family val="3"/>
        <charset val="128"/>
        <scheme val="minor"/>
      </rPr>
      <t>里天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</si>
  <si>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萧记</t>
    </r>
    <r>
      <rPr>
        <sz val="11"/>
        <color theme="1"/>
        <rFont val="ＭＳ Ｐゴシック"/>
        <family val="3"/>
        <charset val="128"/>
        <scheme val="minor"/>
      </rPr>
      <t>面食有限公司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</si>
  <si>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</si>
  <si>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之山</t>
    </r>
  </si>
  <si>
    <r>
      <t>黄酒; 白酒;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</si>
  <si>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秀才埠人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</si>
  <si>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</si>
  <si>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空月</t>
    </r>
    <r>
      <rPr>
        <sz val="11"/>
        <color theme="1"/>
        <rFont val="ＭＳ Ｐゴシック"/>
        <family val="3"/>
        <charset val="134"/>
        <scheme val="minor"/>
      </rPr>
      <t>忆</t>
    </r>
  </si>
  <si>
    <t>刘怡</t>
  </si>
  <si>
    <r>
      <t>蜂蜜酒; 酸酒（低等葡萄酒）;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杜松子酒;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</si>
  <si>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林城鼎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</si>
  <si>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食品加工有限公司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</si>
  <si>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黄酒; 白酒; 食用酒精; 汽酒</t>
    </r>
  </si>
  <si>
    <r>
      <t>兑</t>
    </r>
    <r>
      <rPr>
        <sz val="11"/>
        <color theme="1"/>
        <rFont val="ＭＳ Ｐゴシック"/>
        <family val="3"/>
        <charset val="128"/>
        <scheme val="minor"/>
      </rPr>
      <t>伴</t>
    </r>
  </si>
  <si>
    <t>郭炳友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</si>
  <si>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</si>
  <si>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雪豹源</t>
  </si>
  <si>
    <r>
      <t>青海珍露源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</si>
  <si>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汽酒; 青稞酒;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</si>
  <si>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恒王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</si>
  <si>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市圣代年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</si>
  <si>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果酒（含酒精）; 青稞酒;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</si>
  <si>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苏东</t>
    </r>
    <r>
      <rPr>
        <sz val="11"/>
        <color theme="1"/>
        <rFont val="ＭＳ Ｐゴシック"/>
        <family val="3"/>
        <charset val="128"/>
        <scheme val="minor"/>
      </rPr>
      <t>坡浮休</t>
    </r>
  </si>
  <si>
    <r>
      <t>四川省三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</si>
  <si>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</si>
  <si>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天开一也</t>
  </si>
  <si>
    <t>唐源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</si>
  <si>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</si>
  <si>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</si>
  <si>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铜锣坝</t>
  </si>
  <si>
    <r>
      <t>杨</t>
    </r>
    <r>
      <rPr>
        <sz val="11"/>
        <color theme="1"/>
        <rFont val="ＭＳ Ｐゴシック"/>
        <family val="3"/>
        <charset val="128"/>
        <scheme val="minor"/>
      </rPr>
      <t>瑞科</t>
    </r>
  </si>
  <si>
    <r>
      <t>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</t>
    </r>
  </si>
  <si>
    <t>妙工</t>
  </si>
  <si>
    <r>
      <t>孔德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</si>
  <si>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果酒; 清酒; 甜酒; 葡萄酒</t>
    </r>
  </si>
  <si>
    <t>礼吾界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</si>
  <si>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威士忌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</si>
  <si>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雪</t>
    </r>
  </si>
  <si>
    <t>潘先先</t>
  </si>
  <si>
    <r>
      <t xml:space="preserve">青稞酒; 白酒;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</si>
  <si>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孚祖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</si>
  <si>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餐后酒（利口酒和烈酒）; 黄酒; 威士忌; 果酒（含酒精）</t>
    </r>
  </si>
  <si>
    <r>
      <t>广福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</si>
  <si>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苑生物科技有限公司</t>
    </r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</si>
  <si>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</si>
  <si>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番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喜番</t>
    </r>
  </si>
  <si>
    <r>
      <t>广州熙爵文化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</si>
  <si>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青梅酒; 甜酒; 伏特加酒; 咖啡利口酒;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日本梅子酒; 起泡白葡萄酒; 朗姆酒</t>
    </r>
  </si>
  <si>
    <t>互界</t>
  </si>
  <si>
    <r>
      <t>白酒; 葡萄酒;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</si>
  <si>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三合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品生物工程有限公司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</si>
  <si>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</si>
  <si>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船开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</si>
  <si>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市粮心匠酒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</si>
  <si>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葡萄酒; 餐后酒（利口酒和烈酒）;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</si>
  <si>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通太医</t>
  </si>
  <si>
    <r>
      <t>张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</si>
  <si>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白酒;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</si>
  <si>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一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</si>
  <si>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福建省玉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</si>
  <si>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白酒;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</si>
  <si>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目</t>
    </r>
  </si>
  <si>
    <r>
      <t>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露酒;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</t>
    </r>
  </si>
  <si>
    <t>井微府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</si>
  <si>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市豫泉春酒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</si>
  <si>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蒸煮提取物（利口酒和烈酒）;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酸酒（低等葡萄酒）;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</t>
    </r>
  </si>
  <si>
    <t>念念椿</t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</si>
  <si>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城市念念椿餐</t>
    </r>
    <r>
      <rPr>
        <sz val="11"/>
        <color theme="1"/>
        <rFont val="ＭＳ Ｐゴシック"/>
        <family val="3"/>
        <charset val="134"/>
        <scheme val="minor"/>
      </rPr>
      <t>饮连锁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</si>
  <si>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米酒;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</si>
  <si>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李佩琳</t>
  </si>
  <si>
    <t>李小余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</si>
  <si>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威士忌; 甜酒; 果酒（含酒精）; 黄酒; 清酒; 米酒</t>
    </r>
  </si>
  <si>
    <t>享吾界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</si>
  <si>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</si>
  <si>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王泱懿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</si>
  <si>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鳞</t>
    </r>
    <r>
      <rPr>
        <sz val="11"/>
        <color theme="1"/>
        <rFont val="ＭＳ Ｐゴシック"/>
        <family val="3"/>
        <charset val="128"/>
        <scheme val="minor"/>
      </rPr>
      <t>河山珍食品有限公司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</si>
  <si>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</t>
    </r>
  </si>
  <si>
    <t>道谷康</t>
  </si>
  <si>
    <t>林小芳</t>
  </si>
  <si>
    <r>
      <t xml:space="preserve">葡萄酒;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黄酒; 茴香酒; 米酒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</si>
  <si>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金玉</t>
    </r>
  </si>
  <si>
    <r>
      <t xml:space="preserve">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</si>
  <si>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旧世佳</t>
    </r>
  </si>
  <si>
    <r>
      <t>中粱（遂宁）酒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</si>
  <si>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</si>
  <si>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散花滇</t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</si>
  <si>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</si>
  <si>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</si>
  <si>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山食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墅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</si>
  <si>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华县归</t>
    </r>
    <r>
      <rPr>
        <sz val="11"/>
        <color theme="1"/>
        <rFont val="ＭＳ Ｐゴシック"/>
        <family val="3"/>
        <charset val="128"/>
        <scheme val="minor"/>
      </rPr>
      <t>园居文</t>
    </r>
    <r>
      <rPr>
        <sz val="11"/>
        <color theme="1"/>
        <rFont val="ＭＳ Ｐゴシック"/>
        <family val="3"/>
        <charset val="134"/>
        <scheme val="minor"/>
      </rPr>
      <t>创农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</si>
  <si>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茴香酒（利口酒）;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</si>
  <si>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济仓</t>
    </r>
  </si>
  <si>
    <r>
      <t xml:space="preserve">果酒;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青梅酒;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</si>
  <si>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盼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卿</t>
    </r>
  </si>
  <si>
    <r>
      <t>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清酒（日本米酒）; 威士忌; 开胃酒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</si>
  <si>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</si>
  <si>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开胃酒;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清酒</t>
    </r>
  </si>
  <si>
    <t>御泉湖</t>
  </si>
  <si>
    <r>
      <t>陈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</si>
  <si>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清酒（日本米酒）</t>
    </r>
  </si>
  <si>
    <t>派克熊猫</t>
  </si>
  <si>
    <r>
      <t>黄</t>
    </r>
    <r>
      <rPr>
        <sz val="11"/>
        <color theme="1"/>
        <rFont val="ＭＳ Ｐゴシック"/>
        <family val="3"/>
        <charset val="134"/>
        <scheme val="minor"/>
      </rPr>
      <t>丽颖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</si>
  <si>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</si>
  <si>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薄荷酒;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青稞酒; 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</si>
  <si>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仁道</t>
    </r>
  </si>
  <si>
    <t>孔令勇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</si>
  <si>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</si>
  <si>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利口酒; 葡萄酒; 米酒; 烈酒;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</si>
  <si>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虎益健</t>
  </si>
  <si>
    <t>深圳市欧米巴科技有限公司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</si>
  <si>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</si>
  <si>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PAPA ZHANG</t>
  </si>
  <si>
    <r>
      <t>珠海横琴</t>
    </r>
    <r>
      <rPr>
        <sz val="11"/>
        <color theme="1"/>
        <rFont val="ＭＳ Ｐゴシック"/>
        <family val="3"/>
        <charset val="134"/>
        <scheme val="minor"/>
      </rPr>
      <t>严肃</t>
    </r>
    <r>
      <rPr>
        <sz val="11"/>
        <color theme="1"/>
        <rFont val="ＭＳ Ｐゴシック"/>
        <family val="3"/>
        <charset val="128"/>
        <scheme val="minor"/>
      </rPr>
      <t>本草中医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</si>
  <si>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薄荷酒; 白酒; 草本型利口酒; 黄酒; 青稞酒; 米酒; 苦味酒</t>
    </r>
  </si>
  <si>
    <t>景德盛</t>
  </si>
  <si>
    <r>
      <t>北京三粒粮酒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</si>
  <si>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</t>
    </r>
  </si>
  <si>
    <t>孚商</t>
  </si>
  <si>
    <r>
      <t>亳州云中溪酒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</si>
  <si>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餐后酒（利口酒和烈酒）; 威士忌;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葡萄酒</t>
    </r>
  </si>
  <si>
    <r>
      <t>理想宝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</si>
  <si>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王俊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</si>
  <si>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威士忌; 果酒（含酒精）; 葡萄酒; 米酒;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</si>
  <si>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个山</t>
  </si>
  <si>
    <r>
      <t>海南宜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</si>
  <si>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</si>
  <si>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蔡宅臻</t>
    </r>
    <r>
      <rPr>
        <sz val="11"/>
        <color theme="1"/>
        <rFont val="ＭＳ Ｐゴシック"/>
        <family val="3"/>
        <charset val="134"/>
        <scheme val="minor"/>
      </rPr>
      <t>酿</t>
    </r>
  </si>
  <si>
    <t>林建芳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</si>
  <si>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威士忌; 梅酒</t>
    </r>
  </si>
  <si>
    <r>
      <t>子均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</si>
  <si>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</si>
  <si>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妙丰砂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</si>
  <si>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黄酒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</si>
  <si>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豹</t>
    </r>
  </si>
  <si>
    <r>
      <t>云塔投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</si>
  <si>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</si>
  <si>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北荒韵</t>
  </si>
  <si>
    <t>刘向娟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</si>
  <si>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米酒;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</si>
  <si>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文兜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</si>
  <si>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溪泉酒厂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</si>
  <si>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</si>
  <si>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蚓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施尚（梁山）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</si>
  <si>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果酒; 米酒;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</si>
  <si>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盈樽鹿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</si>
  <si>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市立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</si>
  <si>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</si>
  <si>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</si>
  <si>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炜</t>
    </r>
    <r>
      <rPr>
        <sz val="11"/>
        <color theme="1"/>
        <rFont val="ＭＳ Ｐゴシック"/>
        <family val="3"/>
        <charset val="128"/>
        <scheme val="minor"/>
      </rPr>
      <t>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</si>
  <si>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烈酒; 白酒; 高粱酒;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</si>
  <si>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t>醉如雪</t>
  </si>
  <si>
    <t>刘宝洋</t>
  </si>
  <si>
    <r>
      <t>葡萄酒;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青梅酒;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刺五加酒; 清酒（日本米酒）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</si>
  <si>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释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</si>
  <si>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挺宇然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</si>
  <si>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米酒; 露酒;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高粱酒</t>
    </r>
  </si>
  <si>
    <t>苗大娘</t>
  </si>
  <si>
    <t>周小妃</t>
  </si>
  <si>
    <r>
      <t xml:space="preserve">白酒; 黑覆盆子酒;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草莓酒; 米酒; 果酒</t>
    </r>
  </si>
  <si>
    <t>未来万家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</si>
  <si>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</si>
  <si>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烈酒; 果酒; 开胃酒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</si>
  <si>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地窄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</si>
  <si>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天得利运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</si>
  <si>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</si>
  <si>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库为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</si>
  <si>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樊生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</si>
  <si>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</si>
  <si>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海商如初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</si>
  <si>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莞市海商如初食品有限公司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</si>
  <si>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清酒（日本米酒）</t>
    </r>
  </si>
  <si>
    <r>
      <t>萧记车门</t>
    </r>
    <r>
      <rPr>
        <sz val="11"/>
        <color theme="1"/>
        <rFont val="ＭＳ Ｐゴシック"/>
        <family val="3"/>
        <charset val="128"/>
        <scheme val="minor"/>
      </rPr>
      <t>里人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</si>
  <si>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</t>
    </r>
  </si>
  <si>
    <r>
      <t>蔚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</si>
  <si>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深圳市奥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</si>
  <si>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黄酒; 果酒; 高粱酒;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</si>
  <si>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秦大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</si>
  <si>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</si>
  <si>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黄酒; 高粱酒; 苹果酒;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</si>
  <si>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聚界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</si>
  <si>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利口酒; 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</si>
  <si>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连环</t>
    </r>
  </si>
  <si>
    <t>秦冠兵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</si>
  <si>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米酒; 伏特加酒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</si>
  <si>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蕲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</si>
  <si>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深圳市翊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</si>
  <si>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伏特加酒; 米酒;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</si>
  <si>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央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</si>
  <si>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</si>
  <si>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清酒（日本米酒）;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</si>
  <si>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日曌管家婆</t>
  </si>
  <si>
    <r>
      <t>北京日曌管家婆商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</si>
  <si>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白酒</t>
    </r>
  </si>
  <si>
    <t>彩筠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</si>
  <si>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葡萄酒</t>
    </r>
  </si>
  <si>
    <r>
      <t>悦家永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</si>
  <si>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城新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</si>
  <si>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朗姆酒</t>
    </r>
  </si>
  <si>
    <r>
      <t>悠蜜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</si>
  <si>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汽酒;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利口酒; 果酒（含酒精）; 葡萄酒</t>
    </r>
  </si>
  <si>
    <t>王仕荣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</si>
  <si>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清酒; 白酒; 开胃酒; 葡萄酒; 汽酒; 食用酒精</t>
    </r>
  </si>
  <si>
    <r>
      <t>严肃</t>
    </r>
    <r>
      <rPr>
        <sz val="11"/>
        <color theme="1"/>
        <rFont val="ＭＳ Ｐゴシック"/>
        <family val="3"/>
        <charset val="128"/>
        <scheme val="minor"/>
      </rPr>
      <t>本草</t>
    </r>
  </si>
  <si>
    <r>
      <t>青稞酒; 白酒; 薄荷酒;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梨酒; 草本型利口酒;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</si>
  <si>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赤天成</t>
    </r>
  </si>
  <si>
    <r>
      <t>胡文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</si>
  <si>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</si>
  <si>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并州醉侯</t>
  </si>
  <si>
    <r>
      <t>长</t>
    </r>
    <r>
      <rPr>
        <sz val="11"/>
        <color theme="1"/>
        <rFont val="ＭＳ Ｐゴシック"/>
        <family val="3"/>
        <charset val="128"/>
        <scheme val="minor"/>
      </rPr>
      <t>治馨雅晟商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</si>
  <si>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果酒（含酒精）;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</si>
  <si>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翁阜昌</t>
  </si>
  <si>
    <r>
      <t>果酒（含酒精）; 葡萄酒;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高粱酒;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</si>
  <si>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皇津花扁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</si>
  <si>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 xml:space="preserve">黄酒; 清酒;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米酒</t>
    </r>
  </si>
  <si>
    <r>
      <t>帝皇花扁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</si>
  <si>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天津津帝酒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</si>
  <si>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清酒; 汽酒;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果酒; 米酒</t>
    </r>
  </si>
  <si>
    <r>
      <t>丰十九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</si>
  <si>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</si>
  <si>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恒一臻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</si>
  <si>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清酒</t>
    </r>
  </si>
  <si>
    <t>嶲福</t>
  </si>
  <si>
    <t>孟媛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</si>
  <si>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米酒;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</si>
  <si>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</si>
  <si>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</si>
  <si>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表花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</si>
  <si>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西皓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星辰酒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</si>
  <si>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清酒;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</t>
    </r>
  </si>
  <si>
    <t>懂物</t>
  </si>
  <si>
    <t>孔令杰</t>
  </si>
  <si>
    <r>
      <t xml:space="preserve">葡萄酒; 黄酒; 果酒;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甜酒; 食用酒精</t>
    </r>
  </si>
  <si>
    <t>村花景坊</t>
  </si>
  <si>
    <r>
      <t>杨</t>
    </r>
    <r>
      <rPr>
        <sz val="11"/>
        <color theme="1"/>
        <rFont val="ＭＳ Ｐゴシック"/>
        <family val="3"/>
        <charset val="128"/>
        <scheme val="minor"/>
      </rPr>
      <t>新坡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</si>
  <si>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果酒（含酒精）; 开胃酒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</si>
  <si>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庆忆</t>
    </r>
    <r>
      <rPr>
        <sz val="11"/>
        <color theme="1"/>
        <rFont val="ＭＳ Ｐゴシック"/>
        <family val="3"/>
        <charset val="128"/>
        <scheme val="minor"/>
      </rPr>
      <t>食尚食品科技有限公司</t>
    </r>
  </si>
  <si>
    <r>
      <t xml:space="preserve">清酒（日本米酒）; 青稞酒;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</si>
  <si>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</t>
    </r>
  </si>
  <si>
    <t>桓旭</t>
  </si>
  <si>
    <r>
      <t>刘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</si>
  <si>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加烈葡萄酒; 酸酒（低等葡萄酒）;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</t>
    </r>
  </si>
  <si>
    <t>口粮故事</t>
  </si>
  <si>
    <t>胡侃</t>
  </si>
  <si>
    <r>
      <t>白酒; 黄酒;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</t>
    </r>
  </si>
  <si>
    <t>炫彩西域</t>
  </si>
  <si>
    <r>
      <t>朗姆酒; 伏特加酒; 食用酒精; 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</si>
  <si>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微古皖</t>
  </si>
  <si>
    <r>
      <t>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蒸煮提取物（利口酒和烈酒）; 黄酒; 酸酒（低等葡萄酒）</t>
    </r>
  </si>
  <si>
    <t>橙恭</t>
  </si>
  <si>
    <r>
      <t>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</t>
    </r>
  </si>
  <si>
    <r>
      <t>太雕跨湖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</si>
  <si>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市咸亨酒店食品有限公司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</si>
  <si>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</si>
  <si>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河太子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</si>
  <si>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利生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</si>
  <si>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</si>
  <si>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茗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</si>
  <si>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信阳市</t>
    </r>
    <r>
      <rPr>
        <sz val="11"/>
        <color theme="1"/>
        <rFont val="ＭＳ Ｐゴシック"/>
        <family val="3"/>
        <charset val="134"/>
        <scheme val="minor"/>
      </rPr>
      <t>浉</t>
    </r>
    <r>
      <rPr>
        <sz val="11"/>
        <color theme="1"/>
        <rFont val="ＭＳ Ｐゴシック"/>
        <family val="3"/>
        <charset val="128"/>
        <scheme val="minor"/>
      </rPr>
      <t>河区千佛山茶叶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</si>
  <si>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</si>
  <si>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帝王酒</t>
    </r>
  </si>
  <si>
    <r>
      <t xml:space="preserve">清酒; 葡萄酒;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白酒; 利口酒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</si>
  <si>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讯</t>
    </r>
  </si>
  <si>
    <r>
      <t>河南嘉博睿物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</si>
  <si>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果酒（含酒精）; 清酒; 米酒;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</si>
  <si>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山野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</si>
  <si>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子露</t>
    </r>
  </si>
  <si>
    <r>
      <t xml:space="preserve">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清酒; 甜酒; 葡萄酒; 黄酒</t>
    </r>
  </si>
  <si>
    <t>叱尊</t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</si>
  <si>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利口酒; 威士忌; 伏特加酒; 威末酒;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</si>
  <si>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r>
      <t>蓝诺</t>
    </r>
    <r>
      <rPr>
        <sz val="11"/>
        <color theme="1"/>
        <rFont val="ＭＳ Ｐゴシック"/>
        <family val="3"/>
        <charset val="128"/>
        <scheme val="minor"/>
      </rPr>
      <t>希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</si>
  <si>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江瑞智生物科技有限公司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</si>
  <si>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白酒; 蜂蜜酒; 含酒精的气泡水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</si>
  <si>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尔马</t>
    </r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</si>
  <si>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</si>
  <si>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梨酒</t>
    </r>
  </si>
  <si>
    <t>魏溪</t>
  </si>
  <si>
    <r>
      <t>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伏特加酒; 威士忌;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</si>
  <si>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麟江仙</t>
  </si>
  <si>
    <r>
      <t>蒋瑶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</si>
  <si>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食用酒精;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五加皮酒（中国混合烈酒）;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白干酒（中国白酒）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</si>
  <si>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舞豪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</si>
  <si>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冰冰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</si>
  <si>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甜酒; 白酒; 黄酒</t>
    </r>
  </si>
  <si>
    <r>
      <t>汐汐酒</t>
    </r>
    <r>
      <rPr>
        <sz val="11"/>
        <color theme="1"/>
        <rFont val="ＭＳ Ｐゴシック"/>
        <family val="3"/>
        <charset val="134"/>
        <scheme val="minor"/>
      </rPr>
      <t>铺</t>
    </r>
  </si>
  <si>
    <t>朱俊蓉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</si>
  <si>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</si>
  <si>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三合玖</t>
    </r>
    <r>
      <rPr>
        <sz val="11"/>
        <color theme="1"/>
        <rFont val="ＭＳ Ｐゴシック"/>
        <family val="3"/>
        <charset val="134"/>
        <scheme val="minor"/>
      </rPr>
      <t>酿</t>
    </r>
  </si>
  <si>
    <t>米酒; 黄酒; 果酒; 清酒; 白酒; 苦艾酒; 薄荷酒; 开胃酒; 蜂蜜酒; 葡萄酒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</si>
  <si>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烨诚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</si>
  <si>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苹果酒;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</si>
  <si>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瑟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</si>
  <si>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更</t>
    </r>
  </si>
  <si>
    <r>
      <t>开胃酒; 清酒（日本米酒）;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</si>
  <si>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陌芊醇</t>
  </si>
  <si>
    <r>
      <t>四川壹加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</si>
  <si>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烈酒; 食用酒精; 白酒;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</si>
  <si>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欢马</t>
  </si>
  <si>
    <r>
      <t>白雪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</si>
  <si>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露酒; 米酒; 青稞酒; 黄酒; 白酒; 葡萄酒</t>
    </r>
  </si>
  <si>
    <t>GUOMI</t>
  </si>
  <si>
    <r>
      <t>烟台国秘酒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</si>
  <si>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</si>
  <si>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鄮集市</t>
  </si>
  <si>
    <r>
      <t>宁波形而上品牌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</si>
  <si>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</si>
  <si>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杰卡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</si>
  <si>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甜酒; 米酒; 果酒（含酒精）;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</si>
  <si>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酌冠</t>
  </si>
  <si>
    <r>
      <t>罗卫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</si>
  <si>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果酒;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</si>
  <si>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POMANBOMAN</t>
  </si>
  <si>
    <r>
      <t>上海幸可遇供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</si>
  <si>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薄荷酒;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</si>
  <si>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兀四</t>
  </si>
  <si>
    <r>
      <t>河南胖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</si>
  <si>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餐后酒（利口酒和烈酒）</t>
    </r>
  </si>
  <si>
    <t>散花佬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</si>
  <si>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</si>
  <si>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谢记</t>
    </r>
    <r>
      <rPr>
        <sz val="11"/>
        <color theme="1"/>
        <rFont val="ＭＳ Ｐゴシック"/>
        <family val="3"/>
        <charset val="128"/>
        <scheme val="minor"/>
      </rPr>
      <t>品燕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</si>
  <si>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湖南品燕企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</si>
  <si>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</si>
  <si>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梦指引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</si>
  <si>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善之家文化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</si>
  <si>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</si>
  <si>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科赴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</si>
  <si>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百川企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</si>
  <si>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食用酒精</t>
    </r>
  </si>
  <si>
    <t>忠武搏决</t>
  </si>
  <si>
    <r>
      <t>吕</t>
    </r>
    <r>
      <rPr>
        <sz val="11"/>
        <color theme="1"/>
        <rFont val="ＭＳ Ｐゴシック"/>
        <family val="3"/>
        <charset val="128"/>
        <scheme val="minor"/>
      </rPr>
      <t>少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</si>
  <si>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</si>
  <si>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农业职业</t>
    </r>
    <r>
      <rPr>
        <sz val="11"/>
        <color theme="1"/>
        <rFont val="ＭＳ Ｐゴシック"/>
        <family val="3"/>
        <charset val="128"/>
        <scheme val="minor"/>
      </rPr>
      <t>学院</t>
    </r>
  </si>
  <si>
    <r>
      <t xml:space="preserve">白酒;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米酒; 果酒（含酒精）</t>
    </r>
  </si>
  <si>
    <t>酒面恋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</si>
  <si>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</si>
  <si>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诞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</si>
  <si>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>蓝丽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</si>
  <si>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</si>
  <si>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玫博士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</si>
  <si>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露姿</t>
    </r>
    <r>
      <rPr>
        <sz val="11"/>
        <color theme="1"/>
        <rFont val="ＭＳ Ｐゴシック"/>
        <family val="3"/>
        <charset val="134"/>
        <scheme val="minor"/>
      </rPr>
      <t>玛俪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</si>
  <si>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</t>
    </r>
  </si>
  <si>
    <t>沁夸</t>
  </si>
  <si>
    <t>黄水菲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</si>
  <si>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薄荷酒</t>
    </r>
  </si>
  <si>
    <t>金香品雪</t>
  </si>
  <si>
    <r>
      <t>萧</t>
    </r>
    <r>
      <rPr>
        <sz val="11"/>
        <color theme="1"/>
        <rFont val="ＭＳ Ｐゴシック"/>
        <family val="3"/>
        <charset val="128"/>
        <scheme val="minor"/>
      </rPr>
      <t>氏茶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</si>
  <si>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白酒;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露酒; 葡萄酒</t>
    </r>
  </si>
  <si>
    <t>跨海将</t>
  </si>
  <si>
    <r>
      <t>珠海市祖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</si>
  <si>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</si>
  <si>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渐红</t>
    </r>
  </si>
  <si>
    <t>北京致同道合文化科技有限公司</t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</si>
  <si>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</si>
  <si>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r>
      <t>淄博海悦餐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</si>
  <si>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</si>
  <si>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粮典藏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</si>
  <si>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</si>
  <si>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威士忌; 青稞酒; 利口酒; 白酒</t>
    </r>
  </si>
  <si>
    <t>新厨仕 NECOOKS</t>
  </si>
  <si>
    <t>蔡克立</t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</si>
  <si>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</si>
  <si>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沁乖</t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</si>
  <si>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黄酒; 薄荷酒</t>
    </r>
  </si>
  <si>
    <r>
      <t>耀然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喜哥</t>
    </r>
  </si>
  <si>
    <r>
      <t>浙江耀然大健康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</si>
  <si>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</si>
  <si>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迎桂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</si>
  <si>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玥文化有限公司</t>
    </r>
  </si>
  <si>
    <r>
      <t xml:space="preserve">黄酒;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果酒（含酒精）; 白酒; 开胃酒</t>
    </r>
  </si>
  <si>
    <r>
      <t>清源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</si>
  <si>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山云听网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</si>
  <si>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烈酒;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</si>
  <si>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岳雅</t>
  </si>
  <si>
    <t>王涛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</si>
  <si>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薄荷酒; 伏特加酒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</si>
  <si>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蜀瑶</t>
    </r>
  </si>
  <si>
    <r>
      <t>葡萄酒; 食用酒精; 清酒（日本米酒）; 米酒; 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</si>
  <si>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享悦容</t>
    </r>
  </si>
  <si>
    <r>
      <t>新疆西域春乳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</si>
  <si>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食用酒精; 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</si>
  <si>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吴氏江上白</t>
  </si>
  <si>
    <t>吴志梅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</si>
  <si>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清酒; 五加皮酒（中国混合烈酒）; 葡萄酒</t>
    </r>
  </si>
  <si>
    <t>卡石</t>
  </si>
  <si>
    <r>
      <t>秦小酌（西安）商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</si>
  <si>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</si>
  <si>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中豪儒韵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</si>
  <si>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</si>
  <si>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</si>
  <si>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戎小二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</si>
  <si>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果酒（含酒精）</t>
    </r>
  </si>
  <si>
    <r>
      <t>玉星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</si>
  <si>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</si>
  <si>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烈酒;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</si>
  <si>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贵乡</t>
    </r>
    <r>
      <rPr>
        <sz val="11"/>
        <color theme="1"/>
        <rFont val="ＭＳ Ｐゴシック"/>
        <family val="3"/>
        <charset val="128"/>
        <scheme val="minor"/>
      </rPr>
      <t>曹妃</t>
    </r>
  </si>
  <si>
    <r>
      <t>深圳市艾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旭展科技有限公司</t>
    </r>
  </si>
  <si>
    <r>
      <t xml:space="preserve">葡萄酒; 米酒;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</si>
  <si>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</si>
  <si>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濮阳市开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</si>
  <si>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</si>
  <si>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积鸿轩</t>
  </si>
  <si>
    <r>
      <t>顾</t>
    </r>
    <r>
      <rPr>
        <sz val="11"/>
        <color theme="1"/>
        <rFont val="ＭＳ Ｐゴシック"/>
        <family val="3"/>
        <charset val="128"/>
        <scheme val="minor"/>
      </rPr>
      <t>美良</t>
    </r>
  </si>
  <si>
    <r>
      <t>葡萄酒; 果酒; 米酒; 白酒; 黄酒; 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</si>
  <si>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沐心石屋.石井坊</t>
  </si>
  <si>
    <r>
      <t>海南邑尚旅游开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</si>
  <si>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</si>
  <si>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安酒</t>
    </r>
    <r>
      <rPr>
        <sz val="11"/>
        <color theme="1"/>
        <rFont val="ＭＳ Ｐゴシック"/>
        <family val="3"/>
        <charset val="134"/>
        <scheme val="minor"/>
      </rPr>
      <t>师</t>
    </r>
  </si>
  <si>
    <t>雷玉娣</t>
  </si>
  <si>
    <r>
      <t xml:space="preserve">米酒; 露酒;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汽酒; 葡萄酒; 开胃酒</t>
    </r>
  </si>
  <si>
    <r>
      <t>蒙原喜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</si>
  <si>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内蒙古乳香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</si>
  <si>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含酒精蛋奶酒; 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</si>
  <si>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麓暖阳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</si>
  <si>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川）商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</si>
  <si>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白葡萄酒; 白酒; 高粱酒; 朗姆酒; 烈酒</t>
    </r>
  </si>
  <si>
    <t>六色麒麟</t>
  </si>
  <si>
    <r>
      <t>山中麒麟茶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（普洱）有限公司</t>
    </r>
  </si>
  <si>
    <r>
      <t xml:space="preserve">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烈酒; 白干酒（中国白酒）;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</si>
  <si>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LVMISHU</t>
  </si>
  <si>
    <r>
      <t>湖北天禄保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</si>
  <si>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</si>
  <si>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HENGCHANGYOUJI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</si>
  <si>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州市盒品会包装制品有限公司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</si>
  <si>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</si>
  <si>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NINY</t>
  </si>
  <si>
    <r>
      <t>广州市莫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思科技有限公司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</si>
  <si>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蜂蜜酒; 葡萄酒; 米酒; 威士忌; 白酒</t>
    </r>
  </si>
  <si>
    <r>
      <t>莓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</si>
  <si>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根柢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</si>
  <si>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</si>
  <si>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道街坊</t>
  </si>
  <si>
    <r>
      <t>严维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</si>
  <si>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白酒; 黄酒; 清酒（日本米酒）;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</si>
  <si>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夏青花叙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</si>
  <si>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</si>
  <si>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黄酒; 开胃酒; 清酒（日本米酒）;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葡萄酒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</si>
  <si>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</si>
  <si>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威士忌;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</si>
  <si>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</si>
  <si>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戴沃</t>
  </si>
  <si>
    <t>拜科股份有限公司</t>
  </si>
  <si>
    <r>
      <t>花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西洋</t>
    </r>
  </si>
  <si>
    <r>
      <t>福州花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西洋园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</si>
  <si>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</si>
  <si>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惠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</si>
  <si>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东玺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</si>
  <si>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葡萄酒; 白酒</t>
    </r>
  </si>
  <si>
    <t>和瑞坊</t>
  </si>
  <si>
    <r>
      <t>付</t>
    </r>
    <r>
      <rPr>
        <sz val="11"/>
        <color theme="1"/>
        <rFont val="ＭＳ Ｐゴシック"/>
        <family val="3"/>
        <charset val="134"/>
        <scheme val="minor"/>
      </rPr>
      <t>诗娴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</si>
  <si>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清酒（日本米酒）;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</si>
  <si>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香泉高家</t>
  </si>
  <si>
    <t>高香花</t>
  </si>
  <si>
    <r>
      <t xml:space="preserve">青稞酒; 利口酒;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</si>
  <si>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茗心似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</si>
  <si>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朱永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</si>
  <si>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</si>
  <si>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绅阁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</si>
  <si>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州坤沙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</si>
  <si>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</t>
    </r>
  </si>
  <si>
    <t>YAPYAX</t>
  </si>
  <si>
    <r>
      <t>海南初雪疆情商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</si>
  <si>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水果汽酒;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</si>
  <si>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晋令天下</t>
  </si>
  <si>
    <t>史春吓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</si>
  <si>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</si>
  <si>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喜郡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</si>
  <si>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熊荣</t>
    </r>
    <r>
      <rPr>
        <sz val="11"/>
        <color theme="1"/>
        <rFont val="ＭＳ Ｐゴシック"/>
        <family val="3"/>
        <charset val="134"/>
        <scheme val="minor"/>
      </rPr>
      <t>劲</t>
    </r>
  </si>
  <si>
    <t>米酒; 汽酒; 甜酒; 黄酒; 白酒; 高粱酒; 烈酒; 葡萄酒; 果酒; 清酒</t>
  </si>
  <si>
    <t>唇享悦融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</si>
  <si>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</si>
  <si>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t>醺掌柜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</si>
  <si>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利弘天呈影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</si>
  <si>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 xml:space="preserve">青稞酒; 威士忌;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</si>
  <si>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取豕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</si>
  <si>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</si>
  <si>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好客万家商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</si>
  <si>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果酒（含酒精）;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</si>
  <si>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晋青花叙</t>
  </si>
  <si>
    <r>
      <t xml:space="preserve">米酒; 青稞酒; 食用酒精; 开胃酒; 果酒（含酒精）; 清酒（日本米酒）;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</si>
  <si>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AIALL</t>
  </si>
  <si>
    <r>
      <t>高云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</si>
  <si>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清酒（日本米酒）; 威士忌; 米酒; 烈酒; 果酒（含酒精）; 白酒; 葡萄酒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</si>
  <si>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乾隆御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</si>
  <si>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燕雪</t>
    </r>
  </si>
  <si>
    <r>
      <t>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米酒; 果酒;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</si>
  <si>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期韵</t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</si>
  <si>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</si>
  <si>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州市四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</si>
  <si>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</si>
  <si>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粮无双</t>
  </si>
  <si>
    <t>杜茂冲</t>
  </si>
  <si>
    <r>
      <t>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果酒; 米酒;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</si>
  <si>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快刀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</si>
  <si>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葡萄酒; 青稞酒; 露酒; 黄酒; 果酒（含酒精）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</si>
  <si>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玉氿窖</t>
    </r>
  </si>
  <si>
    <r>
      <t>四川曦若商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</si>
  <si>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白酒; 白干酒（中国白酒）; 高粱酒; 果酒;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</si>
  <si>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</si>
  <si>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江西万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</si>
  <si>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</t>
    </r>
  </si>
  <si>
    <r>
      <t>早晚友茗</t>
    </r>
    <r>
      <rPr>
        <sz val="11"/>
        <color theme="1"/>
        <rFont val="ＭＳ Ｐゴシック"/>
        <family val="3"/>
        <charset val="134"/>
        <scheme val="minor"/>
      </rPr>
      <t>沥</t>
    </r>
  </si>
  <si>
    <r>
      <t>广州中科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源医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</si>
  <si>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利口酒; 葡萄酒; 清酒（日本米酒）; 米酒; 黄酒</t>
    </r>
  </si>
  <si>
    <t>AN DONG YOU LI</t>
  </si>
  <si>
    <r>
      <t>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市安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老街文化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</si>
  <si>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薄荷酒;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</si>
  <si>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中智</t>
    </r>
  </si>
  <si>
    <r>
      <t>西安信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</si>
  <si>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青稞酒; 威士忌; 梨酒; 米酒; 开胃酒; 伏特加酒;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</si>
  <si>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徽商妙</t>
    </r>
    <r>
      <rPr>
        <sz val="11"/>
        <color theme="1"/>
        <rFont val="ＭＳ Ｐゴシック"/>
        <family val="3"/>
        <charset val="134"/>
        <scheme val="minor"/>
      </rPr>
      <t>陈</t>
    </r>
  </si>
  <si>
    <t>上海育睿食品有限公司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</si>
  <si>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</si>
  <si>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牧</t>
    </r>
  </si>
  <si>
    <r>
      <t>食用酒精;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</t>
    </r>
  </si>
  <si>
    <t>善地天佑</t>
  </si>
  <si>
    <r>
      <t>康定市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畜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</si>
  <si>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</si>
  <si>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常治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</si>
  <si>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伟刚</t>
    </r>
  </si>
  <si>
    <r>
      <t>白酒; 食用酒精;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</si>
  <si>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闾</t>
    </r>
    <r>
      <rPr>
        <sz val="11"/>
        <color theme="1"/>
        <rFont val="ＭＳ Ｐゴシック"/>
        <family val="3"/>
        <charset val="128"/>
        <scheme val="minor"/>
      </rPr>
      <t>凌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</si>
  <si>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宁皇袍</t>
    </r>
    <r>
      <rPr>
        <sz val="11"/>
        <color theme="1"/>
        <rFont val="ＭＳ Ｐゴシック"/>
        <family val="3"/>
        <charset val="134"/>
        <scheme val="minor"/>
      </rPr>
      <t>贡酿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</si>
  <si>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威士忌;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</si>
  <si>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楚宋襄</t>
  </si>
  <si>
    <r>
      <t>河南楚宋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</si>
  <si>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日式甜米酒; 黄酒; 米酒; 开胃酒; 葡萄酒; 白酒</t>
  </si>
  <si>
    <t>戎州明珠 PEARLOFRONGZHOU</t>
  </si>
  <si>
    <r>
      <t>四川永裕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</si>
  <si>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食用酒精; 白酒; 汽酒; 果酒（含酒精）; 清酒;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</si>
  <si>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</si>
  <si>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米酒; 白酒; 黄酒;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</si>
  <si>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英尊</t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</si>
  <si>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高粱酒; 青稞酒;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</si>
  <si>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小将</t>
    </r>
  </si>
  <si>
    <r>
      <t>彭景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</si>
  <si>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食用酒精; 高粱酒; 清酒; 利口酒;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白干酒（中国白酒）</t>
    </r>
  </si>
  <si>
    <r>
      <t>财满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</si>
  <si>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德印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</si>
  <si>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果酒（含酒精）; 米酒;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</si>
  <si>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醺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</si>
  <si>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 xml:space="preserve">开胃酒;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</si>
  <si>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潭士</t>
  </si>
  <si>
    <r>
      <t xml:space="preserve">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</si>
  <si>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大聊之城</t>
  </si>
  <si>
    <r>
      <t>北京圣焱影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</si>
  <si>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白干酒（中国白酒）; 黄酒; 米酒</t>
    </r>
  </si>
  <si>
    <r>
      <t>嵩岳</t>
    </r>
    <r>
      <rPr>
        <sz val="11"/>
        <color theme="1"/>
        <rFont val="ＭＳ Ｐゴシック"/>
        <family val="3"/>
        <charset val="134"/>
        <scheme val="minor"/>
      </rPr>
      <t>苍苍</t>
    </r>
  </si>
  <si>
    <t>河南金智教育科技有限公司</t>
  </si>
  <si>
    <r>
      <t>利口酒; 开胃酒; 含酒精的气泡水;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</si>
  <si>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赫富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</si>
  <si>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t>温彦国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</si>
  <si>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</si>
  <si>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</si>
  <si>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安徽承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</si>
  <si>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高粱酒</t>
    </r>
  </si>
  <si>
    <t>喊画</t>
  </si>
  <si>
    <r>
      <t>中画翰墨（青州）文化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</si>
  <si>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果酒（含酒精）</t>
    </r>
  </si>
  <si>
    <r>
      <t>崃仪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</si>
  <si>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成都市弘健酒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</si>
  <si>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烈酒; 利口酒; 米酒; 黄酒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</si>
  <si>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睿健</t>
    </r>
  </si>
  <si>
    <r>
      <t>央洲京律公关服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（揭阳）有限公司</t>
    </r>
  </si>
  <si>
    <r>
      <t>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</si>
  <si>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年藏封洞</t>
  </si>
  <si>
    <t>邹艳</t>
  </si>
  <si>
    <r>
      <t>白酒; 黄酒; 果酒; 葡萄酒; 烈酒;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</si>
  <si>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BARRY BANNY</t>
  </si>
  <si>
    <r>
      <t>泉州</t>
    </r>
    <r>
      <rPr>
        <sz val="11"/>
        <color theme="1"/>
        <rFont val="ＭＳ Ｐゴシック"/>
        <family val="3"/>
        <charset val="134"/>
        <scheme val="minor"/>
      </rPr>
      <t>贝丽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</si>
  <si>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开胃酒;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</si>
  <si>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河九粮液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</si>
  <si>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肃滨</t>
    </r>
    <r>
      <rPr>
        <sz val="11"/>
        <color theme="1"/>
        <rFont val="ＭＳ Ｐゴシック"/>
        <family val="3"/>
        <charset val="128"/>
        <scheme val="minor"/>
      </rPr>
      <t>河食品工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</si>
  <si>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葡萄酒; 米酒;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</si>
  <si>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怡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果</t>
    </r>
  </si>
  <si>
    <t>常志新</t>
  </si>
  <si>
    <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清酒; 米酒; 白酒; 汽酒; 果酒</t>
    </r>
  </si>
  <si>
    <t>琉宝</t>
  </si>
  <si>
    <r>
      <t>步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世（深圳）新零售有限公司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</si>
  <si>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</si>
  <si>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金雁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</si>
  <si>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四川广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金雁酒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</si>
  <si>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</si>
  <si>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t>三餐序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</si>
  <si>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白酒; 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</si>
  <si>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忠知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</si>
  <si>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刘青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</si>
  <si>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白干酒（中国白酒）; 白酒; 烈酒; 米酒; 黄酒; 五加皮酒（中国混合烈酒）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</si>
  <si>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</t>
    </r>
  </si>
  <si>
    <r>
      <t>醉数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</si>
  <si>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鸿泽</t>
    </r>
    <r>
      <rPr>
        <sz val="11"/>
        <color theme="1"/>
        <rFont val="ＭＳ Ｐゴシック"/>
        <family val="3"/>
        <charset val="128"/>
        <scheme val="minor"/>
      </rPr>
      <t>鑫宇酒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</si>
  <si>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</si>
  <si>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麓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火</t>
    </r>
  </si>
  <si>
    <r>
      <t>黄酒; 朗姆酒; 烈酒; 果酒; 高粱酒;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</si>
  <si>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初耀</t>
  </si>
  <si>
    <r>
      <t xml:space="preserve">食用酒精; 白酒; 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葡萄酒; 汽酒</t>
    </r>
  </si>
  <si>
    <r>
      <t>香土</t>
    </r>
    <r>
      <rPr>
        <sz val="11"/>
        <color theme="1"/>
        <rFont val="ＭＳ Ｐゴシック"/>
        <family val="3"/>
        <charset val="134"/>
        <scheme val="minor"/>
      </rPr>
      <t>凤</t>
    </r>
  </si>
  <si>
    <t>晚孝平</t>
  </si>
  <si>
    <r>
      <t>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高粱酒; 黄酒; 柑香酒;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</si>
  <si>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晴雪暖阳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</si>
  <si>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白酒; 黄酒; 高粱酒; 朗姆酒; 白葡萄酒; 米酒</t>
    </r>
  </si>
  <si>
    <t>超趣</t>
  </si>
  <si>
    <t>董涛</t>
  </si>
  <si>
    <r>
      <t xml:space="preserve">黄酒; 葡萄酒; 食用酒精; 甜酒; 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米酒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</si>
  <si>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</si>
  <si>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</si>
  <si>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</si>
  <si>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投韵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</si>
  <si>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</si>
  <si>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POPO ONLY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</si>
  <si>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花酒酒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</si>
  <si>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</si>
  <si>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自在镹</t>
  </si>
  <si>
    <t>白文秀</t>
  </si>
  <si>
    <r>
      <t xml:space="preserve">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甜酒; 开胃酒;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</si>
  <si>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湘土情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</si>
  <si>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州湘土情餐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</si>
  <si>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威士忌</t>
    </r>
  </si>
  <si>
    <t>晋明珂</t>
  </si>
  <si>
    <r>
      <t>杨</t>
    </r>
    <r>
      <rPr>
        <sz val="11"/>
        <color theme="1"/>
        <rFont val="ＭＳ Ｐゴシック"/>
        <family val="3"/>
        <charset val="128"/>
        <scheme val="minor"/>
      </rPr>
      <t>祺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</si>
  <si>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</si>
  <si>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花萃山</t>
  </si>
  <si>
    <t>梅酒; 清酒; 米酒; 汽酒; 青梅酒; 咖啡利口酒; 果酒; 黄酒; 威士忌; 白酒</t>
  </si>
  <si>
    <t>北上荣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</si>
  <si>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果酒（含酒精）;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</si>
  <si>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类</t>
    </r>
  </si>
  <si>
    <r>
      <t>黄酒; 清酒（日本米酒）;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</si>
  <si>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深圳市静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健康食品有限公司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</si>
  <si>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米酒; 葡萄酒; 伏特加酒;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</si>
  <si>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渤翔海岱楼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</si>
  <si>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渤翔国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</si>
  <si>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高粱酒; 葡萄酒; 开胃酒; 利口酒; 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</si>
  <si>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黑麻雀</t>
  </si>
  <si>
    <r>
      <t xml:space="preserve">烈酒;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黄酒; 果酒（含酒精）</t>
    </r>
  </si>
  <si>
    <t>必麦</t>
  </si>
  <si>
    <t>宋治准</t>
  </si>
  <si>
    <r>
      <t xml:space="preserve">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清酒（日本米酒）; 伏特加酒; 白干酒（中国白酒）</t>
    </r>
  </si>
  <si>
    <t>沐雨歌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</si>
  <si>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沙沐雨歌食品有限公司</t>
    </r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</si>
  <si>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</si>
  <si>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赞华</t>
    </r>
    <r>
      <rPr>
        <sz val="11"/>
        <color theme="1"/>
        <rFont val="ＭＳ Ｐゴシック"/>
        <family val="3"/>
        <charset val="128"/>
        <scheme val="minor"/>
      </rPr>
      <t>厦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</si>
  <si>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</si>
  <si>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东苏</t>
    </r>
    <r>
      <rPr>
        <sz val="11"/>
        <color theme="1"/>
        <rFont val="ＭＳ Ｐゴシック"/>
        <family val="3"/>
        <charset val="128"/>
        <scheme val="minor"/>
      </rPr>
      <t>雨牧</t>
    </r>
  </si>
  <si>
    <t>王雪峰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</si>
  <si>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利口酒;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</si>
  <si>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赫之源</t>
  </si>
  <si>
    <r>
      <t>秦</t>
    </r>
    <r>
      <rPr>
        <sz val="11"/>
        <color theme="1"/>
        <rFont val="ＭＳ Ｐゴシック"/>
        <family val="3"/>
        <charset val="134"/>
        <scheme val="minor"/>
      </rPr>
      <t>权伟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</si>
  <si>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</si>
  <si>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衷礼</t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</si>
  <si>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</si>
  <si>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蜀戎仙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</si>
  <si>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市方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机械厂（普通合伙）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</si>
  <si>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白酒</t>
    </r>
  </si>
  <si>
    <t>分力特</t>
  </si>
  <si>
    <r>
      <t>山西中城九誉装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装修工程有限公司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</si>
  <si>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</si>
  <si>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享悦融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</si>
  <si>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果酒（含酒精）; 食用酒精;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</si>
  <si>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琉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泡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</si>
  <si>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</si>
  <si>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芙奇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</si>
  <si>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白酒; 利口酒; 汽酒</t>
    </r>
  </si>
  <si>
    <t>魁盛成</t>
  </si>
  <si>
    <r>
      <t>阳泉市福泰酒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</si>
  <si>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伏特加酒;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</si>
  <si>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麓鼎火</t>
    </r>
  </si>
  <si>
    <r>
      <t>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白葡萄酒; 朗姆酒; 果酒; 黄酒; 烈酒</t>
    </r>
  </si>
  <si>
    <t>篁岭</t>
  </si>
  <si>
    <t>李金芳</t>
  </si>
  <si>
    <r>
      <t xml:space="preserve">葡萄酒;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</si>
  <si>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河水泱泱</t>
  </si>
  <si>
    <r>
      <t>含酒精的气泡水;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</si>
  <si>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洞皇清花</t>
  </si>
  <si>
    <r>
      <t>江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</si>
  <si>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 xml:space="preserve">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柑香酒;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</si>
  <si>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永茂裕</t>
  </si>
  <si>
    <r>
      <t>阳城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北留永茂裕老醋坊</t>
    </r>
  </si>
  <si>
    <r>
      <t xml:space="preserve">米酒; 利口酒; 清酒（日本米酒）;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葡萄酒; 白酒</t>
    </r>
  </si>
  <si>
    <t>魏粮王</t>
  </si>
  <si>
    <r>
      <t>王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</si>
  <si>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 xml:space="preserve">果酒; 米酒; 葡萄酒; 食用酒精;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蒸煮提取物（利口酒和烈酒）; 白酒</t>
    </r>
  </si>
  <si>
    <t>恩屹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</si>
  <si>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市知酒匠酒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</si>
  <si>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清酒; 米酒;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</si>
  <si>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致吉</t>
    </r>
  </si>
  <si>
    <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</si>
  <si>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甜酒; 白酒; 果酒（含酒精）; 黄酒; 米酒;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</t>
    </r>
  </si>
  <si>
    <t>桂舞</t>
  </si>
  <si>
    <r>
      <t>黄启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</si>
  <si>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</si>
  <si>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北京露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者房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</si>
  <si>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</si>
  <si>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</si>
  <si>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北京茗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非凡商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</si>
  <si>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黄酒; 葡萄酒;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</si>
  <si>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藏婆婆</t>
  </si>
  <si>
    <r>
      <t>西藏</t>
    </r>
    <r>
      <rPr>
        <sz val="11"/>
        <color theme="1"/>
        <rFont val="ＭＳ Ｐゴシック"/>
        <family val="3"/>
        <charset val="134"/>
        <scheme val="minor"/>
      </rPr>
      <t>贵畅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</si>
  <si>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高粱酒; 白酒; 甜酒; 果酒; 清酒; 黄酒;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</si>
  <si>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HNCEL</t>
  </si>
  <si>
    <r>
      <t>温州虹成真空</t>
    </r>
    <r>
      <rPr>
        <sz val="11"/>
        <color theme="1"/>
        <rFont val="ＭＳ Ｐゴシック"/>
        <family val="3"/>
        <charset val="134"/>
        <scheme val="minor"/>
      </rPr>
      <t>镀</t>
    </r>
    <r>
      <rPr>
        <sz val="11"/>
        <color theme="1"/>
        <rFont val="ＭＳ Ｐゴシック"/>
        <family val="3"/>
        <charset val="128"/>
        <scheme val="minor"/>
      </rPr>
      <t>膜材料有限公司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</si>
  <si>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黄酒; 白酒;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</si>
  <si>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麒运</t>
  </si>
  <si>
    <t>康乃馨*****************X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</si>
  <si>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</si>
  <si>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御邀</t>
    </r>
    <r>
      <rPr>
        <sz val="11"/>
        <color theme="1"/>
        <rFont val="ＭＳ Ｐゴシック"/>
        <family val="3"/>
        <charset val="134"/>
        <scheme val="minor"/>
      </rPr>
      <t>贡</t>
    </r>
  </si>
  <si>
    <t>张顺</t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</si>
  <si>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黄酒</t>
    </r>
  </si>
  <si>
    <r>
      <t>霞客行江山多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</si>
  <si>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徐霞客文旅控股集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</si>
  <si>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黄酒; 高粱酒</t>
    </r>
  </si>
  <si>
    <r>
      <t>山楼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</si>
  <si>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孟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</si>
  <si>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</si>
  <si>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</si>
  <si>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</si>
  <si>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唐宋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</si>
  <si>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果酒; 黄酒; 甜酒</t>
    </r>
  </si>
  <si>
    <t>京典京</t>
  </si>
  <si>
    <r>
      <t>京典京酒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</si>
  <si>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</si>
  <si>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益珍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集</t>
    </r>
  </si>
  <si>
    <t>深圳市新参科技有限公司</t>
  </si>
  <si>
    <r>
      <t>蜂蜜酒; 汽酒;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</si>
  <si>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成功</t>
    </r>
  </si>
  <si>
    <r>
      <t>福建省福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天禧商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</si>
  <si>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清酒; 伏特加酒; 葡萄酒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</si>
  <si>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福</t>
    </r>
  </si>
  <si>
    <t>胥丁香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</si>
  <si>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</t>
    </r>
  </si>
  <si>
    <r>
      <t>衡楚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</si>
  <si>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米酒; 果酒（含酒精）; 餐后酒（利口酒和烈酒）; 开胃酒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</si>
  <si>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</si>
  <si>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</si>
  <si>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黄酒; 烈酒;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果酒（含酒精）</t>
    </r>
  </si>
  <si>
    <t>刀二娃</t>
  </si>
  <si>
    <r>
      <t>杨丽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</si>
  <si>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白酒;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</si>
  <si>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金沙千里香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</si>
  <si>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</si>
  <si>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朗姆酒;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开胃酒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</si>
  <si>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侨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</si>
  <si>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</si>
  <si>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</si>
  <si>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惠</t>
    </r>
  </si>
  <si>
    <r>
      <t>御元（杭州）网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</si>
  <si>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甜酒;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</si>
  <si>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慕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</si>
  <si>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</si>
  <si>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</si>
  <si>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古醉禧</t>
  </si>
  <si>
    <r>
      <t>蔡占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</si>
  <si>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伏特加酒; 果酒（含酒精）</t>
    </r>
  </si>
  <si>
    <r>
      <t>善源万密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</si>
  <si>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众智万密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（深圳）生物科技有限公司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</si>
  <si>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蜂蜜酒</t>
    </r>
  </si>
  <si>
    <r>
      <t>此</t>
    </r>
    <r>
      <rPr>
        <sz val="11"/>
        <color theme="1"/>
        <rFont val="ＭＳ Ｐゴシック"/>
        <family val="3"/>
        <charset val="134"/>
        <scheme val="minor"/>
      </rPr>
      <t>爱</t>
    </r>
  </si>
  <si>
    <t>刘金亮</t>
  </si>
  <si>
    <t>烈酒; 葡萄酒; 清酒; 白酒; 食用酒精; 汽酒; 果酒; 甜酒; 黄酒; 米酒</t>
  </si>
  <si>
    <t>心霞</t>
  </si>
  <si>
    <r>
      <t>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甜酒</t>
    </r>
  </si>
  <si>
    <t>心霞客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</si>
  <si>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甜酒</t>
    </r>
  </si>
  <si>
    <t>春依旧</t>
  </si>
  <si>
    <t>杭州醒多多品牌管理有限公司</t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</si>
  <si>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梅酒; 青稞酒; 米酒</t>
    </r>
  </si>
  <si>
    <r>
      <t>大瑶山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王界</t>
    </r>
  </si>
  <si>
    <r>
      <t>金秀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花山景区开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</si>
  <si>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</si>
  <si>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窖粮禧</t>
  </si>
  <si>
    <r>
      <t xml:space="preserve">果酒（含酒精）;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</si>
  <si>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戎廿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</si>
  <si>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红军</t>
    </r>
  </si>
  <si>
    <r>
      <t>黄酒; 葡萄酒; 伏特加酒;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</si>
  <si>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膳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</si>
  <si>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清酒（日本米酒）</t>
    </r>
  </si>
  <si>
    <t>溪啊伊</t>
  </si>
  <si>
    <r>
      <t>北京糯言酒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</si>
  <si>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伏特加酒;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</si>
  <si>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</t>
    </r>
  </si>
  <si>
    <r>
      <t>衡悠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</si>
  <si>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威士忌;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</si>
  <si>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大禧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</si>
  <si>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</si>
  <si>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客隆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</si>
  <si>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市万湖潮商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</si>
  <si>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</si>
  <si>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篮顺</t>
    </r>
    <r>
      <rPr>
        <sz val="11"/>
        <color theme="1"/>
        <rFont val="ＭＳ Ｐゴシック"/>
        <family val="3"/>
        <charset val="128"/>
        <scheme val="minor"/>
      </rPr>
      <t>杯碑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</si>
  <si>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</si>
  <si>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</si>
  <si>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</si>
  <si>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黄酒; 米酒</t>
    </r>
  </si>
  <si>
    <t>耿卉枚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</si>
  <si>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伏特加酒; 威士忌</t>
    </r>
  </si>
  <si>
    <t>樵泉醇臻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</si>
  <si>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樵泉酒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</si>
  <si>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利口酒; 蜂蜜酒; 果酒（含酒精）;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</si>
  <si>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君玉梁泉</t>
  </si>
  <si>
    <r>
      <t>申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</si>
  <si>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苹果酒;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高粱酒; 葡萄酒; 米酒; 青稞酒; 果酒（含酒精）</t>
    </r>
  </si>
  <si>
    <t>双含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</si>
  <si>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康科技有限公司</t>
    </r>
  </si>
  <si>
    <r>
      <t>食用酒精; 米酒;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</si>
  <si>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戍廿</t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</si>
  <si>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伏特加酒;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</si>
  <si>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擎岭</t>
  </si>
  <si>
    <r>
      <t>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</si>
  <si>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葡萄酒;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</si>
  <si>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滇昭北</t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</si>
  <si>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</si>
  <si>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甜酒;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开胃酒; 蜂蜜酒;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</si>
  <si>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摘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</si>
  <si>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含酒精的气泡水;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</si>
  <si>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莫家三兄弟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</si>
  <si>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州添添好科技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</si>
  <si>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</si>
  <si>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刘世春</t>
  </si>
  <si>
    <r>
      <t>利口酒; 米酒;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</si>
  <si>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泰隆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</si>
  <si>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东劲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管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架有限公司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</si>
  <si>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</si>
  <si>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韵</t>
    </r>
  </si>
  <si>
    <t>宋玥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</si>
  <si>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</si>
  <si>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侨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</si>
  <si>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</si>
  <si>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9"/>
        <scheme val="minor"/>
      </rPr>
      <t>怀</t>
    </r>
  </si>
  <si>
    <t>徐婷</t>
  </si>
  <si>
    <r>
      <t>果酒（含酒精）;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</si>
  <si>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英雄美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</si>
  <si>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献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</si>
  <si>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</si>
  <si>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t>秦旅韵</t>
  </si>
  <si>
    <r>
      <t>巴中市巴城</t>
    </r>
    <r>
      <rPr>
        <sz val="11"/>
        <color theme="1"/>
        <rFont val="ＭＳ Ｐゴシック"/>
        <family val="3"/>
        <charset val="134"/>
        <scheme val="minor"/>
      </rPr>
      <t>记忆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</si>
  <si>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甜酒; 白酒; 黄酒; 梨酒; 青梅酒; 米酒; 葡萄酒</t>
    </r>
  </si>
  <si>
    <r>
      <t>中原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羽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</si>
  <si>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</si>
  <si>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富佳嘉</t>
  </si>
  <si>
    <t>梁水晶</t>
  </si>
  <si>
    <r>
      <t xml:space="preserve">果酒（含酒精）; 清酒; 开胃酒; 白酒; 甜果酒;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</si>
  <si>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伊中特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</si>
  <si>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</si>
  <si>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尚上增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</si>
  <si>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州尚上酒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</si>
  <si>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</t>
    </r>
  </si>
  <si>
    <t>一粒志</t>
  </si>
  <si>
    <t>衢州一粒志食品有限公司</t>
  </si>
  <si>
    <r>
      <t>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</si>
  <si>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</t>
    </r>
  </si>
  <si>
    <t>田莉莉******************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</si>
  <si>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高粱酒; 白酒; 食用酒精;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</si>
  <si>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谧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</si>
  <si>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露酒;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烈酒; 白酒</t>
    </r>
  </si>
  <si>
    <r>
      <t>心花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</si>
  <si>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西安未来</t>
    </r>
    <r>
      <rPr>
        <sz val="11"/>
        <color theme="1"/>
        <rFont val="ＭＳ Ｐゴシック"/>
        <family val="3"/>
        <charset val="134"/>
        <scheme val="minor"/>
      </rPr>
      <t>蓝创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</si>
  <si>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</t>
    </r>
  </si>
  <si>
    <r>
      <t>绩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</si>
  <si>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绩</t>
    </r>
    <r>
      <rPr>
        <sz val="11"/>
        <color theme="1"/>
        <rFont val="ＭＳ Ｐゴシック"/>
        <family val="3"/>
        <charset val="128"/>
        <scheme val="minor"/>
      </rPr>
      <t>得科技（上海）有限公司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</si>
  <si>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</si>
  <si>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鬯咖</t>
    </r>
  </si>
  <si>
    <r>
      <t>安阳市三叠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</si>
  <si>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</si>
  <si>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BAYAURDI 百澳地</t>
  </si>
  <si>
    <r>
      <t>钟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</si>
  <si>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 xml:space="preserve">清酒（日本米酒）; 果酒（含酒精）; 黄酒; 白酒;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</si>
  <si>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伟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</si>
  <si>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开胃酒; 黄酒;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</si>
  <si>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逍独 酒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</si>
  <si>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俊垚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</si>
  <si>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</si>
  <si>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浩吧集采</t>
  </si>
  <si>
    <r>
      <t>四川浩鑫源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</si>
  <si>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日式甜米酒;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梅酒; 清酒（日本米酒）; 白葡萄酒</t>
    </r>
  </si>
  <si>
    <r>
      <t>衡逸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</si>
  <si>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汽酒;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</si>
  <si>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溪梅雅</t>
  </si>
  <si>
    <r>
      <t>官建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</si>
  <si>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高粱酒;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伏特加酒; 杜松子酒; 朗姆酒; 混合威士忌酒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</si>
  <si>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胡大侠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</si>
  <si>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市唯品康白酒集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</si>
  <si>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</si>
  <si>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尚上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</si>
  <si>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白酒;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</si>
  <si>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斟医堂</t>
  </si>
  <si>
    <r>
      <t>沈阳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卓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</si>
  <si>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</si>
  <si>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熠界</t>
  </si>
  <si>
    <r>
      <t>深圳文管家文化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</si>
  <si>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</si>
  <si>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昙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</si>
  <si>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</si>
  <si>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葡萄酒</t>
    </r>
  </si>
  <si>
    <t>律泳江</t>
  </si>
  <si>
    <r>
      <t>张</t>
    </r>
    <r>
      <rPr>
        <sz val="11"/>
        <color theme="1"/>
        <rFont val="ＭＳ Ｐゴシック"/>
        <family val="3"/>
        <charset val="128"/>
        <scheme val="minor"/>
      </rPr>
      <t>正将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</si>
  <si>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食用酒精; 葡萄酒; 开胃酒</t>
    </r>
  </si>
  <si>
    <t>成功禧</t>
  </si>
  <si>
    <r>
      <t xml:space="preserve">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</si>
  <si>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汉诺</t>
    </r>
    <r>
      <rPr>
        <sz val="11"/>
        <color theme="1"/>
        <rFont val="ＭＳ Ｐゴシック"/>
        <family val="3"/>
        <charset val="128"/>
        <scheme val="minor"/>
      </rPr>
      <t>大白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</si>
  <si>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福建大白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</si>
  <si>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</si>
  <si>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恰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</si>
  <si>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益明堂中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</si>
  <si>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黄酒;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</si>
  <si>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</si>
  <si>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杨亚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</si>
  <si>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 xml:space="preserve">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</si>
  <si>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r>
      <t>炎黄玉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</si>
  <si>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</t>
    </r>
  </si>
  <si>
    <t>金沙金筵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</si>
  <si>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朗姆酒; 黄酒; 利口酒</t>
    </r>
  </si>
  <si>
    <t>那道梁</t>
  </si>
  <si>
    <t>刘梦楠</t>
  </si>
  <si>
    <t>果酒; 烈酒; 汽酒; 黄酒; 米酒; 食用酒精; 葡萄酒; 清酒; 甜酒; 白酒</t>
  </si>
  <si>
    <r>
      <t>龙护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</si>
  <si>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理高等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科学校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</si>
  <si>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</si>
  <si>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愣</t>
    </r>
    <r>
      <rPr>
        <sz val="11"/>
        <color theme="1"/>
        <rFont val="ＭＳ Ｐゴシック"/>
        <family val="3"/>
        <charset val="128"/>
        <scheme val="minor"/>
      </rPr>
      <t>口</t>
    </r>
  </si>
  <si>
    <t>李永兵</t>
  </si>
  <si>
    <r>
      <t>清酒（日本米酒）; 米酒; 蜂蜜酒;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青稞酒; 黄酒</t>
    </r>
  </si>
  <si>
    <t>巢目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</si>
  <si>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巢目科技有限公司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</si>
  <si>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黄酒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</si>
  <si>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</si>
  <si>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</si>
  <si>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>涵萱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</si>
  <si>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相富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</si>
  <si>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</si>
  <si>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季曼源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</si>
  <si>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市耀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</si>
  <si>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葡萄酒; 果酒（含酒精）; 米酒; 黄酒; 梅酒</t>
    </r>
  </si>
  <si>
    <t>味仟多</t>
  </si>
  <si>
    <r>
      <t>李</t>
    </r>
    <r>
      <rPr>
        <sz val="11"/>
        <color theme="1"/>
        <rFont val="ＭＳ Ｐゴシック"/>
        <family val="3"/>
        <charset val="134"/>
        <scheme val="minor"/>
      </rPr>
      <t>发军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</si>
  <si>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高粱酒; 汽酒; 蒸煮提取物（利口酒和烈酒）; 露酒; 甜酒; 果酒（含酒精）</t>
    </r>
  </si>
  <si>
    <t>九如尊</t>
  </si>
  <si>
    <r>
      <t>谢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</si>
  <si>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果酒（含酒精）</t>
    </r>
  </si>
  <si>
    <t>瓦屋有茗</t>
  </si>
  <si>
    <r>
      <t>四川威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特食品有限公司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</si>
  <si>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</si>
  <si>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理</t>
    </r>
    <r>
      <rPr>
        <sz val="11"/>
        <color theme="1"/>
        <rFont val="ＭＳ Ｐゴシック"/>
        <family val="3"/>
        <charset val="129"/>
        <scheme val="minor"/>
      </rPr>
      <t>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</si>
  <si>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多美未来酒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</si>
  <si>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奶油利口酒;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咖啡利口酒;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</si>
  <si>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喜印来</t>
  </si>
  <si>
    <r>
      <t>汕尾市喜印来餐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</si>
  <si>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</si>
  <si>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苏琼</t>
    </r>
    <r>
      <rPr>
        <sz val="11"/>
        <color theme="1"/>
        <rFont val="ＭＳ Ｐゴシック"/>
        <family val="3"/>
        <charset val="128"/>
        <scheme val="minor"/>
      </rPr>
      <t>坊手工班</t>
    </r>
  </si>
  <si>
    <r>
      <t>沭阳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沭窖酒厂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</si>
  <si>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</t>
    </r>
  </si>
  <si>
    <r>
      <t>百年盛世（深圳）酒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</si>
  <si>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白干酒（中国白酒）; 白酒</t>
    </r>
  </si>
  <si>
    <r>
      <t>斐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爵士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</si>
  <si>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河威小</t>
    </r>
    <r>
      <rPr>
        <sz val="11"/>
        <color theme="1"/>
        <rFont val="ＭＳ Ｐゴシック"/>
        <family val="3"/>
        <charset val="134"/>
        <scheme val="minor"/>
      </rPr>
      <t>饱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</si>
  <si>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清酒; 葡萄酒;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</si>
  <si>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</si>
  <si>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福其</t>
    </r>
  </si>
  <si>
    <r>
      <t xml:space="preserve">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</t>
    </r>
  </si>
  <si>
    <t>夜梅城</t>
  </si>
  <si>
    <r>
      <t>深圳市童湾投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</si>
  <si>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伏特加酒; 白酒; 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餐后酒（利口酒和烈酒）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</si>
  <si>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君品</t>
    </r>
  </si>
  <si>
    <r>
      <t xml:space="preserve">威士忌;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</si>
  <si>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快跑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</si>
  <si>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英之盛工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</si>
  <si>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威士忌; 水果汽酒;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</si>
  <si>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䣁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</si>
  <si>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广西羽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</si>
  <si>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含酒精的气泡水;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草本型利口酒; 茴香酒（利口酒）;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</si>
  <si>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跑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</si>
  <si>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</si>
  <si>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白酒; 果酒; 甜酒;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米酒</t>
    </r>
  </si>
  <si>
    <r>
      <t>骁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</si>
  <si>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岛东</t>
    </r>
    <r>
      <rPr>
        <sz val="11"/>
        <color theme="1"/>
        <rFont val="ＭＳ Ｐゴシック"/>
        <family val="3"/>
        <charset val="128"/>
        <scheme val="minor"/>
      </rPr>
      <t>山来往文化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</si>
  <si>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</si>
  <si>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歪</t>
    </r>
  </si>
  <si>
    <r>
      <t>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</si>
  <si>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博珩</t>
  </si>
  <si>
    <r>
      <t>葡萄酒; 黄酒; 开胃酒; 威士忌;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</si>
  <si>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戍卅</t>
  </si>
  <si>
    <r>
      <t>利口酒;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</si>
  <si>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邺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</si>
  <si>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</si>
  <si>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食用酒精; 高粱酒; 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</si>
  <si>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金娜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</si>
  <si>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北京和伙共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</si>
  <si>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甜果酒;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露酒;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梅酒</t>
    </r>
  </si>
  <si>
    <t>黎侯宴拓荒者</t>
  </si>
  <si>
    <r>
      <t>山西黎侯宴酒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</si>
  <si>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</si>
  <si>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威士忌; 米酒; 含酒精的气泡水; 果酒（含酒精）</t>
    </r>
  </si>
  <si>
    <t>咏甘</t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</si>
  <si>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</si>
  <si>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衡惠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</si>
  <si>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开胃酒</t>
    </r>
  </si>
  <si>
    <t>婧悦汐 JING HAPPY WAVES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</si>
  <si>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婧悦汐餐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</si>
  <si>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</si>
  <si>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畛品</t>
    </r>
  </si>
  <si>
    <r>
      <t>十堰青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</si>
  <si>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</si>
  <si>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杭州超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</si>
  <si>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果酒（含酒精）;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白酒; 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</si>
  <si>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程鞋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</si>
  <si>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</si>
  <si>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河南啤来运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</si>
  <si>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果酒（含酒精）;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蒸煮提取物（利口酒和烈酒）;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</si>
  <si>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著策</t>
  </si>
  <si>
    <r>
      <t xml:space="preserve">威士忌; 青稞酒;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葡萄酒</t>
    </r>
  </si>
  <si>
    <t>樵泉无界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</si>
  <si>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利口酒</t>
    </r>
  </si>
  <si>
    <t>JINNARO</t>
  </si>
  <si>
    <r>
      <t>果酒;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</si>
  <si>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</si>
  <si>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南通好媳</t>
    </r>
    <r>
      <rPr>
        <sz val="11"/>
        <color theme="1"/>
        <rFont val="ＭＳ Ｐゴシック"/>
        <family val="3"/>
        <charset val="134"/>
        <scheme val="minor"/>
      </rPr>
      <t>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</si>
  <si>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</si>
  <si>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黎侯宴拓荒一号</t>
  </si>
  <si>
    <r>
      <t>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</si>
  <si>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吾股壹号</t>
  </si>
  <si>
    <r>
      <t>泉州吾股丰登信息技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</si>
  <si>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</t>
    </r>
  </si>
  <si>
    <t>小醉沱江</t>
  </si>
  <si>
    <r>
      <t>易惋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</si>
  <si>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朗姆酒;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</si>
  <si>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艾怡液</t>
  </si>
  <si>
    <r>
      <t>自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市文江酒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</si>
  <si>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五加皮酒（中国混合烈酒）; 白酒; 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甜酒; 果酒; 草莓酒; 米酒; 黄酒; 日式甜米酒</t>
    </r>
  </si>
  <si>
    <t>斟有数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</si>
  <si>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青稞酒; 果酒（含酒精）; 米酒; 白酒</t>
    </r>
  </si>
  <si>
    <t>全義盛</t>
  </si>
  <si>
    <r>
      <t>北京八达岭酒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</si>
  <si>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苹果酒; 蒸煮提取物（利口酒和烈酒）; 白酒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</si>
  <si>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葛亮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</si>
  <si>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</si>
  <si>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君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</si>
  <si>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</si>
  <si>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君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</si>
  <si>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</si>
  <si>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黔北正奎</t>
  </si>
  <si>
    <t>黄彪</t>
  </si>
  <si>
    <r>
      <t xml:space="preserve">开胃酒; 葡萄酒; 利口酒; 果酒（含酒精）; 露酒; 黄酒;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</si>
  <si>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IQPAI</t>
  </si>
  <si>
    <r>
      <t>四川盛食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路品牌管理有限公司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</si>
  <si>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</si>
  <si>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助匠</t>
  </si>
  <si>
    <r>
      <t>张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</si>
  <si>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梅酒; 果酒; 梨酒; 黄酒</t>
    </r>
  </si>
  <si>
    <r>
      <t>聆听物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</si>
  <si>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阳聆海物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</si>
  <si>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</si>
  <si>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史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</si>
  <si>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</si>
  <si>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澎湖山青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</si>
  <si>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崇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</si>
  <si>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</si>
  <si>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甘味森活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</si>
  <si>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祁</t>
    </r>
    <r>
      <rPr>
        <sz val="11"/>
        <color theme="1"/>
        <rFont val="ＭＳ Ｐゴシック"/>
        <family val="3"/>
        <charset val="134"/>
        <scheme val="minor"/>
      </rPr>
      <t>连红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</si>
  <si>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果酒; 清酒; 汽酒; 葡萄酒; 米酒;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</si>
  <si>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唐宋</t>
    </r>
  </si>
  <si>
    <r>
      <t>白酒; 米酒; 高粱酒;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</t>
    </r>
  </si>
  <si>
    <t>宋佳宣</t>
  </si>
  <si>
    <t>宋家宣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</si>
  <si>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威士忌;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</si>
  <si>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依西</t>
    </r>
    <r>
      <rPr>
        <sz val="11"/>
        <color theme="1"/>
        <rFont val="ＭＳ Ｐゴシック"/>
        <family val="3"/>
        <charset val="134"/>
        <scheme val="minor"/>
      </rPr>
      <t>纳</t>
    </r>
  </si>
  <si>
    <t>周裕玲</t>
  </si>
  <si>
    <r>
      <t xml:space="preserve">米酒; 果酒;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</si>
  <si>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岢心</t>
  </si>
  <si>
    <t>安徽皖悦茶叶有限公司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</si>
  <si>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</si>
  <si>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r>
      <t>京城小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女</t>
    </r>
  </si>
  <si>
    <r>
      <t>刘德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</si>
  <si>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伏特加酒; 葡萄酒</t>
    </r>
  </si>
  <si>
    <t>余生四季</t>
  </si>
  <si>
    <r>
      <t>中客（海南）国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</si>
  <si>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葡萄酒; 甜酒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</si>
  <si>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灏</t>
    </r>
  </si>
  <si>
    <r>
      <t>北京福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思特信息技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</si>
  <si>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</si>
  <si>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出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</si>
  <si>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学昌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</si>
  <si>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</si>
  <si>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见莲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</si>
  <si>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言泉酒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</si>
  <si>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清酒; 黄酒; 利口酒; 烈酒;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白酒</t>
    </r>
  </si>
  <si>
    <t>GTZO GUSTOZZO</t>
  </si>
  <si>
    <r>
      <t>宝德加·</t>
    </r>
    <r>
      <rPr>
        <sz val="11"/>
        <color theme="1"/>
        <rFont val="ＭＳ Ｐゴシック"/>
        <family val="3"/>
        <charset val="134"/>
        <scheme val="minor"/>
      </rPr>
      <t>韦</t>
    </r>
    <r>
      <rPr>
        <sz val="11"/>
        <color theme="1"/>
        <rFont val="ＭＳ Ｐゴシック"/>
        <family val="3"/>
        <charset val="128"/>
        <scheme val="minor"/>
      </rPr>
      <t>尼多·阿圭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</si>
  <si>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趣友搭</t>
  </si>
  <si>
    <r>
      <t>宁波市北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艾沃卡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</si>
  <si>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</si>
  <si>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天香</t>
    </r>
  </si>
  <si>
    <r>
      <t>邵留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</si>
  <si>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烈酒; 青梅酒; 梅酒; 白酒;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</si>
  <si>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安徽佰草堂健康科技有限公司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</si>
  <si>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</si>
  <si>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毛小泡</t>
  </si>
  <si>
    <r>
      <t>深圳市启智文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</si>
  <si>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</si>
  <si>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夏梦</t>
    </r>
  </si>
  <si>
    <r>
      <t xml:space="preserve">汽酒; 黄酒; 果酒（含酒精）; 含酒精的气泡水;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</si>
  <si>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篮</t>
    </r>
    <r>
      <rPr>
        <sz val="11"/>
        <color theme="1"/>
        <rFont val="ＭＳ Ｐゴシック"/>
        <family val="3"/>
        <charset val="128"/>
        <scheme val="minor"/>
      </rPr>
      <t>羽蜂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</si>
  <si>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羽蜂科技有限公司</t>
    </r>
  </si>
  <si>
    <r>
      <t>果酒（含酒精）;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</si>
  <si>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青罡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</si>
  <si>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不知不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</si>
  <si>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</si>
  <si>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佗仁堂</t>
  </si>
  <si>
    <r>
      <t>果酒; 黄酒;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</si>
  <si>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金井招福王</t>
  </si>
  <si>
    <r>
      <t>山西百年招福酒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</si>
  <si>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</t>
    </r>
  </si>
  <si>
    <t>恩福第</t>
  </si>
  <si>
    <r>
      <t>安徽恩福第拍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</si>
  <si>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葡萄酒; 黄酒; 米酒;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</si>
  <si>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釜底港</t>
  </si>
  <si>
    <r>
      <t>当涂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金福水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</si>
  <si>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蜂蜜酒; 黄酒; 米酒; 开胃酒</t>
    </r>
  </si>
  <si>
    <t>原卓</t>
  </si>
  <si>
    <t>曹海燕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</si>
  <si>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甜酒; 白干酒（中国白酒）; 烈酒; 水果汽酒; 露酒; 清酒; 黄酒</t>
    </r>
  </si>
  <si>
    <t>ZHIXINGU</t>
  </si>
  <si>
    <r>
      <t>上海高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</si>
  <si>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</si>
  <si>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立冠</t>
  </si>
  <si>
    <r>
      <t>罗</t>
    </r>
    <r>
      <rPr>
        <sz val="11"/>
        <color theme="1"/>
        <rFont val="ＭＳ Ｐゴシック"/>
        <family val="3"/>
        <charset val="128"/>
        <scheme val="minor"/>
      </rPr>
      <t>勇平</t>
    </r>
  </si>
  <si>
    <r>
      <t xml:space="preserve">果酒; 清酒; 葡萄酒;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汽酒; 甜酒</t>
    </r>
  </si>
  <si>
    <t>WEI ZHANG SHAO</t>
  </si>
  <si>
    <t>南充三易食品有限公司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</si>
  <si>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米酒; 清酒（日本米酒）</t>
    </r>
  </si>
  <si>
    <t>冶有咖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</si>
  <si>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尚云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</si>
  <si>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果酒（含酒精）;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餐后酒（利口酒和烈酒）; 薄荷酒; 汽酒</t>
    </r>
  </si>
  <si>
    <t>刘阿春</t>
  </si>
  <si>
    <t>汪沈莉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</si>
  <si>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</si>
  <si>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孔祥才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</si>
  <si>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</t>
    </r>
  </si>
  <si>
    <r>
      <t>镶</t>
    </r>
    <r>
      <rPr>
        <sz val="11"/>
        <color theme="1"/>
        <rFont val="ＭＳ Ｐゴシック"/>
        <family val="3"/>
        <charset val="128"/>
        <scheme val="minor"/>
      </rPr>
      <t>檀玉液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</si>
  <si>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龙岗</t>
    </r>
    <r>
      <rPr>
        <sz val="11"/>
        <color theme="1"/>
        <rFont val="ＭＳ Ｐゴシック"/>
        <family val="3"/>
        <charset val="128"/>
        <scheme val="minor"/>
      </rPr>
      <t>区四夕江禾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</si>
  <si>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烈酒; 白酒; 威士忌; 黄酒</t>
    </r>
  </si>
  <si>
    <r>
      <t>沃尼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壁）国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</si>
  <si>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</si>
  <si>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汉风</t>
    </r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</si>
  <si>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</si>
  <si>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果酒（含酒精）;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</si>
  <si>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灵焰</t>
  </si>
  <si>
    <r>
      <t>伽</t>
    </r>
    <r>
      <rPr>
        <sz val="11"/>
        <color theme="1"/>
        <rFont val="ＭＳ Ｐゴシック"/>
        <family val="3"/>
        <charset val="134"/>
        <scheme val="minor"/>
      </rPr>
      <t>师县</t>
    </r>
    <r>
      <rPr>
        <sz val="11"/>
        <color theme="1"/>
        <rFont val="ＭＳ Ｐゴシック"/>
        <family val="3"/>
        <charset val="128"/>
        <scheme val="minor"/>
      </rPr>
      <t>西域果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</si>
  <si>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</si>
  <si>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</si>
  <si>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宜春市米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</si>
  <si>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米酒; 汽酒; 清酒（日本米酒）</t>
  </si>
  <si>
    <t>茂小泡</t>
  </si>
  <si>
    <r>
      <t xml:space="preserve">利口酒;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</si>
  <si>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四兀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</si>
  <si>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葡萄酒; 黄酒; 果酒（含酒精）; 白酒</t>
    </r>
  </si>
  <si>
    <t>白衣河 口粮酒</t>
  </si>
  <si>
    <t>张钊荧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</si>
  <si>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烈酒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</si>
  <si>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爱侬</t>
    </r>
  </si>
  <si>
    <r>
      <t>瓮安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博士佬商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</si>
  <si>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</si>
  <si>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九方星昱</t>
  </si>
  <si>
    <r>
      <t>深圳九方星昱网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</si>
  <si>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果酒（含酒精）</t>
    </r>
  </si>
  <si>
    <t>忱悦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</si>
  <si>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州仁益聚全酒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</si>
  <si>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蒸煮提取物（利口酒和烈酒）;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</si>
  <si>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福超比那多</t>
  </si>
  <si>
    <r>
      <t>福州一路得企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</si>
  <si>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果酒（含酒精）; 清酒（日本米酒）;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</si>
  <si>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渡醉山</t>
  </si>
  <si>
    <r>
      <t>白酒; 黄酒;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</si>
  <si>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缮</t>
    </r>
    <r>
      <rPr>
        <sz val="11"/>
        <color theme="1"/>
        <rFont val="ＭＳ Ｐゴシック"/>
        <family val="3"/>
        <charset val="128"/>
        <scheme val="minor"/>
      </rPr>
      <t>舒苑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</si>
  <si>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宇涵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</si>
  <si>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</si>
  <si>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川行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</si>
  <si>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川文化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</si>
  <si>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露酒; 高粱酒;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</si>
  <si>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好物道</t>
  </si>
  <si>
    <r>
      <t>广昌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好物道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</si>
  <si>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梨酒;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烈酒; 白酒; 甜酒</t>
    </r>
  </si>
  <si>
    <r>
      <t>巴蜀卓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</si>
  <si>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卓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</si>
  <si>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白干酒（中国白酒）;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</si>
  <si>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金瑞福源</t>
  </si>
  <si>
    <r>
      <t>新疆昌盛金泉酒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</si>
  <si>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</si>
  <si>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</si>
  <si>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</si>
  <si>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</si>
  <si>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</si>
  <si>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就山里</t>
  </si>
  <si>
    <r>
      <t>花溪区就山里住宿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民宿（个体工商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</si>
  <si>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米酒;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</si>
  <si>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京都大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</si>
  <si>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北京皇家京都酒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</si>
  <si>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</si>
  <si>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九窖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</si>
  <si>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赖陆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</si>
  <si>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白酒; 米酒; 高粱酒; 烈酒; 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</si>
  <si>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聆</t>
    </r>
  </si>
  <si>
    <r>
      <t>上海小金属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品交易有限公司</t>
    </r>
  </si>
  <si>
    <r>
      <t xml:space="preserve">果酒（含酒精）; 黄酒; 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草莓酒;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</si>
  <si>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</si>
  <si>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利口酒; 白酒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</si>
  <si>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羹美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</si>
  <si>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米酒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</si>
  <si>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也也</t>
    </r>
  </si>
  <si>
    <t>聊城市云来生物科技有限公司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</si>
  <si>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含奶油利口酒; 白酒; 蝮蛇酒; 松叶酒; 黄酒; 甜果酒;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</si>
  <si>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果酒（含酒精）; 米酒</t>
    </r>
  </si>
  <si>
    <t>十六仙域</t>
  </si>
  <si>
    <t>福建静修堂茶文化有限公司</t>
  </si>
  <si>
    <r>
      <t xml:space="preserve">苦味酒; 开胃酒; 白酒;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薄荷酒; 黄酒; 米酒</t>
    </r>
  </si>
  <si>
    <r>
      <t>江西小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</si>
  <si>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</si>
  <si>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t>好勤</t>
  </si>
  <si>
    <r>
      <t>好良好(上海)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</si>
  <si>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食用酒精; 白酒;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</si>
  <si>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青梅酒; 白酒; 黄酒;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</si>
  <si>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湘珍藏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</si>
  <si>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利口酒; 白酒</t>
    </r>
  </si>
  <si>
    <t>福瑞昌祥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</si>
  <si>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</si>
  <si>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橡之瑰冠</t>
  </si>
  <si>
    <t>康沛勃克司美味威士忌有限公司</t>
  </si>
  <si>
    <t>混合威士忌酒; 威士忌; 麦芽威士忌</t>
  </si>
  <si>
    <r>
      <t>祁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</si>
  <si>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程明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</si>
  <si>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</si>
  <si>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锟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</si>
  <si>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</si>
  <si>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果酒（含酒精）; 开胃酒; 白酒</t>
    </r>
  </si>
  <si>
    <r>
      <t>北京奇越盛源企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</si>
  <si>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威士忌; 果酒（含酒精）; 苹果酒; 黄酒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</si>
  <si>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</si>
  <si>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闽烧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</si>
  <si>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</si>
  <si>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牧都</t>
    </r>
  </si>
  <si>
    <t>周春秀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</si>
  <si>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烈酒; 梨酒;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</si>
  <si>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源台</t>
    </r>
  </si>
  <si>
    <r>
      <t>安康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源台酒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</si>
  <si>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</si>
  <si>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匠韵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</si>
  <si>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东军</t>
    </r>
  </si>
  <si>
    <r>
      <t xml:space="preserve">白干酒（中国白酒）; 烈酒;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梅酒; 高粱酒;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</si>
  <si>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甫堂</t>
    </r>
  </si>
  <si>
    <t>十堰市道一堂养生文化有限公司</t>
  </si>
  <si>
    <r>
      <t xml:space="preserve">葡萄酒; 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汽酒; 黄酒; 烈酒; 果酒</t>
    </r>
  </si>
  <si>
    <t>古雕</t>
  </si>
  <si>
    <r>
      <t>燕九坊(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)科技有限公司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</si>
  <si>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白酒; 果酒; 黄酒;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白葡萄酒;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青梅酒;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</si>
  <si>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万菲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</si>
  <si>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亚飞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</si>
  <si>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利口酒; 果酒（含酒精）</t>
    </r>
  </si>
  <si>
    <t>万菲迷</t>
  </si>
  <si>
    <r>
      <t xml:space="preserve">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</si>
  <si>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天番</t>
  </si>
  <si>
    <r>
      <t>泰安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</si>
  <si>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</si>
  <si>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无双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</si>
  <si>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</si>
  <si>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清酒（日本米酒）; 白酒; 果酒（含酒精）;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</si>
  <si>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赵飞龙马</t>
  </si>
  <si>
    <t>合肥九五之尊食品科技有限公司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</si>
  <si>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</si>
  <si>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润铜标样澜</t>
  </si>
  <si>
    <r>
      <t>徐州众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</si>
  <si>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白酒; 伏特加酒;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</si>
  <si>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沂</t>
    </r>
    <r>
      <rPr>
        <sz val="11"/>
        <color theme="1"/>
        <rFont val="ＭＳ Ｐゴシック"/>
        <family val="3"/>
        <charset val="134"/>
        <scheme val="minor"/>
      </rPr>
      <t>鲤</t>
    </r>
    <r>
      <rPr>
        <sz val="11"/>
        <color theme="1"/>
        <rFont val="ＭＳ Ｐゴシック"/>
        <family val="3"/>
        <charset val="128"/>
        <scheme val="minor"/>
      </rPr>
      <t>相呈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</si>
  <si>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区川宝文化用品有限公司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</si>
  <si>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苦艾酒; 开胃酒; 蜂蜜酒; 黄酒; 梅酒; 白酒; 果酒; 米酒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</si>
  <si>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汉宫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</si>
  <si>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食用酒精</t>
    </r>
  </si>
  <si>
    <r>
      <t>臻永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</si>
  <si>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合浦永</t>
    </r>
    <r>
      <rPr>
        <sz val="11"/>
        <color theme="1"/>
        <rFont val="ＭＳ Ｐゴシック"/>
        <family val="3"/>
        <charset val="134"/>
        <scheme val="minor"/>
      </rPr>
      <t>兴饼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</si>
  <si>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果酒(含酒精);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白干酒(中国白酒); 白酒; 高粱酒; 食用酒精; 黄酒</t>
    </r>
  </si>
  <si>
    <r>
      <t>赤玫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</si>
  <si>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杭州柚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</si>
  <si>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威士忌; 加烈葡萄酒;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</si>
  <si>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爷</t>
    </r>
  </si>
  <si>
    <t>和仁全</t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</si>
  <si>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果酒（含酒精）; 威士忌; 葡萄酒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</si>
  <si>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冬</t>
    </r>
  </si>
  <si>
    <t>汽酒; 黄酒; 米酒; 清酒（日本米酒）</t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</si>
  <si>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</si>
  <si>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</si>
  <si>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汉兴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</si>
  <si>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</si>
  <si>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</si>
  <si>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开胃酒; 黄酒;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</si>
  <si>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襄</t>
    </r>
    <r>
      <rPr>
        <sz val="11"/>
        <color theme="1"/>
        <rFont val="ＭＳ Ｐゴシック"/>
        <family val="3"/>
        <charset val="134"/>
        <scheme val="minor"/>
      </rPr>
      <t>旸</t>
    </r>
    <r>
      <rPr>
        <sz val="11"/>
        <color theme="1"/>
        <rFont val="ＭＳ Ｐゴシック"/>
        <family val="3"/>
        <charset val="128"/>
        <scheme val="minor"/>
      </rPr>
      <t>酒博士</t>
    </r>
  </si>
  <si>
    <t>肖磊</t>
  </si>
  <si>
    <r>
      <t>果酒（含酒精）; 食用酒精; 茴芹酒（利口酒）;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</si>
  <si>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彝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</si>
  <si>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文山云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心安商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</si>
  <si>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高粱酒; 甜酒; 白酒;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甘蔗制烈酒; 薄荷酒; 葡萄酒</t>
    </r>
  </si>
  <si>
    <t>禄享云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</si>
  <si>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禄享云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</si>
  <si>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白酒; 米酒;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</si>
  <si>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</si>
  <si>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鸣诚</t>
    </r>
    <r>
      <rPr>
        <sz val="11"/>
        <color theme="1"/>
        <rFont val="ＭＳ Ｐゴシック"/>
        <family val="3"/>
        <charset val="128"/>
        <scheme val="minor"/>
      </rPr>
      <t>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</si>
  <si>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烈酒; 蜂蜜酒; 葡萄酒; 黄酒; 果酒; 清酒; 白干酒（中国白酒）; 露酒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</si>
  <si>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</si>
  <si>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宋也</t>
  </si>
  <si>
    <r>
      <t>红</t>
    </r>
    <r>
      <rPr>
        <sz val="11"/>
        <color theme="1"/>
        <rFont val="ＭＳ Ｐゴシック"/>
        <family val="3"/>
        <charset val="128"/>
        <scheme val="minor"/>
      </rPr>
      <t>品牌(重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</si>
  <si>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梅酒; 白酒; 威士忌;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</si>
  <si>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湘</t>
    </r>
    <r>
      <rPr>
        <sz val="11"/>
        <color theme="1"/>
        <rFont val="ＭＳ Ｐゴシック"/>
        <family val="3"/>
        <charset val="129"/>
        <scheme val="minor"/>
      </rPr>
      <t>汩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</si>
  <si>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</si>
  <si>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>刺五加酒;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水果汽酒; 青梅酒; 草莓酒; 果酒（含酒精）;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</si>
  <si>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韵宜生 RESHEALTH</t>
  </si>
  <si>
    <r>
      <t>绿</t>
    </r>
    <r>
      <rPr>
        <sz val="11"/>
        <color theme="1"/>
        <rFont val="ＭＳ Ｐゴシック"/>
        <family val="3"/>
        <charset val="128"/>
        <scheme val="minor"/>
      </rPr>
      <t>之韵生物工程集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</si>
  <si>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</si>
  <si>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清沌</t>
  </si>
  <si>
    <r>
      <t>湖南玖宇酒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</si>
  <si>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</si>
  <si>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</si>
  <si>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邮电</t>
    </r>
    <r>
      <rPr>
        <sz val="11"/>
        <color theme="1"/>
        <rFont val="ＭＳ Ｐゴシック"/>
        <family val="3"/>
        <charset val="128"/>
        <scheme val="minor"/>
      </rPr>
      <t>工程有限公司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庄分公司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</si>
  <si>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苹果酒; 朗姆酒; 白酒; 高粱酒; 梨酒</t>
    </r>
  </si>
  <si>
    <t>丰粮御稻梦</t>
  </si>
  <si>
    <r>
      <t>安徽光文画城市运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</si>
  <si>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</si>
  <si>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雁小</t>
    </r>
    <r>
      <rPr>
        <sz val="11"/>
        <color theme="1"/>
        <rFont val="ＭＳ Ｐゴシック"/>
        <family val="3"/>
        <charset val="134"/>
        <scheme val="minor"/>
      </rPr>
      <t>陈</t>
    </r>
  </si>
  <si>
    <t>张丽</t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</si>
  <si>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青稞酒;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</si>
  <si>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贾</t>
    </r>
    <r>
      <rPr>
        <sz val="11"/>
        <color theme="1"/>
        <rFont val="ＭＳ Ｐゴシック"/>
        <family val="3"/>
        <charset val="128"/>
        <scheme val="minor"/>
      </rPr>
      <t>桃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</si>
  <si>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垂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东营</t>
    </r>
    <r>
      <rPr>
        <sz val="11"/>
        <color theme="1"/>
        <rFont val="ＭＳ Ｐゴシック"/>
        <family val="3"/>
        <charset val="128"/>
        <scheme val="minor"/>
      </rPr>
      <t>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</si>
  <si>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汽酒; 米酒; 青稞酒; 白酒; 食用酒精;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</si>
  <si>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熟匠福</t>
  </si>
  <si>
    <r>
      <t>四川熟匠酒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</si>
  <si>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</si>
  <si>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粮</t>
    </r>
  </si>
  <si>
    <t>上海小萱科技有限公司</t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</si>
  <si>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利口酒; 汽酒; 黄酒; 白酒; 葡萄酒; 威士忌</t>
    </r>
  </si>
  <si>
    <r>
      <t>邑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</si>
  <si>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汤绮</t>
    </r>
    <r>
      <rPr>
        <sz val="11"/>
        <color theme="1"/>
        <rFont val="ＭＳ Ｐゴシック"/>
        <family val="3"/>
        <charset val="128"/>
        <scheme val="minor"/>
      </rPr>
      <t>媚</t>
    </r>
  </si>
  <si>
    <r>
      <t>开胃酒; 葡萄酒; 米酒; 含酒精的气泡水; 果酒（含酒精）; 柑香酒; 白酒;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</si>
  <si>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醉含羞</t>
  </si>
  <si>
    <r>
      <t>四海一(山西)酒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</si>
  <si>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</si>
  <si>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坤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</si>
  <si>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威士忌;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</si>
  <si>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涞</t>
    </r>
    <r>
      <rPr>
        <sz val="11"/>
        <color theme="1"/>
        <rFont val="ＭＳ Ｐゴシック"/>
        <family val="3"/>
        <charset val="128"/>
        <scheme val="minor"/>
      </rPr>
      <t>奥酒庄</t>
    </r>
  </si>
  <si>
    <r>
      <t>成都智澳博洛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</si>
  <si>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米酒;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</si>
  <si>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稼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</si>
  <si>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保德</t>
    </r>
  </si>
  <si>
    <r>
      <t xml:space="preserve">黄酒; 白酒; 威士忌; 杜松子酒;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</si>
  <si>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</si>
  <si>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</si>
  <si>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甲卓神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</si>
  <si>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蜂蜜酒;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</si>
  <si>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葡萄酒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</si>
  <si>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</si>
  <si>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虎盛堂食品有限公司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</si>
  <si>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</si>
  <si>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宗山流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</si>
  <si>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宗山三盟酒庄有限公司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</si>
  <si>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</si>
  <si>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</si>
  <si>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玉芳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</si>
  <si>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高粱酒</t>
    </r>
  </si>
  <si>
    <t>和通一舍</t>
  </si>
  <si>
    <r>
      <t>北京和通一舍文化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</si>
  <si>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米酒; 白酒;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</si>
  <si>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慕笙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</si>
  <si>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黑果花青生命科技有限公司</t>
    </r>
  </si>
  <si>
    <r>
      <t>苹果酒;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朗姆酒;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</si>
  <si>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九伯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</si>
  <si>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烈酒; 威士忌; 果酒（含酒精）; 开胃酒;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</si>
  <si>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</si>
  <si>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利口酒;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</si>
  <si>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BENMI</t>
  </si>
  <si>
    <r>
      <t>北京奔米酒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</si>
  <si>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餐后酒（利口酒和烈酒）;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黄酒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</si>
  <si>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郡里</t>
    </r>
  </si>
  <si>
    <r>
      <t>湖南省有里文化旅游开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</si>
  <si>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利口酒;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伏特加酒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</si>
  <si>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</si>
  <si>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井好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</si>
  <si>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清酒（日本米酒）;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</si>
  <si>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阆</t>
    </r>
    <r>
      <rPr>
        <sz val="11"/>
        <color theme="1"/>
        <rFont val="ＭＳ Ｐゴシック"/>
        <family val="3"/>
        <charset val="128"/>
        <scheme val="minor"/>
      </rPr>
      <t>奢 LLLANG LUXARY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</si>
  <si>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阆</t>
    </r>
    <r>
      <rPr>
        <sz val="11"/>
        <color theme="1"/>
        <rFont val="ＭＳ Ｐゴシック"/>
        <family val="3"/>
        <charset val="128"/>
        <scheme val="minor"/>
      </rPr>
      <t>奢名品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</si>
  <si>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青梅酒</t>
    </r>
  </si>
  <si>
    <t>意南萃</t>
  </si>
  <si>
    <r>
      <t>王宏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</si>
  <si>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米酒; 果酒（含酒精）</t>
    </r>
  </si>
  <si>
    <t>清沌 酒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</si>
  <si>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汽酒; 果酒（含酒精）; 白酒; 黄酒; 葡萄酒;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</si>
  <si>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灏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</si>
  <si>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</si>
  <si>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黄酒; 餐后酒（利口酒和烈酒）;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白干酒（中国白酒）;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</t>
    </r>
  </si>
  <si>
    <t>HJXP</t>
  </si>
  <si>
    <t>刘李宏</t>
  </si>
  <si>
    <r>
      <t xml:space="preserve">朗姆酒; 清酒（日本米酒）;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葡萄酒; 威士忌; 伏特加酒</t>
    </r>
  </si>
  <si>
    <t>MACWONG</t>
  </si>
  <si>
    <t>福建麦王食品有限公司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</si>
  <si>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白酒; 果酒（含酒精）; 米酒;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</si>
  <si>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仙小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</si>
  <si>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豆</t>
    </r>
  </si>
  <si>
    <t>白酒; 伏特加酒; 果酒（含酒精）; 米酒; 梅酒; 黄酒; 朗姆酒; 清酒; 甜酒; 葡萄酒</t>
  </si>
  <si>
    <t>御姜美</t>
  </si>
  <si>
    <r>
      <t>安徽省御姜美生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</si>
  <si>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苹果酒; 黄酒; 开胃酒;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米酒</t>
    </r>
  </si>
  <si>
    <t>OVSE</t>
  </si>
  <si>
    <r>
      <t>刘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</si>
  <si>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果酒; 黄酒; 白酒; 清酒（日本米酒）;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</si>
  <si>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越光的泪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</si>
  <si>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</si>
  <si>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果酒; 清酒;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威士忌; 白酒</t>
    </r>
  </si>
  <si>
    <t>六王嶂</t>
  </si>
  <si>
    <r>
      <t>深圳市均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</si>
  <si>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烈酒; 日式甜米酒;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黄酒;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</si>
  <si>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品蜀耕</t>
  </si>
  <si>
    <r>
      <t>成都沙漠</t>
    </r>
    <r>
      <rPr>
        <sz val="11"/>
        <color theme="1"/>
        <rFont val="ＭＳ Ｐゴシック"/>
        <family val="3"/>
        <charset val="134"/>
        <scheme val="minor"/>
      </rPr>
      <t>鱼农业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</si>
  <si>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黄酒; 甜酒; 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清酒（日本米酒）; 烈酒</t>
    </r>
  </si>
  <si>
    <r>
      <t>大美关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</si>
  <si>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三十（大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</si>
  <si>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</si>
  <si>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t>阦阦</t>
  </si>
  <si>
    <r>
      <t>浙江川上文化旅游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</si>
  <si>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葡萄酒; 蜂蜜酒;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柑香酒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</si>
  <si>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唐潭</t>
    </r>
  </si>
  <si>
    <r>
      <t>河南省傅家潭酒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</si>
  <si>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朗姆酒; 黄酒; 白酒; 果酒（含酒精）; 威士忌</t>
    </r>
  </si>
  <si>
    <r>
      <t>境尚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</si>
  <si>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安徽境尚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</si>
  <si>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高粱酒; 白酒; 葡萄酒; 黄酒; 白干酒（中国白酒）</t>
    </r>
  </si>
  <si>
    <t>川裕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</si>
  <si>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香源酒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</si>
  <si>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薄荷酒;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</si>
  <si>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速零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</si>
  <si>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</si>
  <si>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甜酒; 食用酒精; 葡萄酒</t>
    </r>
  </si>
  <si>
    <t>听岸</t>
  </si>
  <si>
    <r>
      <t>曾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</si>
  <si>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清酒; 甜酒; 米酒; 汽酒; 食用酒精;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</si>
  <si>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奇</t>
    </r>
  </si>
  <si>
    <t>杭州御寿生物科技有限公司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</si>
  <si>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开胃酒; 露酒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</si>
  <si>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森的心意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</si>
  <si>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</si>
  <si>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</si>
  <si>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李波</t>
  </si>
  <si>
    <r>
      <t xml:space="preserve">白酒; 葡萄酒;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开胃酒; 米酒</t>
    </r>
  </si>
  <si>
    <r>
      <t>逸品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</si>
  <si>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文化交流有限公司</t>
    </r>
  </si>
  <si>
    <r>
      <t>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</si>
  <si>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芙宁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</si>
  <si>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县乡</t>
    </r>
    <r>
      <rPr>
        <sz val="11"/>
        <color theme="1"/>
        <rFont val="ＭＳ Ｐゴシック"/>
        <family val="3"/>
        <charset val="128"/>
        <scheme val="minor"/>
      </rPr>
      <t>村建</t>
    </r>
    <r>
      <rPr>
        <sz val="11"/>
        <color theme="1"/>
        <rFont val="ＭＳ Ｐゴシック"/>
        <family val="3"/>
        <charset val="134"/>
        <scheme val="minor"/>
      </rPr>
      <t>设发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</si>
  <si>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</si>
  <si>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阿木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</si>
  <si>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云酒（重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</si>
  <si>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餐后酒（利口酒和烈酒）; 果酒（含酒精）; 葡萄酒; 威士忌; 米酒</t>
    </r>
  </si>
  <si>
    <t>盛宝逸</t>
  </si>
  <si>
    <t>成都盛宝逸科技有限公司</t>
  </si>
  <si>
    <r>
      <t>葡萄酒; 苦味酒; 黄酒;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</si>
  <si>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开蜂虎</t>
  </si>
  <si>
    <r>
      <t>张长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</si>
  <si>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白酒; 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水果汽酒; 梅酒; 葡萄酒</t>
    </r>
  </si>
  <si>
    <r>
      <t>中科建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</si>
  <si>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中科建</t>
    </r>
    <r>
      <rPr>
        <sz val="11"/>
        <color theme="1"/>
        <rFont val="ＭＳ Ｐゴシック"/>
        <family val="3"/>
        <charset val="134"/>
        <scheme val="minor"/>
      </rPr>
      <t>兴实业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</si>
  <si>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</si>
  <si>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共城</t>
    </r>
    <r>
      <rPr>
        <sz val="11"/>
        <color theme="1"/>
        <rFont val="ＭＳ Ｐゴシック"/>
        <family val="3"/>
        <charset val="134"/>
        <scheme val="minor"/>
      </rPr>
      <t>苏记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</si>
  <si>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市共城</t>
    </r>
    <r>
      <rPr>
        <sz val="11"/>
        <color theme="1"/>
        <rFont val="ＭＳ Ｐゴシック"/>
        <family val="3"/>
        <charset val="134"/>
        <scheme val="minor"/>
      </rPr>
      <t>苏记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</si>
  <si>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果酒（含酒精）; 白酒; 葡萄酒</t>
    </r>
  </si>
  <si>
    <t>午谷靖</t>
  </si>
  <si>
    <r>
      <t>保定谷池酒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制造厂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</si>
  <si>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米酒; 汽酒;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</si>
  <si>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戬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</si>
  <si>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</si>
  <si>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</t>
    </r>
  </si>
  <si>
    <r>
      <t>医道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</si>
  <si>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南京医道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</si>
  <si>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</si>
  <si>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陶金佳</t>
  </si>
  <si>
    <r>
      <t>伍</t>
    </r>
    <r>
      <rPr>
        <sz val="11"/>
        <color theme="1"/>
        <rFont val="ＭＳ Ｐゴシック"/>
        <family val="3"/>
        <charset val="134"/>
        <scheme val="minor"/>
      </rPr>
      <t>华军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</si>
  <si>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</si>
  <si>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森的礼物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</si>
  <si>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</si>
  <si>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来乾嘉乾道嘉</t>
  </si>
  <si>
    <r>
      <t>杭州乾嘉文化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</si>
  <si>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</t>
    </r>
  </si>
  <si>
    <t>源海尊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</si>
  <si>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辅</t>
    </r>
    <r>
      <rPr>
        <sz val="11"/>
        <color theme="1"/>
        <rFont val="ＭＳ Ｐゴシック"/>
        <family val="3"/>
        <charset val="128"/>
        <scheme val="minor"/>
      </rPr>
      <t>源堂国医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</si>
  <si>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</si>
  <si>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BAHIT</t>
  </si>
  <si>
    <r>
      <t>李金</t>
    </r>
    <r>
      <rPr>
        <sz val="11"/>
        <color theme="1"/>
        <rFont val="ＭＳ Ｐゴシック"/>
        <family val="3"/>
        <charset val="134"/>
        <scheme val="minor"/>
      </rPr>
      <t>协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</si>
  <si>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</si>
  <si>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MCCARTHY BLUE</t>
  </si>
  <si>
    <r>
      <t>泉州市手中情酒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</si>
  <si>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清酒（日本米酒）; 米酒</t>
    </r>
  </si>
  <si>
    <r>
      <t>云稼慢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</si>
  <si>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云稼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</si>
  <si>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</si>
  <si>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开福樽</t>
    </r>
  </si>
  <si>
    <r>
      <t>河南美年</t>
    </r>
    <r>
      <rPr>
        <sz val="11"/>
        <color theme="1"/>
        <rFont val="ＭＳ Ｐゴシック"/>
        <family val="3"/>
        <charset val="134"/>
        <scheme val="minor"/>
      </rPr>
      <t>华实业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</si>
  <si>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</si>
  <si>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江三山</t>
  </si>
  <si>
    <r>
      <t>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</si>
  <si>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</si>
  <si>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千里</t>
    </r>
  </si>
  <si>
    <r>
      <t>北京杯中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</si>
  <si>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葡萄酒; 烈酒; 白酒; 苹果酒</t>
    </r>
  </si>
  <si>
    <r>
      <t>湖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山酒庄</t>
    </r>
  </si>
  <si>
    <t>周立堋******************</t>
  </si>
  <si>
    <r>
      <t xml:space="preserve">白酒; 汽酒;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</si>
  <si>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尹太医</t>
  </si>
  <si>
    <r>
      <t xml:space="preserve">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葡萄酒; 食用酒精; 开胃酒; 白酒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</si>
  <si>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茂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</si>
  <si>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</si>
  <si>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开胃酒; 米酒</t>
    </r>
  </si>
  <si>
    <t>洛阳一家生物科技有限公司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</si>
  <si>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开胃酒; 黄酒; 果酒; 白酒;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</si>
  <si>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浙江蒂彩工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</si>
  <si>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</si>
  <si>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宁吉喆商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</si>
  <si>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</si>
  <si>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春荷</t>
  </si>
  <si>
    <r>
      <t>杭州馨彤文化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</si>
  <si>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</si>
  <si>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匠掌佬</t>
  </si>
  <si>
    <r>
      <t xml:space="preserve">威士忌;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</si>
  <si>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上官</t>
    </r>
    <r>
      <rPr>
        <sz val="11"/>
        <color theme="1"/>
        <rFont val="ＭＳ Ｐゴシック"/>
        <family val="3"/>
        <charset val="134"/>
        <scheme val="minor"/>
      </rPr>
      <t>晓晓</t>
    </r>
  </si>
  <si>
    <r>
      <t>果酒（含酒精）;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威士忌;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</si>
  <si>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堂坊</t>
    </r>
    <r>
      <rPr>
        <sz val="11"/>
        <color theme="1"/>
        <rFont val="ＭＳ Ｐゴシック"/>
        <family val="3"/>
        <charset val="134"/>
        <scheme val="minor"/>
      </rPr>
      <t>韩滩</t>
    </r>
  </si>
  <si>
    <t>文永珍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</si>
  <si>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</si>
  <si>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益梅</t>
  </si>
  <si>
    <t>丁荣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</si>
  <si>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梅酒;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</si>
  <si>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菊昂</t>
  </si>
  <si>
    <r>
      <t>云南神菊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</si>
  <si>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果酒;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烈酒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</si>
  <si>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</si>
  <si>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继刚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</si>
  <si>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果酒; 高粱酒;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开胃酒; 烈酒; 青稞酒</t>
    </r>
  </si>
  <si>
    <t>北同品真</t>
  </si>
  <si>
    <r>
      <t>亳州市品真堂中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</si>
  <si>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</si>
  <si>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瓯仙鹿</t>
  </si>
  <si>
    <r>
      <t>浙江阿德里康医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</si>
  <si>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</si>
  <si>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招添下</t>
    </r>
  </si>
  <si>
    <r>
      <t>内蒙古城中草原酒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</si>
  <si>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</si>
  <si>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</si>
  <si>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清酒（日本米酒）;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黄酒</t>
    </r>
  </si>
  <si>
    <t>标铭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</si>
  <si>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东标铭农业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</si>
  <si>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佐餐酒; 果酒（含酒精）; 米酒; 苦味酒</t>
    </r>
  </si>
  <si>
    <t>NEVO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</si>
  <si>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晤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</si>
  <si>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含酒精的气泡水;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</si>
  <si>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阿木措</t>
  </si>
  <si>
    <r>
      <t>威士忌; 米酒;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</si>
  <si>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京城桃花谷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</si>
  <si>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商恒通商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</si>
  <si>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白葡萄酒; 果酒; 黄酒; 葡萄酒; 汽酒; 米酒</t>
    </r>
  </si>
  <si>
    <t>二黄三太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</si>
  <si>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</si>
  <si>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沈老四</t>
  </si>
  <si>
    <r>
      <t>苹果酒;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</si>
  <si>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佳比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</si>
  <si>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中油首汽石油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</si>
  <si>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果酒（含酒精）</t>
    </r>
  </si>
  <si>
    <t>丹凝地真</t>
  </si>
  <si>
    <r>
      <t>史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</si>
  <si>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 xml:space="preserve">葡萄酒; 青稞酒; 白酒;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米酒</t>
    </r>
  </si>
  <si>
    <t>IVRE</t>
  </si>
  <si>
    <r>
      <t>杨</t>
    </r>
    <r>
      <rPr>
        <sz val="11"/>
        <color theme="1"/>
        <rFont val="ＭＳ Ｐゴシック"/>
        <family val="3"/>
        <charset val="128"/>
        <scheme val="minor"/>
      </rPr>
      <t>作礼</t>
    </r>
  </si>
  <si>
    <r>
      <t xml:space="preserve">黄酒; 清酒（日本米酒）; 果酒; 青稞酒;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</t>
    </r>
  </si>
  <si>
    <t>室福</t>
  </si>
  <si>
    <t>上海麦睿博恩数字科技有限公司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</si>
  <si>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</si>
  <si>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多姿韵</t>
  </si>
  <si>
    <r>
      <t>株洲熙洋服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</si>
  <si>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</si>
  <si>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健美科</t>
    </r>
    <r>
      <rPr>
        <sz val="11"/>
        <color theme="1"/>
        <rFont val="ＭＳ Ｐゴシック"/>
        <family val="3"/>
        <charset val="134"/>
        <scheme val="minor"/>
      </rPr>
      <t>诺</t>
    </r>
  </si>
  <si>
    <t>每橙佳品（惠州）科技有限公司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</si>
  <si>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果酒; 苹果酒; 甜酒; 米酒; 白酒; 开胃酒;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</si>
  <si>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戴安宁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</si>
  <si>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市易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</si>
  <si>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</si>
  <si>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菊云香</t>
    </r>
  </si>
  <si>
    <r>
      <t>烈酒;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餐后酒（利口酒和烈酒）;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</si>
  <si>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炎洲</t>
  </si>
  <si>
    <r>
      <t>包忠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</si>
  <si>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</si>
  <si>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</si>
  <si>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北京北清晟鑫集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</si>
  <si>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甜酒; 烈酒;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高粱酒</t>
    </r>
  </si>
  <si>
    <t>烤月球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</si>
  <si>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南海小珊瑚餐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</si>
  <si>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</si>
  <si>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関誉</t>
  </si>
  <si>
    <t>深圳市金鑫天成科技有限公司</t>
  </si>
  <si>
    <r>
      <t>果酒（含酒精）; 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</si>
  <si>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烤地球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</si>
  <si>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高粱酒</t>
    </r>
  </si>
  <si>
    <t>星醴台</t>
  </si>
  <si>
    <t>柯亭武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</si>
  <si>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</si>
  <si>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桐六巷</t>
  </si>
  <si>
    <r>
      <t>六安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冠科技有限公司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</si>
  <si>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食用酒精</t>
    </r>
  </si>
  <si>
    <t>苗斌</t>
  </si>
  <si>
    <t>岑溪市明智云科技有限公司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</si>
  <si>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开胃酒; 黄酒; 甜酒; 蜂蜜酒; 白酒; 露酒</t>
    </r>
  </si>
  <si>
    <t>包力仕</t>
  </si>
  <si>
    <t>征友明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</si>
  <si>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利口酒; 葡萄酒; 米酒;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</si>
  <si>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叮</t>
    </r>
    <r>
      <rPr>
        <sz val="11"/>
        <color theme="1"/>
        <rFont val="ＭＳ Ｐゴシック"/>
        <family val="3"/>
        <charset val="134"/>
        <scheme val="minor"/>
      </rPr>
      <t>铃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当</t>
    </r>
  </si>
  <si>
    <t>余宝珠</t>
  </si>
  <si>
    <r>
      <t xml:space="preserve">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苦味酒; 果酒（含酒精）;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蜂蜜酒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</si>
  <si>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君茄友</t>
    </r>
  </si>
  <si>
    <t>姚恒</t>
  </si>
  <si>
    <r>
      <t>白酒;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</si>
  <si>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迪淘悠品</t>
  </si>
  <si>
    <r>
      <t>河南墨舜商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</si>
  <si>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威士忌;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</si>
  <si>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灵月影</t>
    </r>
  </si>
  <si>
    <t>信雷新能源科技（信宜）有限公司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</si>
  <si>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</si>
  <si>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麦响</t>
  </si>
  <si>
    <r>
      <t>新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凯硕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</si>
  <si>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白葡萄酒;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</si>
  <si>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彭麦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</si>
  <si>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</t>
    </r>
  </si>
  <si>
    <t>元三元</t>
  </si>
  <si>
    <r>
      <t>惠州</t>
    </r>
    <r>
      <rPr>
        <sz val="11"/>
        <color theme="1"/>
        <rFont val="ＭＳ Ｐゴシック"/>
        <family val="3"/>
        <charset val="134"/>
        <scheme val="minor"/>
      </rPr>
      <t>链军实业发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</si>
  <si>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</si>
  <si>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山河盼</t>
  </si>
  <si>
    <r>
      <t>勐海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浩正气然百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</si>
  <si>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葡萄酒; 黄酒; 果酒; 米酒</t>
    </r>
  </si>
  <si>
    <t>饕先生</t>
  </si>
  <si>
    <r>
      <t>云南大邦茶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</si>
  <si>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白干酒（中国白酒）; 混合威士忌酒;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麦芽威士忌;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白酒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</si>
  <si>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胖胖科技有限公司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</si>
  <si>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白酒; 食用酒精</t>
    </r>
  </si>
  <si>
    <t>北荒年</t>
  </si>
  <si>
    <t>李宝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</si>
  <si>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</si>
  <si>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盟</t>
    </r>
  </si>
  <si>
    <t>淮北三只猴子信息科技有限公司</t>
  </si>
  <si>
    <r>
      <t>果酒（含酒精）;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</si>
  <si>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微形</t>
    </r>
    <r>
      <rPr>
        <sz val="11"/>
        <color theme="1"/>
        <rFont val="ＭＳ Ｐゴシック"/>
        <family val="3"/>
        <charset val="134"/>
        <scheme val="minor"/>
      </rPr>
      <t>诗</t>
    </r>
  </si>
  <si>
    <t>吴涛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</si>
  <si>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</si>
  <si>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余米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</si>
  <si>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</si>
  <si>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伏特加酒; 葡萄酒; 白酒; 米酒; 食用酒精; 果酒（含酒精）; 清酒</t>
    </r>
  </si>
  <si>
    <r>
      <t>可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十分</t>
    </r>
  </si>
  <si>
    <r>
      <t>浙江沃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</si>
  <si>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</si>
  <si>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清花</t>
    </r>
  </si>
  <si>
    <t>史秋吓</t>
  </si>
  <si>
    <r>
      <t>黄酒; 米酒;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</si>
  <si>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帝适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</si>
  <si>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区隆界百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</si>
  <si>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</si>
  <si>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逍遥姑娘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</si>
  <si>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区回匠百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</si>
  <si>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</si>
  <si>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始淳</t>
  </si>
  <si>
    <r>
      <t>庞润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</si>
  <si>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</si>
  <si>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峥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</si>
  <si>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</si>
  <si>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开胃酒; 青稞酒;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</si>
  <si>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皓</t>
    </r>
    <r>
      <rPr>
        <sz val="11"/>
        <color theme="1"/>
        <rFont val="ＭＳ Ｐゴシック"/>
        <family val="3"/>
        <charset val="134"/>
        <scheme val="minor"/>
      </rPr>
      <t>质</t>
    </r>
  </si>
  <si>
    <r>
      <t>薄荷酒; 果酒（含酒精）; 米酒;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白酒</t>
    </r>
  </si>
  <si>
    <t>向梦而歌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</si>
  <si>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</si>
  <si>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三皇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</si>
  <si>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区荣月百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</si>
  <si>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</si>
  <si>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承梦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</si>
  <si>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</si>
  <si>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悠山和美</t>
  </si>
  <si>
    <r>
      <t>深圳市悠山文化集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</si>
  <si>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</si>
  <si>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悠山幸福</t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</si>
  <si>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黄酒; 白酒; 果酒（含酒精）; 开胃酒</t>
    </r>
  </si>
  <si>
    <r>
      <t>三斑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</si>
  <si>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速达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</si>
  <si>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黄酒;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</si>
  <si>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淮泉湖</t>
  </si>
  <si>
    <r>
      <t>宿迁浩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</si>
  <si>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苦味酒; 米酒; 薄荷酒; 利口酒;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</si>
  <si>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景天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</si>
  <si>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</si>
  <si>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r>
      <t>酌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</si>
  <si>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</si>
  <si>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如梦魂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</si>
  <si>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</si>
  <si>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瑶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</si>
  <si>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</si>
  <si>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澳格星耀</t>
  </si>
  <si>
    <r>
      <t>文昌</t>
    </r>
    <r>
      <rPr>
        <sz val="11"/>
        <color theme="1"/>
        <rFont val="ＭＳ Ｐゴシック"/>
        <family val="3"/>
        <charset val="134"/>
        <scheme val="minor"/>
      </rPr>
      <t>东炜</t>
    </r>
    <r>
      <rPr>
        <sz val="11"/>
        <color theme="1"/>
        <rFont val="ＭＳ Ｐゴシック"/>
        <family val="3"/>
        <charset val="128"/>
        <scheme val="minor"/>
      </rPr>
      <t>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中介有限公司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</si>
  <si>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</si>
  <si>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仕要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</si>
  <si>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</si>
  <si>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雪上祁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</si>
  <si>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喜得（北京）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</si>
  <si>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薄荷酒;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</si>
  <si>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</si>
  <si>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</si>
  <si>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舞</t>
    </r>
    <r>
      <rPr>
        <sz val="11"/>
        <color theme="1"/>
        <rFont val="ＭＳ Ｐゴシック"/>
        <family val="3"/>
        <charset val="134"/>
        <scheme val="minor"/>
      </rPr>
      <t>鸾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</si>
  <si>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深圳市君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葡萄酒文化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</si>
  <si>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清酒; 白酒; 威士忌; 朗姆酒; 汽酒; 果酒;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</si>
  <si>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黔王魁</t>
  </si>
  <si>
    <r>
      <t>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</si>
  <si>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聚量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</si>
  <si>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丽绘</t>
    </r>
  </si>
  <si>
    <r>
      <t>白酒;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</si>
  <si>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和孔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</si>
  <si>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</si>
  <si>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三明市城市品牌宣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</si>
  <si>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蜂蜜酒;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白酒</t>
    </r>
  </si>
  <si>
    <t>向川而歌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</si>
  <si>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白葡萄酒; 葡萄酒; 起泡白葡萄酒</t>
    </r>
  </si>
  <si>
    <t>悠山丰年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</si>
  <si>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薄荷酒; 黄酒</t>
    </r>
  </si>
  <si>
    <t>莫相逢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</si>
  <si>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</si>
  <si>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蜀之洲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</si>
  <si>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</si>
  <si>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相思石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</si>
  <si>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</si>
  <si>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葡萄酒; 清酒（日本米酒）; 黄酒; 杜松子酒</t>
    </r>
  </si>
  <si>
    <r>
      <t>敕勒景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</si>
  <si>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小宝</t>
    </r>
  </si>
  <si>
    <r>
      <t>果酒（含酒精）;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酸酒（低等葡萄酒）; 米酒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</si>
  <si>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</si>
  <si>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</si>
  <si>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台御品酒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</si>
  <si>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清酒（日本米酒）; 米酒</t>
    </r>
  </si>
  <si>
    <t>德合公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</si>
  <si>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洛呈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</si>
  <si>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青稞酒; 薄荷酒</t>
    </r>
  </si>
  <si>
    <r>
      <t>福运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</si>
  <si>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买</t>
    </r>
    <r>
      <rPr>
        <sz val="11"/>
        <color theme="1"/>
        <rFont val="ＭＳ Ｐゴシック"/>
        <family val="3"/>
        <charset val="128"/>
        <scheme val="minor"/>
      </rPr>
      <t>玉旺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</si>
  <si>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</si>
  <si>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醉粮魁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</si>
  <si>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</si>
  <si>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</si>
  <si>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果酒（含酒精）; 黄酒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</si>
  <si>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</si>
  <si>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</si>
  <si>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比</t>
    </r>
    <r>
      <rPr>
        <sz val="11"/>
        <color theme="1"/>
        <rFont val="ＭＳ Ｐゴシック"/>
        <family val="3"/>
        <charset val="134"/>
        <scheme val="minor"/>
      </rPr>
      <t>鸯</t>
    </r>
  </si>
  <si>
    <r>
      <t>杭州好</t>
    </r>
    <r>
      <rPr>
        <sz val="11"/>
        <color theme="1"/>
        <rFont val="ＭＳ Ｐゴシック"/>
        <family val="3"/>
        <charset val="134"/>
        <scheme val="minor"/>
      </rPr>
      <t>贷</t>
    </r>
    <r>
      <rPr>
        <sz val="11"/>
        <color theme="1"/>
        <rFont val="ＭＳ Ｐゴシック"/>
        <family val="3"/>
        <charset val="128"/>
        <scheme val="minor"/>
      </rPr>
      <t>鼠投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</si>
  <si>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</si>
  <si>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向山而歌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</si>
  <si>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葡萄酒</t>
    </r>
  </si>
  <si>
    <t>向云而歌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</si>
  <si>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</si>
  <si>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淮恬</t>
  </si>
  <si>
    <r>
      <t xml:space="preserve">米酒; 苦味酒; 苹果酒; 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白酒; 果酒（含酒精）</t>
    </r>
  </si>
  <si>
    <t>仙王寿</t>
  </si>
  <si>
    <r>
      <t>何耀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</si>
  <si>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</si>
  <si>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t>攸山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</si>
  <si>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</si>
  <si>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酒分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</si>
  <si>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</si>
  <si>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悠山吉祥</t>
  </si>
  <si>
    <r>
      <t>果酒（含酒精）; 薄荷酒;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</si>
  <si>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t>悠山喜悦</t>
  </si>
  <si>
    <r>
      <t>薄荷酒; 开胃酒; 白酒;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</si>
  <si>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涉道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</si>
  <si>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</si>
  <si>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待知音</t>
  </si>
  <si>
    <r>
      <t>山西聚昊合商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</si>
  <si>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葡萄酒; 米酒;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</si>
  <si>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映古今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</si>
  <si>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山行晟食品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</si>
  <si>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</si>
  <si>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t>VOIR</t>
  </si>
  <si>
    <r>
      <t>张</t>
    </r>
    <r>
      <rPr>
        <sz val="11"/>
        <color theme="1"/>
        <rFont val="ＭＳ Ｐゴシック"/>
        <family val="3"/>
        <charset val="128"/>
        <scheme val="minor"/>
      </rPr>
      <t>瑜</t>
    </r>
  </si>
  <si>
    <r>
      <t>黄酒;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葡萄酒; 白酒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</si>
  <si>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九歌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</si>
  <si>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</si>
  <si>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</si>
  <si>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</si>
  <si>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醉子期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</si>
  <si>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</si>
  <si>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花田</t>
    </r>
  </si>
  <si>
    <r>
      <t>海南大湖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</si>
  <si>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果酒; 开胃酒;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梨酒; 清酒; 葡萄酒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</si>
  <si>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</si>
  <si>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深圳市春望管理咨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</si>
  <si>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</si>
  <si>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璨爽</t>
  </si>
  <si>
    <r>
      <t>山西昌丰泰商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</si>
  <si>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</si>
  <si>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ORCV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</si>
  <si>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</si>
  <si>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黄酒; 米酒; 白酒; 清酒（日本米酒）; 青稞酒;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</si>
  <si>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君王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</si>
  <si>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</si>
  <si>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t>山上月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</si>
  <si>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</si>
  <si>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福双年</t>
  </si>
  <si>
    <r>
      <t xml:space="preserve">米酒; 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</si>
  <si>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醉川</t>
    </r>
  </si>
  <si>
    <r>
      <t>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</si>
  <si>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悠山如意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</si>
  <si>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威士忌; 黄酒</t>
    </r>
  </si>
  <si>
    <t>黔来仙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</si>
  <si>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</si>
  <si>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</si>
  <si>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雄棍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</si>
  <si>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烈酒; 葡萄酒; 白酒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</si>
  <si>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舜羲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</si>
  <si>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</si>
  <si>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醉伯牙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</si>
  <si>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</si>
  <si>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</si>
  <si>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澳格逸韵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</si>
  <si>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</si>
  <si>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浪漫里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</si>
  <si>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</si>
  <si>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白崖寨</t>
  </si>
  <si>
    <r>
      <t>南京茅名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</si>
  <si>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</t>
    </r>
  </si>
  <si>
    <t>石条山</t>
  </si>
  <si>
    <t>卜英</t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</si>
  <si>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</si>
  <si>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渡口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</si>
  <si>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米酒</t>
    </r>
  </si>
  <si>
    <t>悠山大咖</t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</si>
  <si>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薄荷酒;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</si>
  <si>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莞市石排明德醒</t>
    </r>
    <r>
      <rPr>
        <sz val="11"/>
        <color theme="1"/>
        <rFont val="ＭＳ Ｐゴシック"/>
        <family val="3"/>
        <charset val="134"/>
        <scheme val="minor"/>
      </rPr>
      <t>狮团</t>
    </r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</si>
  <si>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五加皮酒（中国混合烈酒）; 朗姆酒;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</si>
  <si>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石排明德醒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</si>
  <si>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果酒（含酒精）; 葡萄酒; 米酒;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汽酒; 朗姆酒;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</si>
  <si>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耶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</si>
  <si>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烈酒; 白葡萄酒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</si>
  <si>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</si>
  <si>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黄酒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</si>
  <si>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酿纪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</si>
  <si>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泉州市正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</si>
  <si>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</si>
  <si>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斗三千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</si>
  <si>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</si>
  <si>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向雨而歌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</si>
  <si>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起泡白葡萄酒;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葡萄汽酒</t>
    </r>
  </si>
  <si>
    <t>滇萌萌</t>
  </si>
  <si>
    <r>
      <t>云南茂功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</si>
  <si>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威士忌; 米酒; 梨酒;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食用酒精</t>
    </r>
  </si>
  <si>
    <t>御小仙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</si>
  <si>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威士忌</t>
    </r>
  </si>
  <si>
    <t>川醉侠</t>
  </si>
  <si>
    <r>
      <t>杨</t>
    </r>
    <r>
      <rPr>
        <sz val="11"/>
        <color theme="1"/>
        <rFont val="ＭＳ Ｐゴシック"/>
        <family val="3"/>
        <charset val="128"/>
        <scheme val="minor"/>
      </rPr>
      <t>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</si>
  <si>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</si>
  <si>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天涯天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</si>
  <si>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</si>
  <si>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唯品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</si>
  <si>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</si>
  <si>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洄酒庄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</si>
  <si>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州白酒庄园投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</si>
  <si>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</si>
  <si>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品成功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</si>
  <si>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</si>
  <si>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牵</t>
    </r>
    <r>
      <rPr>
        <sz val="11"/>
        <color theme="1"/>
        <rFont val="ＭＳ Ｐゴシック"/>
        <family val="3"/>
        <charset val="128"/>
        <scheme val="minor"/>
      </rPr>
      <t>恋</t>
    </r>
  </si>
  <si>
    <r>
      <t>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</si>
  <si>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洪月潭酒坊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</si>
  <si>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州市江阳区普潮村白酒厂（个体工商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</si>
  <si>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</t>
    </r>
  </si>
  <si>
    <t>曾学文</t>
  </si>
  <si>
    <r>
      <t xml:space="preserve">果酒（含酒精）;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</si>
  <si>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承运</t>
    </r>
  </si>
  <si>
    <r>
      <t>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</si>
  <si>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向河而歌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</si>
  <si>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</si>
  <si>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首雍</t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</si>
  <si>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</si>
  <si>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帛哆</t>
    </r>
  </si>
  <si>
    <r>
      <t>戴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</si>
  <si>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梨酒;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</si>
  <si>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干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</si>
  <si>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</si>
  <si>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知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</si>
  <si>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</si>
  <si>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至樽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</si>
  <si>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</si>
  <si>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宜仁谷</t>
  </si>
  <si>
    <t>浙江宜仁谷生物科技有限公司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</si>
  <si>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</si>
  <si>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衷彩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</si>
  <si>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</si>
  <si>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t>昕升</t>
  </si>
  <si>
    <r>
      <t>六安市昕升商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</si>
  <si>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蜂蜜酒; 食用酒精;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</si>
  <si>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泳</t>
    </r>
  </si>
  <si>
    <r>
      <t>山西晋裕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</si>
  <si>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刺五加酒; 高粱酒; 五加皮酒（中国混合烈酒）;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黄酒</t>
    </r>
  </si>
  <si>
    <t>向江而歌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</si>
  <si>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葡萄酒; 白葡萄酒</t>
    </r>
  </si>
  <si>
    <t>卡仕爵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</si>
  <si>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</si>
  <si>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句点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</si>
  <si>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</si>
  <si>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沪小第</t>
  </si>
  <si>
    <r>
      <t>上海策津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</si>
  <si>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汽酒; 清酒（日本米酒）;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</si>
  <si>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向春而歌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</si>
  <si>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白葡萄酒;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</si>
  <si>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悠山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</si>
  <si>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葡萄酒</t>
    </r>
  </si>
  <si>
    <t>暾通</t>
  </si>
  <si>
    <r>
      <t>河北暾茂医</t>
    </r>
    <r>
      <rPr>
        <sz val="11"/>
        <color theme="1"/>
        <rFont val="ＭＳ Ｐゴシック"/>
        <family val="3"/>
        <charset val="134"/>
        <scheme val="minor"/>
      </rPr>
      <t>药销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</si>
  <si>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</si>
  <si>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悠山祝福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</si>
  <si>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果酒（含酒精）; 白酒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</si>
  <si>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</si>
  <si>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</si>
  <si>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谷粮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</si>
  <si>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萝坛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</si>
  <si>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</si>
  <si>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泰蜜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</si>
  <si>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上海泰蜜</t>
    </r>
    <r>
      <rPr>
        <sz val="11"/>
        <color theme="1"/>
        <rFont val="ＭＳ Ｐゴシック"/>
        <family val="3"/>
        <charset val="134"/>
        <scheme val="minor"/>
      </rPr>
      <t>乐电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</si>
  <si>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葡萄酒;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</si>
  <si>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原城樟歪歪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</si>
  <si>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开胃酒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</si>
  <si>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市思明区丁香花园旅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</si>
  <si>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</si>
  <si>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十雨</t>
    </r>
  </si>
  <si>
    <t>宋周杰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</si>
  <si>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黄酒; 葡萄酒; 白酒;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</si>
  <si>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麻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</si>
  <si>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泰州市和正</t>
    </r>
    <r>
      <rPr>
        <sz val="11"/>
        <color theme="1"/>
        <rFont val="ＭＳ Ｐゴシック"/>
        <family val="3"/>
        <charset val="134"/>
        <scheme val="minor"/>
      </rPr>
      <t>缘电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</si>
  <si>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米酒; 白酒; 果酒; 高粱酒;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</si>
  <si>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谯</t>
    </r>
    <r>
      <rPr>
        <sz val="11"/>
        <color theme="1"/>
        <rFont val="ＭＳ Ｐゴシック"/>
        <family val="3"/>
        <charset val="128"/>
        <scheme val="minor"/>
      </rPr>
      <t>郡流霞</t>
    </r>
  </si>
  <si>
    <r>
      <t>安徽格知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</si>
  <si>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露酒; 威士忌</t>
    </r>
  </si>
  <si>
    <t>娄中医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</si>
  <si>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祯</t>
    </r>
    <r>
      <rPr>
        <sz val="11"/>
        <color theme="1"/>
        <rFont val="ＭＳ Ｐゴシック"/>
        <family val="3"/>
        <charset val="128"/>
        <scheme val="minor"/>
      </rPr>
      <t>杏林中医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</si>
  <si>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葡萄酒; 米酒; 果酒（含酒精）</t>
    </r>
  </si>
  <si>
    <t>衡庭</t>
  </si>
  <si>
    <r>
      <t xml:space="preserve">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清酒(日本米酒);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青稞酒; 开胃酒</t>
    </r>
  </si>
  <si>
    <t>兰硕</t>
  </si>
  <si>
    <r>
      <t>宁夏大晟博安企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</si>
  <si>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</si>
  <si>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FLEURS ET FESTIN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</si>
  <si>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汽酒</t>
    </r>
  </si>
  <si>
    <t>邢留香</t>
  </si>
  <si>
    <r>
      <t>姚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</si>
  <si>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清酒（日本米酒）; 黄酒; 白干酒（中国白酒）; 白酒</t>
    </r>
  </si>
  <si>
    <t>观赞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</si>
  <si>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</t>
    </r>
  </si>
  <si>
    <t>观岁</t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</si>
  <si>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清酒（日本米酒）;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</si>
  <si>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从来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</si>
  <si>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恩惠商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</si>
  <si>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开胃酒; 葡萄酒</t>
    </r>
  </si>
  <si>
    <t>地步天机</t>
  </si>
  <si>
    <r>
      <t>地步天机（武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</si>
  <si>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果酒（含酒精）</t>
    </r>
  </si>
  <si>
    <r>
      <t>云雀和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</si>
  <si>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中广百城（北京）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</si>
  <si>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</si>
  <si>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力挺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</si>
  <si>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</si>
  <si>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沁园清悦</t>
  </si>
  <si>
    <r>
      <t>海南沁园清悦酒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</si>
  <si>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黄酒; 利口酒</t>
    </r>
  </si>
  <si>
    <t>衡渤</t>
  </si>
  <si>
    <r>
      <t xml:space="preserve">清酒(日本米酒);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青稞酒;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黄酒; 开胃酒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</si>
  <si>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子</t>
    </r>
  </si>
  <si>
    <t>卞桂英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</si>
  <si>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</si>
  <si>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船吉伯恩</t>
    </r>
  </si>
  <si>
    <r>
      <t>卡梵妮（上海）国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</si>
  <si>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葡萄酒; 米酒</t>
    </r>
  </si>
  <si>
    <t>伊双</t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</si>
  <si>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</si>
  <si>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晓鹏满</t>
    </r>
    <r>
      <rPr>
        <sz val="11"/>
        <color theme="1"/>
        <rFont val="ＭＳ Ｐゴシック"/>
        <family val="3"/>
        <charset val="128"/>
        <scheme val="minor"/>
      </rPr>
      <t>口香</t>
    </r>
  </si>
  <si>
    <r>
      <t>山西老汾王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</si>
  <si>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 xml:space="preserve">黄酒; 清酒（日本米酒）;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梨酒;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</si>
  <si>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</si>
  <si>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美好超市有限公司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</si>
  <si>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开胃酒; 清酒;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</si>
  <si>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中恚</t>
  </si>
  <si>
    <t>中恚科技（北京）有限公司</t>
  </si>
  <si>
    <r>
      <t xml:space="preserve">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米酒;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青稞酒</t>
    </r>
  </si>
  <si>
    <t>西峰秀色</t>
  </si>
  <si>
    <r>
      <t>北京中富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合装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</si>
  <si>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</si>
  <si>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高峰竹</t>
  </si>
  <si>
    <t>方孝斌</t>
  </si>
  <si>
    <r>
      <t>白酒; 米酒; 食用酒精; 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</si>
  <si>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赤崇</t>
  </si>
  <si>
    <r>
      <t>果酒（含酒精）;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白酒; 威士忌; 米酒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</si>
  <si>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姚果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</si>
  <si>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丰旺种养殖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</si>
  <si>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</si>
  <si>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山</t>
    </r>
  </si>
  <si>
    <t>朱志豪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</si>
  <si>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含酒精的气泡水; 露酒;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</t>
    </r>
  </si>
  <si>
    <t>腾门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</si>
  <si>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</si>
  <si>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原城粉兜兜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</si>
  <si>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</t>
    </r>
  </si>
  <si>
    <t>豹阳神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</si>
  <si>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宾临门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</si>
  <si>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青梅酒;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</t>
    </r>
  </si>
  <si>
    <r>
      <t>四川恒梓宸生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</si>
  <si>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黄酒; 白酒;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</si>
  <si>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玻璃西施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</si>
  <si>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州魔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</si>
  <si>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</t>
    </r>
  </si>
  <si>
    <t>竹丰情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</si>
  <si>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</si>
  <si>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</si>
  <si>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伊宴</t>
  </si>
  <si>
    <r>
      <t>果酒（含酒精）;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</si>
  <si>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</si>
  <si>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</si>
  <si>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FUXUE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</si>
  <si>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</si>
  <si>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</si>
  <si>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好奇尚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</si>
  <si>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</si>
  <si>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</si>
  <si>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果酒（含酒精）; 餐后酒（利口酒和烈酒）; 开胃酒;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</si>
  <si>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船克莱德</t>
    </r>
  </si>
  <si>
    <r>
      <t xml:space="preserve">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</si>
  <si>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淮安水工科技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</si>
  <si>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</si>
  <si>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勋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</si>
  <si>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</si>
  <si>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BIOTANGO</t>
  </si>
  <si>
    <t>海南多禄材料科技有限公司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</si>
  <si>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威士忌</t>
    </r>
  </si>
  <si>
    <t>BN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</si>
  <si>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</si>
  <si>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</si>
  <si>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福运潭</t>
  </si>
  <si>
    <r>
      <t>保定京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</si>
  <si>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</si>
  <si>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青城好好</t>
  </si>
  <si>
    <r>
      <t>成都高都建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</si>
  <si>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青梅酒; 果酒</t>
    </r>
  </si>
  <si>
    <t>行九道</t>
  </si>
  <si>
    <r>
      <t>成都市正同香商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</si>
  <si>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</si>
  <si>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灵中宝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</si>
  <si>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国翔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</si>
  <si>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蜂蜜酒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</si>
  <si>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姝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</si>
  <si>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</si>
  <si>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黄酒; 白酒; 米酒; 果酒（含酒精）</t>
  </si>
  <si>
    <r>
      <t>头</t>
    </r>
    <r>
      <rPr>
        <sz val="11"/>
        <color theme="1"/>
        <rFont val="ＭＳ Ｐゴシック"/>
        <family val="3"/>
        <charset val="128"/>
        <scheme val="minor"/>
      </rPr>
      <t>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</si>
  <si>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东头</t>
    </r>
    <r>
      <rPr>
        <sz val="11"/>
        <color theme="1"/>
        <rFont val="ＭＳ Ｐゴシック"/>
        <family val="3"/>
        <charset val="128"/>
        <scheme val="minor"/>
      </rPr>
      <t>槌英歌文化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</si>
  <si>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</si>
  <si>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隽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</si>
  <si>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四川隽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</si>
  <si>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汽酒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</si>
  <si>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记兰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</si>
  <si>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河南仲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</si>
  <si>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食用酒精; 薄荷酒; 白酒;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</si>
  <si>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繁真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</si>
  <si>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</si>
  <si>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极崇</t>
  </si>
  <si>
    <r>
      <t>食用酒精; 薄荷酒;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梨酒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</si>
  <si>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</si>
  <si>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</si>
  <si>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崇清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</si>
  <si>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</si>
  <si>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寿瑶</t>
  </si>
  <si>
    <r>
      <t>广西寿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</si>
  <si>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汽酒; 果酒; 开胃酒; 蝮蛇酒;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佐餐酒;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</si>
  <si>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暹泉</t>
  </si>
  <si>
    <t>宋文星</t>
  </si>
  <si>
    <r>
      <t>黄酒;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</si>
  <si>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沐樽清花</t>
  </si>
  <si>
    <r>
      <t>任浩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</si>
  <si>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</t>
    </r>
  </si>
  <si>
    <r>
      <t>新疆隆惠源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</si>
  <si>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</si>
  <si>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</si>
  <si>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梁友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</si>
  <si>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果酒（含酒精）</t>
    </r>
  </si>
  <si>
    <r>
      <t>镜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寻缘纪</t>
    </r>
  </si>
  <si>
    <r>
      <t>河北九域影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</si>
  <si>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清酒（日本米酒）; 葡萄酒;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</si>
  <si>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春日熊</t>
  </si>
  <si>
    <t>于淑静</t>
  </si>
  <si>
    <r>
      <t xml:space="preserve">清酒（日本米酒）; 青稞酒;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薄荷酒; 黄酒; 白酒; 白葡萄酒; 水果汽酒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</si>
  <si>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</si>
  <si>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</si>
  <si>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清酒（日本米酒）; 汽酒; 高粱酒; 果酒;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葡萄酒</t>
    </r>
  </si>
  <si>
    <t>北方德源</t>
  </si>
  <si>
    <r>
      <t>北方德源（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</si>
  <si>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</si>
  <si>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樽清花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</si>
  <si>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</si>
  <si>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君共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</si>
  <si>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</si>
  <si>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</si>
  <si>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BAOFENGSHOU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</si>
  <si>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</si>
  <si>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r>
      <t>汵</t>
    </r>
    <r>
      <rPr>
        <sz val="11"/>
        <color theme="1"/>
        <rFont val="ＭＳ Ｐゴシック"/>
        <family val="3"/>
        <charset val="128"/>
        <scheme val="minor"/>
      </rPr>
      <t>老大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</si>
  <si>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改明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</si>
  <si>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果酒（含酒精）; 白干酒（中国白酒）;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</si>
  <si>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天青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</si>
  <si>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海口美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筹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</si>
  <si>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</si>
  <si>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t>巨果西西</t>
  </si>
  <si>
    <r>
      <t>时</t>
    </r>
    <r>
      <rPr>
        <sz val="11"/>
        <color theme="1"/>
        <rFont val="ＭＳ Ｐゴシック"/>
        <family val="3"/>
        <charset val="128"/>
        <scheme val="minor"/>
      </rPr>
      <t>尚之路有限公司</t>
    </r>
  </si>
  <si>
    <r>
      <t>白酒; 果酒（含酒精）;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</si>
  <si>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稻臻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</si>
  <si>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金行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</si>
  <si>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高粱酒; 葡萄酒</t>
    </r>
  </si>
  <si>
    <t>臻力量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</si>
  <si>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信生物科技有限公司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</si>
  <si>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</si>
  <si>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云樽清花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</si>
  <si>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</si>
  <si>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LIFE&amp;MANA</t>
  </si>
  <si>
    <t>杭州英欧科技有限公司</t>
  </si>
  <si>
    <r>
      <t>汽酒; 果酒;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米酒; 露酒</t>
    </r>
  </si>
  <si>
    <t>随意蛙</t>
  </si>
  <si>
    <r>
      <t>成都江湖堂企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</si>
  <si>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苹果酒;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水果汽酒; 葡萄酒</t>
    </r>
  </si>
  <si>
    <r>
      <t>懒</t>
    </r>
    <r>
      <rPr>
        <sz val="11"/>
        <color theme="1"/>
        <rFont val="ＭＳ Ｐゴシック"/>
        <family val="3"/>
        <charset val="128"/>
        <scheme val="minor"/>
      </rPr>
      <t>壳</t>
    </r>
    <r>
      <rPr>
        <sz val="11"/>
        <color theme="1"/>
        <rFont val="ＭＳ Ｐゴシック"/>
        <family val="3"/>
        <charset val="134"/>
        <scheme val="minor"/>
      </rPr>
      <t>龟</t>
    </r>
  </si>
  <si>
    <r>
      <t xml:space="preserve">甜果酒; 苹果酒;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果酒（含酒精）;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</si>
  <si>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勇者清花</t>
  </si>
  <si>
    <r>
      <t>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</si>
  <si>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宴之星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</si>
  <si>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</si>
  <si>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玉液歌</t>
  </si>
  <si>
    <r>
      <t>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</si>
  <si>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</si>
  <si>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葡萄酒;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</si>
  <si>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张东</t>
    </r>
    <r>
      <rPr>
        <sz val="11"/>
        <color theme="1"/>
        <rFont val="ＭＳ Ｐゴシック"/>
        <family val="3"/>
        <charset val="128"/>
        <scheme val="minor"/>
      </rPr>
      <t>昇</t>
    </r>
  </si>
  <si>
    <r>
      <t>河南英睿商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</si>
  <si>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</si>
  <si>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天山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</si>
  <si>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</si>
  <si>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久久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</si>
  <si>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东谦</t>
    </r>
    <r>
      <rPr>
        <sz val="11"/>
        <color theme="1"/>
        <rFont val="ＭＳ Ｐゴシック"/>
        <family val="3"/>
        <charset val="128"/>
        <scheme val="minor"/>
      </rPr>
      <t>益品牌管理有限公司</t>
    </r>
  </si>
  <si>
    <r>
      <t>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</si>
  <si>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韵尊清花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</si>
  <si>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白干酒（中国白酒）;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</si>
  <si>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养添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</si>
  <si>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</si>
  <si>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葡萄酒; 米酒; 白酒; 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汽酒; 黄酒</t>
    </r>
  </si>
  <si>
    <t>月樽清花</t>
  </si>
  <si>
    <r>
      <t>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</si>
  <si>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滃江仙</t>
  </si>
  <si>
    <r>
      <t>广州市宝德利制冷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</si>
  <si>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</si>
  <si>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</si>
  <si>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果酒（含酒精）</t>
    </r>
  </si>
  <si>
    <t>望花月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</si>
  <si>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</t>
    </r>
  </si>
  <si>
    <r>
      <t>共言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</si>
  <si>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</t>
    </r>
  </si>
  <si>
    <t>中御谷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</si>
  <si>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</t>
    </r>
  </si>
  <si>
    <t>雨尊清花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</si>
  <si>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露酒</t>
    </r>
  </si>
  <si>
    <t>欧雷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</si>
  <si>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</si>
  <si>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友礼</t>
    </r>
  </si>
  <si>
    <r>
      <t>安徽皖</t>
    </r>
    <r>
      <rPr>
        <sz val="11"/>
        <color theme="1"/>
        <rFont val="ＭＳ Ｐゴシック"/>
        <family val="3"/>
        <charset val="134"/>
        <scheme val="minor"/>
      </rPr>
      <t>乡领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</si>
  <si>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</si>
  <si>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多角</t>
    </r>
    <r>
      <rPr>
        <sz val="11"/>
        <color theme="1"/>
        <rFont val="ＭＳ Ｐゴシック"/>
        <family val="3"/>
        <charset val="134"/>
        <scheme val="minor"/>
      </rPr>
      <t>兽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</si>
  <si>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万能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</si>
  <si>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米酒; 黄酒;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</si>
  <si>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小茶巨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</si>
  <si>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门龙缘兴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</si>
  <si>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葡萄酒;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</si>
  <si>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上海盼酷文化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</si>
  <si>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黄酒;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苹果酒; 白酒; 青稞酒; 果酒（含酒精）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</si>
  <si>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德坤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</si>
  <si>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南燕喜堂酒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</si>
  <si>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烈酒; 葡萄酒; 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</si>
  <si>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河下鞠通</t>
  </si>
  <si>
    <r>
      <t>淮安市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娜保健品有限公司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</si>
  <si>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</si>
  <si>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御池穆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</si>
  <si>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</si>
  <si>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德同信</t>
  </si>
  <si>
    <r>
      <t>河南省德同信商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</si>
  <si>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伏特加酒; 白干酒（中国白酒）; 米酒; 葡萄酒; 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蜂蜜酒</t>
    </r>
  </si>
  <si>
    <t>健之吉</t>
  </si>
  <si>
    <r>
      <t>泰州健汲咨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</si>
  <si>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朗姆酒;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伏特加酒</t>
    </r>
  </si>
  <si>
    <t>甜蜜大施</t>
  </si>
  <si>
    <t>成都蟲鑫生物科技有限公司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</si>
  <si>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开胃酒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</si>
  <si>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盛德坤</t>
    </r>
  </si>
  <si>
    <r>
      <t>白酒; 高粱酒;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</si>
  <si>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</si>
  <si>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</si>
  <si>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予梦台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</si>
  <si>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</si>
  <si>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瀚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</si>
  <si>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瀚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玉空</t>
    </r>
    <r>
      <rPr>
        <sz val="11"/>
        <color theme="1"/>
        <rFont val="ＭＳ Ｐゴシック"/>
        <family val="3"/>
        <charset val="134"/>
        <scheme val="minor"/>
      </rPr>
      <t>间环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</si>
  <si>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</t>
    </r>
  </si>
  <si>
    <t>烈悦</t>
  </si>
  <si>
    <t>周杰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</si>
  <si>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</si>
  <si>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宋信萍</t>
  </si>
  <si>
    <r>
      <t>宋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</si>
  <si>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高粱酒; 白酒; 果酒（含酒精）;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</si>
  <si>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昌春彩</t>
    </r>
  </si>
  <si>
    <r>
      <t>河南毅航教育信息咨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</si>
  <si>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露酒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</si>
  <si>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</si>
  <si>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沭阳</t>
    </r>
    <r>
      <rPr>
        <sz val="11"/>
        <color theme="1"/>
        <rFont val="ＭＳ Ｐゴシック"/>
        <family val="3"/>
        <charset val="134"/>
        <scheme val="minor"/>
      </rPr>
      <t>县润</t>
    </r>
    <r>
      <rPr>
        <sz val="11"/>
        <color theme="1"/>
        <rFont val="ＭＳ Ｐゴシック"/>
        <family val="3"/>
        <charset val="128"/>
        <scheme val="minor"/>
      </rPr>
      <t>欣装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材料厂</t>
    </r>
  </si>
  <si>
    <r>
      <t xml:space="preserve">米酒; 白酒; 薄荷酒;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</si>
  <si>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来福和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</si>
  <si>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烈酒; 清酒; 米酒; 白酒; 果酒; 露酒; 葡萄酒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</si>
  <si>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意中易</t>
    </r>
  </si>
  <si>
    <t>海南海口膳养津生健康管理有限公司</t>
  </si>
  <si>
    <r>
      <t>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</si>
  <si>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沙新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</si>
  <si>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</si>
  <si>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朗本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</si>
  <si>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高粱酒;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</si>
  <si>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</si>
  <si>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</si>
  <si>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天</t>
    </r>
    <r>
      <rPr>
        <sz val="11"/>
        <color theme="1"/>
        <rFont val="ＭＳ Ｐゴシック"/>
        <family val="3"/>
        <charset val="129"/>
        <scheme val="minor"/>
      </rPr>
      <t>崮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</si>
  <si>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>栖霞元融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</si>
  <si>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苹果酒</t>
    </r>
  </si>
  <si>
    <r>
      <t>步</t>
    </r>
    <r>
      <rPr>
        <sz val="11"/>
        <color theme="1"/>
        <rFont val="ＭＳ Ｐゴシック"/>
        <family val="3"/>
        <charset val="129"/>
        <scheme val="minor"/>
      </rPr>
      <t>咚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</si>
  <si>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西同根生物科技有限公司</t>
    </r>
  </si>
  <si>
    <r>
      <t>伏特加酒; 黄酒; 开胃酒; 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</si>
  <si>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POLISIDOU 普莱</t>
    </r>
    <r>
      <rPr>
        <sz val="11"/>
        <color theme="1"/>
        <rFont val="ＭＳ Ｐゴシック"/>
        <family val="3"/>
        <charset val="134"/>
        <scheme val="minor"/>
      </rPr>
      <t>诗顿</t>
    </r>
  </si>
  <si>
    <r>
      <t>泉州桐晶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</si>
  <si>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</si>
  <si>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桓</t>
    </r>
  </si>
  <si>
    <t>河北宜桓食品有限公司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</si>
  <si>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</si>
  <si>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芮丰</t>
  </si>
  <si>
    <r>
      <t>河北匠牌酒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</si>
  <si>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</si>
  <si>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t>芮谷</t>
  </si>
  <si>
    <r>
      <t>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</si>
  <si>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洁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</si>
  <si>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梦晗</t>
    </r>
  </si>
  <si>
    <r>
      <t>甜酒; 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</si>
  <si>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</si>
  <si>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河北参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</si>
  <si>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</si>
  <si>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醉知月</t>
  </si>
  <si>
    <t>姜金富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</si>
  <si>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</si>
  <si>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仝一</t>
  </si>
  <si>
    <t>河南中南仝一珠宝有限公司</t>
  </si>
  <si>
    <r>
      <t>青稞酒;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</si>
  <si>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致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</si>
  <si>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致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（北京）科技有限公司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</si>
  <si>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</si>
  <si>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尚万家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</si>
  <si>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万家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超市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尚万家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生活超市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</si>
  <si>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米酒;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</si>
  <si>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穆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</si>
  <si>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深圳万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</si>
  <si>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</si>
  <si>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鲜汇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</si>
  <si>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果酒; 白酒</t>
    </r>
  </si>
  <si>
    <r>
      <t>笑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林</t>
    </r>
  </si>
  <si>
    <t>辛园园</t>
  </si>
  <si>
    <r>
      <t xml:space="preserve">伏特加酒; 威士忌;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</t>
    </r>
  </si>
  <si>
    <r>
      <t>刘益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</si>
  <si>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海南益民沉香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</si>
  <si>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草本型利口酒;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</si>
  <si>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洁</t>
    </r>
    <r>
      <rPr>
        <sz val="11"/>
        <color theme="1"/>
        <rFont val="ＭＳ Ｐゴシック"/>
        <family val="3"/>
        <charset val="128"/>
        <scheme val="minor"/>
      </rPr>
      <t>映</t>
    </r>
  </si>
  <si>
    <r>
      <t>烈酒;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果酒; 青稞酒</t>
    </r>
  </si>
  <si>
    <t>谷芮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</si>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</sst>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137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1927</v>
      </c>
      <c r="D2" s="10">
        <v>45729</v>
      </c>
      <c r="E2" s="11" t="str">
        <f>+HYPERLINK("http://trademark.i-assist.jp/data/china/image_1927th/13314955.pdf","13314955")</f>
        <v>13314955</v>
      </c>
      <c r="F2" s="9" t="s">
        <v>242</v>
      </c>
      <c r="G2" s="9" t="s">
        <v>243</v>
      </c>
      <c r="H2" s="9" t="s">
        <v>244</v>
      </c>
      <c r="I2" s="10">
        <v>41547</v>
      </c>
    </row>
    <row r="3" spans="1:9" x14ac:dyDescent="0.15">
      <c r="A3" s="9">
        <v>2</v>
      </c>
      <c r="B3" s="9" t="s">
        <v>9</v>
      </c>
      <c r="C3" s="9">
        <v>1927</v>
      </c>
      <c r="D3" s="10">
        <v>45729</v>
      </c>
      <c r="E3" s="11" t="str">
        <f>+HYPERLINK("http://trademark.i-assist.jp/data/china/image_1927th/52520703.pdf","52520703")</f>
        <v>52520703</v>
      </c>
      <c r="F3" s="9" t="s">
        <v>245</v>
      </c>
      <c r="G3" s="9" t="s">
        <v>246</v>
      </c>
      <c r="H3" s="9" t="s">
        <v>247</v>
      </c>
      <c r="I3" s="10">
        <v>44193</v>
      </c>
    </row>
    <row r="4" spans="1:9" x14ac:dyDescent="0.15">
      <c r="A4" s="9">
        <v>3</v>
      </c>
      <c r="B4" s="9" t="s">
        <v>9</v>
      </c>
      <c r="C4" s="9">
        <v>1927</v>
      </c>
      <c r="D4" s="10">
        <v>45729</v>
      </c>
      <c r="E4" s="11" t="str">
        <f>+HYPERLINK("http://trademark.i-assist.jp/data/china/image_1927th/54000610.pdf","54000610")</f>
        <v>54000610</v>
      </c>
      <c r="F4" s="9" t="s">
        <v>248</v>
      </c>
      <c r="G4" s="12" t="s">
        <v>249</v>
      </c>
      <c r="H4" s="9" t="s">
        <v>250</v>
      </c>
      <c r="I4" s="10">
        <v>44258</v>
      </c>
    </row>
    <row r="5" spans="1:9" x14ac:dyDescent="0.15">
      <c r="A5" s="9">
        <v>4</v>
      </c>
      <c r="B5" s="9" t="s">
        <v>9</v>
      </c>
      <c r="C5" s="9">
        <v>1927</v>
      </c>
      <c r="D5" s="10">
        <v>45729</v>
      </c>
      <c r="E5" s="11" t="str">
        <f>+HYPERLINK("http://trademark.i-assist.jp/data/china/image_1927th/54873579.pdf","54873579")</f>
        <v>54873579</v>
      </c>
      <c r="F5" s="9" t="s">
        <v>251</v>
      </c>
      <c r="G5" s="9" t="s">
        <v>252</v>
      </c>
      <c r="H5" s="9" t="s">
        <v>253</v>
      </c>
      <c r="I5" s="10">
        <v>44287</v>
      </c>
    </row>
    <row r="6" spans="1:9" x14ac:dyDescent="0.15">
      <c r="A6" s="9">
        <v>5</v>
      </c>
      <c r="B6" s="9" t="s">
        <v>9</v>
      </c>
      <c r="C6" s="9">
        <v>1927</v>
      </c>
      <c r="D6" s="10">
        <v>45729</v>
      </c>
      <c r="E6" s="11" t="str">
        <f>+HYPERLINK("http://trademark.i-assist.jp/data/china/image_1927th/55455100.pdf","55455100")</f>
        <v>55455100</v>
      </c>
      <c r="F6" s="9" t="s">
        <v>254</v>
      </c>
      <c r="G6" s="9" t="s">
        <v>255</v>
      </c>
      <c r="H6" s="9" t="s">
        <v>256</v>
      </c>
      <c r="I6" s="10">
        <v>44308</v>
      </c>
    </row>
    <row r="7" spans="1:9" x14ac:dyDescent="0.15">
      <c r="A7" s="9">
        <v>6</v>
      </c>
      <c r="B7" s="9" t="s">
        <v>9</v>
      </c>
      <c r="C7" s="9">
        <v>1927</v>
      </c>
      <c r="D7" s="10">
        <v>45729</v>
      </c>
      <c r="E7" s="11" t="str">
        <f>+HYPERLINK("http://trademark.i-assist.jp/data/china/image_1927th/55842649.pdf","55842649")</f>
        <v>55842649</v>
      </c>
      <c r="F7" s="9" t="s">
        <v>257</v>
      </c>
      <c r="G7" s="9" t="s">
        <v>258</v>
      </c>
      <c r="H7" s="9" t="s">
        <v>259</v>
      </c>
      <c r="I7" s="10">
        <v>44323</v>
      </c>
    </row>
    <row r="8" spans="1:9" x14ac:dyDescent="0.15">
      <c r="A8" s="9">
        <v>7</v>
      </c>
      <c r="B8" s="9" t="s">
        <v>9</v>
      </c>
      <c r="C8" s="9">
        <v>1927</v>
      </c>
      <c r="D8" s="10">
        <v>45729</v>
      </c>
      <c r="E8" s="11" t="str">
        <f>+HYPERLINK("http://trademark.i-assist.jp/data/china/image_1927th/56233877.pdf","56233877")</f>
        <v>56233877</v>
      </c>
      <c r="F8" s="9" t="s">
        <v>260</v>
      </c>
      <c r="G8" s="12" t="s">
        <v>261</v>
      </c>
      <c r="H8" s="12" t="s">
        <v>262</v>
      </c>
      <c r="I8" s="10">
        <v>44336</v>
      </c>
    </row>
    <row r="9" spans="1:9" x14ac:dyDescent="0.15">
      <c r="A9" s="9">
        <v>8</v>
      </c>
      <c r="B9" s="9" t="s">
        <v>9</v>
      </c>
      <c r="C9" s="9">
        <v>1927</v>
      </c>
      <c r="D9" s="10">
        <v>45729</v>
      </c>
      <c r="E9" s="11" t="str">
        <f>+HYPERLINK("http://trademark.i-assist.jp/data/china/image_1927th/56423702.pdf","56423702")</f>
        <v>56423702</v>
      </c>
      <c r="F9" s="9" t="s">
        <v>263</v>
      </c>
      <c r="G9" s="9" t="s">
        <v>264</v>
      </c>
      <c r="H9" s="12" t="s">
        <v>265</v>
      </c>
      <c r="I9" s="10">
        <v>44343</v>
      </c>
    </row>
    <row r="10" spans="1:9" x14ac:dyDescent="0.15">
      <c r="A10" s="9">
        <v>9</v>
      </c>
      <c r="B10" s="9" t="s">
        <v>9</v>
      </c>
      <c r="C10" s="9">
        <v>1927</v>
      </c>
      <c r="D10" s="10">
        <v>45729</v>
      </c>
      <c r="E10" s="11" t="str">
        <f>+HYPERLINK("http://trademark.i-assist.jp/data/china/image_1927th/56840013.pdf","56840013")</f>
        <v>56840013</v>
      </c>
      <c r="F10" s="12" t="s">
        <v>266</v>
      </c>
      <c r="G10" s="9" t="s">
        <v>267</v>
      </c>
      <c r="H10" s="9" t="s">
        <v>268</v>
      </c>
      <c r="I10" s="10">
        <v>44357</v>
      </c>
    </row>
    <row r="11" spans="1:9" x14ac:dyDescent="0.15">
      <c r="A11" s="9">
        <v>10</v>
      </c>
      <c r="B11" s="9" t="s">
        <v>9</v>
      </c>
      <c r="C11" s="9">
        <v>1927</v>
      </c>
      <c r="D11" s="10">
        <v>45729</v>
      </c>
      <c r="E11" s="11" t="str">
        <f>+HYPERLINK("http://trademark.i-assist.jp/data/china/image_1927th/56902597.pdf","56902597")</f>
        <v>56902597</v>
      </c>
      <c r="F11" s="9" t="s">
        <v>269</v>
      </c>
      <c r="G11" s="9" t="s">
        <v>270</v>
      </c>
      <c r="H11" s="9" t="s">
        <v>271</v>
      </c>
      <c r="I11" s="10">
        <v>44362</v>
      </c>
    </row>
    <row r="12" spans="1:9" x14ac:dyDescent="0.15">
      <c r="A12" s="9">
        <v>11</v>
      </c>
      <c r="B12" s="9" t="s">
        <v>9</v>
      </c>
      <c r="C12" s="9">
        <v>1927</v>
      </c>
      <c r="D12" s="10">
        <v>45729</v>
      </c>
      <c r="E12" s="11" t="str">
        <f>+HYPERLINK("http://trademark.i-assist.jp/data/china/image_1927th/57248909.pdf","57248909")</f>
        <v>57248909</v>
      </c>
      <c r="F12" s="9" t="s">
        <v>272</v>
      </c>
      <c r="G12" s="9" t="s">
        <v>273</v>
      </c>
      <c r="H12" s="9" t="s">
        <v>274</v>
      </c>
      <c r="I12" s="10">
        <v>44375</v>
      </c>
    </row>
    <row r="13" spans="1:9" x14ac:dyDescent="0.15">
      <c r="A13" s="9">
        <v>12</v>
      </c>
      <c r="B13" s="9" t="s">
        <v>9</v>
      </c>
      <c r="C13" s="9">
        <v>1927</v>
      </c>
      <c r="D13" s="10">
        <v>45729</v>
      </c>
      <c r="E13" s="11" t="str">
        <f>+HYPERLINK("http://trademark.i-assist.jp/data/china/image_1927th/57440618.pdf","57440618")</f>
        <v>57440618</v>
      </c>
      <c r="F13" s="12" t="s">
        <v>275</v>
      </c>
      <c r="G13" s="12" t="s">
        <v>276</v>
      </c>
      <c r="H13" s="9" t="s">
        <v>277</v>
      </c>
      <c r="I13" s="10">
        <v>44382</v>
      </c>
    </row>
    <row r="14" spans="1:9" x14ac:dyDescent="0.15">
      <c r="A14" s="9">
        <v>13</v>
      </c>
      <c r="B14" s="9" t="s">
        <v>9</v>
      </c>
      <c r="C14" s="9">
        <v>1927</v>
      </c>
      <c r="D14" s="10">
        <v>45729</v>
      </c>
      <c r="E14" s="11" t="str">
        <f>+HYPERLINK("http://trademark.i-assist.jp/data/china/image_1927th/58019034.pdf","58019034")</f>
        <v>58019034</v>
      </c>
      <c r="F14" s="9" t="s">
        <v>278</v>
      </c>
      <c r="G14" s="12" t="s">
        <v>279</v>
      </c>
      <c r="H14" s="9" t="s">
        <v>280</v>
      </c>
      <c r="I14" s="10">
        <v>44404</v>
      </c>
    </row>
    <row r="15" spans="1:9" x14ac:dyDescent="0.15">
      <c r="A15" s="9">
        <v>14</v>
      </c>
      <c r="B15" s="9" t="s">
        <v>9</v>
      </c>
      <c r="C15" s="9">
        <v>1927</v>
      </c>
      <c r="D15" s="10">
        <v>45729</v>
      </c>
      <c r="E15" s="11" t="str">
        <f>+HYPERLINK("http://trademark.i-assist.jp/data/china/image_1927th/59049507.pdf","59049507")</f>
        <v>59049507</v>
      </c>
      <c r="F15" s="9" t="s">
        <v>281</v>
      </c>
      <c r="G15" s="9" t="s">
        <v>282</v>
      </c>
      <c r="H15" s="9" t="s">
        <v>283</v>
      </c>
      <c r="I15" s="10">
        <v>44446</v>
      </c>
    </row>
    <row r="16" spans="1:9" x14ac:dyDescent="0.15">
      <c r="A16" s="9">
        <v>15</v>
      </c>
      <c r="B16" s="9" t="s">
        <v>9</v>
      </c>
      <c r="C16" s="9">
        <v>1927</v>
      </c>
      <c r="D16" s="10">
        <v>45729</v>
      </c>
      <c r="E16" s="11" t="str">
        <f>+HYPERLINK("http://trademark.i-assist.jp/data/china/image_1927th/59052025.pdf","59052025")</f>
        <v>59052025</v>
      </c>
      <c r="F16" s="9" t="s">
        <v>284</v>
      </c>
      <c r="G16" s="9" t="s">
        <v>285</v>
      </c>
      <c r="H16" s="9" t="s">
        <v>286</v>
      </c>
      <c r="I16" s="10">
        <v>44446</v>
      </c>
    </row>
    <row r="17" spans="1:9" x14ac:dyDescent="0.15">
      <c r="A17" s="9">
        <v>16</v>
      </c>
      <c r="B17" s="9" t="s">
        <v>9</v>
      </c>
      <c r="C17" s="9">
        <v>1927</v>
      </c>
      <c r="D17" s="10">
        <v>45729</v>
      </c>
      <c r="E17" s="11" t="str">
        <f>+HYPERLINK("http://trademark.i-assist.jp/data/china/image_1927th/59067636.pdf","59067636")</f>
        <v>59067636</v>
      </c>
      <c r="F17" s="9" t="s">
        <v>287</v>
      </c>
      <c r="G17" s="9" t="s">
        <v>285</v>
      </c>
      <c r="H17" s="9" t="s">
        <v>286</v>
      </c>
      <c r="I17" s="10">
        <v>44446</v>
      </c>
    </row>
    <row r="18" spans="1:9" x14ac:dyDescent="0.15">
      <c r="A18" s="9">
        <v>17</v>
      </c>
      <c r="B18" s="9" t="s">
        <v>9</v>
      </c>
      <c r="C18" s="9">
        <v>1927</v>
      </c>
      <c r="D18" s="10">
        <v>45729</v>
      </c>
      <c r="E18" s="11" t="str">
        <f>+HYPERLINK("http://trademark.i-assist.jp/data/china/image_1927th/59209661.pdf","59209661")</f>
        <v>59209661</v>
      </c>
      <c r="F18" s="9" t="s">
        <v>288</v>
      </c>
      <c r="G18" s="9" t="s">
        <v>289</v>
      </c>
      <c r="H18" s="9" t="s">
        <v>290</v>
      </c>
      <c r="I18" s="10">
        <v>44453</v>
      </c>
    </row>
    <row r="19" spans="1:9" x14ac:dyDescent="0.15">
      <c r="A19" s="9">
        <v>18</v>
      </c>
      <c r="B19" s="9" t="s">
        <v>9</v>
      </c>
      <c r="C19" s="9">
        <v>1927</v>
      </c>
      <c r="D19" s="10">
        <v>45729</v>
      </c>
      <c r="E19" s="11" t="str">
        <f>+HYPERLINK("http://trademark.i-assist.jp/data/china/image_1927th/59613701.pdf","59613701")</f>
        <v>59613701</v>
      </c>
      <c r="F19" s="9" t="s">
        <v>291</v>
      </c>
      <c r="G19" s="12" t="s">
        <v>292</v>
      </c>
      <c r="H19" s="9" t="s">
        <v>293</v>
      </c>
      <c r="I19" s="10">
        <v>44469</v>
      </c>
    </row>
    <row r="20" spans="1:9" x14ac:dyDescent="0.15">
      <c r="A20" s="9">
        <v>19</v>
      </c>
      <c r="B20" s="9" t="s">
        <v>9</v>
      </c>
      <c r="C20" s="9">
        <v>1927</v>
      </c>
      <c r="D20" s="10">
        <v>45729</v>
      </c>
      <c r="E20" s="11" t="str">
        <f>+HYPERLINK("http://trademark.i-assist.jp/data/china/image_1927th/59643640.pdf","59643640")</f>
        <v>59643640</v>
      </c>
      <c r="F20" s="12" t="s">
        <v>294</v>
      </c>
      <c r="G20" s="12" t="s">
        <v>295</v>
      </c>
      <c r="H20" s="9" t="s">
        <v>296</v>
      </c>
      <c r="I20" s="10">
        <v>44477</v>
      </c>
    </row>
    <row r="21" spans="1:9" x14ac:dyDescent="0.15">
      <c r="A21" s="9">
        <v>20</v>
      </c>
      <c r="B21" s="9" t="s">
        <v>9</v>
      </c>
      <c r="C21" s="9">
        <v>1927</v>
      </c>
      <c r="D21" s="10">
        <v>45729</v>
      </c>
      <c r="E21" s="11" t="str">
        <f>+HYPERLINK("http://trademark.i-assist.jp/data/china/image_1927th/59651484.pdf","59651484")</f>
        <v>59651484</v>
      </c>
      <c r="F21" s="12" t="s">
        <v>294</v>
      </c>
      <c r="G21" s="12" t="s">
        <v>295</v>
      </c>
      <c r="H21" s="9" t="s">
        <v>296</v>
      </c>
      <c r="I21" s="10">
        <v>44477</v>
      </c>
    </row>
    <row r="22" spans="1:9" x14ac:dyDescent="0.15">
      <c r="A22" s="9">
        <v>21</v>
      </c>
      <c r="B22" s="9" t="s">
        <v>9</v>
      </c>
      <c r="C22" s="9">
        <v>1927</v>
      </c>
      <c r="D22" s="10">
        <v>45729</v>
      </c>
      <c r="E22" s="11" t="str">
        <f>+HYPERLINK("http://trademark.i-assist.jp/data/china/image_1927th/60210963.pdf","60210963")</f>
        <v>60210963</v>
      </c>
      <c r="F22" s="9" t="s">
        <v>297</v>
      </c>
      <c r="G22" s="12" t="s">
        <v>298</v>
      </c>
      <c r="H22" s="9" t="s">
        <v>299</v>
      </c>
      <c r="I22" s="10">
        <v>44498</v>
      </c>
    </row>
    <row r="23" spans="1:9" x14ac:dyDescent="0.15">
      <c r="A23" s="9">
        <v>22</v>
      </c>
      <c r="B23" s="9" t="s">
        <v>9</v>
      </c>
      <c r="C23" s="9">
        <v>1927</v>
      </c>
      <c r="D23" s="10">
        <v>45729</v>
      </c>
      <c r="E23" s="11" t="str">
        <f>+HYPERLINK("http://trademark.i-assist.jp/data/china/image_1927th/60443513.pdf","60443513")</f>
        <v>60443513</v>
      </c>
      <c r="F23" s="9" t="s">
        <v>300</v>
      </c>
      <c r="G23" s="9" t="s">
        <v>301</v>
      </c>
      <c r="H23" s="9" t="s">
        <v>302</v>
      </c>
      <c r="I23" s="10">
        <v>44510</v>
      </c>
    </row>
    <row r="24" spans="1:9" x14ac:dyDescent="0.15">
      <c r="A24" s="9">
        <v>23</v>
      </c>
      <c r="B24" s="9" t="s">
        <v>9</v>
      </c>
      <c r="C24" s="9">
        <v>1927</v>
      </c>
      <c r="D24" s="10">
        <v>45729</v>
      </c>
      <c r="E24" s="11" t="str">
        <f>+HYPERLINK("http://trademark.i-assist.jp/data/china/image_1927th/61709313.pdf","61709313")</f>
        <v>61709313</v>
      </c>
      <c r="F24" s="9" t="s">
        <v>303</v>
      </c>
      <c r="G24" s="9" t="s">
        <v>77</v>
      </c>
      <c r="H24" s="9" t="s">
        <v>78</v>
      </c>
      <c r="I24" s="10">
        <v>44557</v>
      </c>
    </row>
    <row r="25" spans="1:9" x14ac:dyDescent="0.15">
      <c r="A25" s="9">
        <v>24</v>
      </c>
      <c r="B25" s="9" t="s">
        <v>9</v>
      </c>
      <c r="C25" s="9">
        <v>1927</v>
      </c>
      <c r="D25" s="10">
        <v>45729</v>
      </c>
      <c r="E25" s="11" t="str">
        <f>+HYPERLINK("http://trademark.i-assist.jp/data/china/image_1927th/61909614.pdf","61909614")</f>
        <v>61909614</v>
      </c>
      <c r="F25" s="9" t="s">
        <v>304</v>
      </c>
      <c r="G25" s="9" t="s">
        <v>305</v>
      </c>
      <c r="H25" s="9" t="s">
        <v>306</v>
      </c>
      <c r="I25" s="10">
        <v>44565</v>
      </c>
    </row>
    <row r="26" spans="1:9" x14ac:dyDescent="0.15">
      <c r="A26" s="9">
        <v>25</v>
      </c>
      <c r="B26" s="9" t="s">
        <v>9</v>
      </c>
      <c r="C26" s="9">
        <v>1927</v>
      </c>
      <c r="D26" s="10">
        <v>45729</v>
      </c>
      <c r="E26" s="11" t="str">
        <f>+HYPERLINK("http://trademark.i-assist.jp/data/china/image_1927th/62051488.pdf","62051488")</f>
        <v>62051488</v>
      </c>
      <c r="F26" s="9" t="s">
        <v>307</v>
      </c>
      <c r="G26" s="9" t="s">
        <v>165</v>
      </c>
      <c r="H26" s="9" t="s">
        <v>308</v>
      </c>
      <c r="I26" s="10">
        <v>44571</v>
      </c>
    </row>
    <row r="27" spans="1:9" x14ac:dyDescent="0.15">
      <c r="A27" s="9">
        <v>26</v>
      </c>
      <c r="B27" s="9" t="s">
        <v>9</v>
      </c>
      <c r="C27" s="9">
        <v>1927</v>
      </c>
      <c r="D27" s="10">
        <v>45729</v>
      </c>
      <c r="E27" s="11" t="str">
        <f>+HYPERLINK("http://trademark.i-assist.jp/data/china/image_1927th/62446393.pdf","62446393")</f>
        <v>62446393</v>
      </c>
      <c r="F27" s="12" t="s">
        <v>309</v>
      </c>
      <c r="G27" s="12" t="s">
        <v>310</v>
      </c>
      <c r="H27" s="12" t="s">
        <v>311</v>
      </c>
      <c r="I27" s="10">
        <v>44589</v>
      </c>
    </row>
    <row r="28" spans="1:9" x14ac:dyDescent="0.15">
      <c r="A28" s="9">
        <v>27</v>
      </c>
      <c r="B28" s="9" t="s">
        <v>9</v>
      </c>
      <c r="C28" s="9">
        <v>1927</v>
      </c>
      <c r="D28" s="10">
        <v>45729</v>
      </c>
      <c r="E28" s="11" t="str">
        <f>+HYPERLINK("http://trademark.i-assist.jp/data/china/image_1927th/62463391.pdf","62463391")</f>
        <v>62463391</v>
      </c>
      <c r="F28" s="9" t="s">
        <v>312</v>
      </c>
      <c r="G28" s="9" t="s">
        <v>313</v>
      </c>
      <c r="H28" s="9" t="s">
        <v>314</v>
      </c>
      <c r="I28" s="10">
        <v>44590</v>
      </c>
    </row>
    <row r="29" spans="1:9" x14ac:dyDescent="0.15">
      <c r="A29" s="9">
        <v>28</v>
      </c>
      <c r="B29" s="9" t="s">
        <v>9</v>
      </c>
      <c r="C29" s="9">
        <v>1927</v>
      </c>
      <c r="D29" s="10">
        <v>45729</v>
      </c>
      <c r="E29" s="11" t="str">
        <f>+HYPERLINK("http://trademark.i-assist.jp/data/china/image_1927th/62468051.pdf","62468051")</f>
        <v>62468051</v>
      </c>
      <c r="F29" s="9" t="s">
        <v>312</v>
      </c>
      <c r="G29" s="9" t="s">
        <v>313</v>
      </c>
      <c r="H29" s="9" t="s">
        <v>315</v>
      </c>
      <c r="I29" s="10">
        <v>44590</v>
      </c>
    </row>
    <row r="30" spans="1:9" x14ac:dyDescent="0.15">
      <c r="A30" s="9">
        <v>29</v>
      </c>
      <c r="B30" s="9" t="s">
        <v>9</v>
      </c>
      <c r="C30" s="9">
        <v>1927</v>
      </c>
      <c r="D30" s="10">
        <v>45729</v>
      </c>
      <c r="E30" s="11" t="str">
        <f>+HYPERLINK("http://trademark.i-assist.jp/data/china/image_1927th/62469368.pdf","62469368")</f>
        <v>62469368</v>
      </c>
      <c r="F30" s="9" t="s">
        <v>312</v>
      </c>
      <c r="G30" s="9" t="s">
        <v>313</v>
      </c>
      <c r="H30" s="9" t="s">
        <v>316</v>
      </c>
      <c r="I30" s="10">
        <v>44590</v>
      </c>
    </row>
    <row r="31" spans="1:9" x14ac:dyDescent="0.15">
      <c r="A31" s="9">
        <v>30</v>
      </c>
      <c r="B31" s="9" t="s">
        <v>9</v>
      </c>
      <c r="C31" s="9">
        <v>1927</v>
      </c>
      <c r="D31" s="10">
        <v>45729</v>
      </c>
      <c r="E31" s="11" t="str">
        <f>+HYPERLINK("http://trademark.i-assist.jp/data/china/image_1927th/62948137.pdf","62948137")</f>
        <v>62948137</v>
      </c>
      <c r="F31" s="9" t="s">
        <v>317</v>
      </c>
      <c r="G31" s="9" t="s">
        <v>318</v>
      </c>
      <c r="H31" s="9" t="s">
        <v>319</v>
      </c>
      <c r="I31" s="10">
        <v>44621</v>
      </c>
    </row>
    <row r="32" spans="1:9" x14ac:dyDescent="0.15">
      <c r="A32" s="9">
        <v>31</v>
      </c>
      <c r="B32" s="9" t="s">
        <v>9</v>
      </c>
      <c r="C32" s="9">
        <v>1927</v>
      </c>
      <c r="D32" s="10">
        <v>45729</v>
      </c>
      <c r="E32" s="11" t="str">
        <f>+HYPERLINK("http://trademark.i-assist.jp/data/china/image_1927th/63117035.pdf","63117035")</f>
        <v>63117035</v>
      </c>
      <c r="F32" s="9" t="s">
        <v>320</v>
      </c>
      <c r="G32" s="9" t="s">
        <v>321</v>
      </c>
      <c r="H32" s="9" t="s">
        <v>322</v>
      </c>
      <c r="I32" s="10">
        <v>44628</v>
      </c>
    </row>
    <row r="33" spans="1:9" x14ac:dyDescent="0.15">
      <c r="A33" s="9">
        <v>32</v>
      </c>
      <c r="B33" s="9" t="s">
        <v>9</v>
      </c>
      <c r="C33" s="9">
        <v>1927</v>
      </c>
      <c r="D33" s="10">
        <v>45729</v>
      </c>
      <c r="E33" s="11" t="str">
        <f>+HYPERLINK("http://trademark.i-assist.jp/data/china/image_1927th/63230101.pdf","63230101")</f>
        <v>63230101</v>
      </c>
      <c r="F33" s="9" t="s">
        <v>323</v>
      </c>
      <c r="G33" s="9" t="s">
        <v>324</v>
      </c>
      <c r="H33" s="9" t="s">
        <v>325</v>
      </c>
      <c r="I33" s="10">
        <v>44634</v>
      </c>
    </row>
    <row r="34" spans="1:9" x14ac:dyDescent="0.15">
      <c r="A34" s="9">
        <v>33</v>
      </c>
      <c r="B34" s="9" t="s">
        <v>9</v>
      </c>
      <c r="C34" s="9">
        <v>1927</v>
      </c>
      <c r="D34" s="10">
        <v>45729</v>
      </c>
      <c r="E34" s="11" t="str">
        <f>+HYPERLINK("http://trademark.i-assist.jp/data/china/image_1927th/63329279.pdf","63329279")</f>
        <v>63329279</v>
      </c>
      <c r="F34" s="9" t="s">
        <v>326</v>
      </c>
      <c r="G34" s="9" t="s">
        <v>327</v>
      </c>
      <c r="H34" s="12" t="s">
        <v>328</v>
      </c>
      <c r="I34" s="10">
        <v>44637</v>
      </c>
    </row>
    <row r="35" spans="1:9" x14ac:dyDescent="0.15">
      <c r="A35" s="9">
        <v>34</v>
      </c>
      <c r="B35" s="9" t="s">
        <v>9</v>
      </c>
      <c r="C35" s="9">
        <v>1927</v>
      </c>
      <c r="D35" s="10">
        <v>45729</v>
      </c>
      <c r="E35" s="11" t="str">
        <f>+HYPERLINK("http://trademark.i-assist.jp/data/china/image_1927th/63368622.pdf","63368622")</f>
        <v>63368622</v>
      </c>
      <c r="F35" s="9" t="s">
        <v>329</v>
      </c>
      <c r="G35" s="9" t="s">
        <v>330</v>
      </c>
      <c r="H35" s="9" t="s">
        <v>331</v>
      </c>
      <c r="I35" s="10">
        <v>44638</v>
      </c>
    </row>
    <row r="36" spans="1:9" x14ac:dyDescent="0.15">
      <c r="A36" s="9">
        <v>35</v>
      </c>
      <c r="B36" s="9" t="s">
        <v>9</v>
      </c>
      <c r="C36" s="9">
        <v>1927</v>
      </c>
      <c r="D36" s="10">
        <v>45729</v>
      </c>
      <c r="E36" s="11" t="str">
        <f>+HYPERLINK("http://trademark.i-assist.jp/data/china/image_1927th/63400878.pdf","63400878")</f>
        <v>63400878</v>
      </c>
      <c r="F36" s="9" t="s">
        <v>332</v>
      </c>
      <c r="G36" s="9" t="s">
        <v>333</v>
      </c>
      <c r="H36" s="12" t="s">
        <v>334</v>
      </c>
      <c r="I36" s="10">
        <v>44641</v>
      </c>
    </row>
    <row r="37" spans="1:9" x14ac:dyDescent="0.15">
      <c r="A37" s="9">
        <v>36</v>
      </c>
      <c r="B37" s="9" t="s">
        <v>9</v>
      </c>
      <c r="C37" s="9">
        <v>1927</v>
      </c>
      <c r="D37" s="10">
        <v>45729</v>
      </c>
      <c r="E37" s="11" t="str">
        <f>+HYPERLINK("http://trademark.i-assist.jp/data/china/image_1927th/64232977.pdf","64232977")</f>
        <v>64232977</v>
      </c>
      <c r="F37" s="9" t="s">
        <v>335</v>
      </c>
      <c r="G37" s="9" t="s">
        <v>336</v>
      </c>
      <c r="H37" s="9" t="s">
        <v>337</v>
      </c>
      <c r="I37" s="10">
        <v>44676</v>
      </c>
    </row>
    <row r="38" spans="1:9" x14ac:dyDescent="0.15">
      <c r="A38" s="9">
        <v>37</v>
      </c>
      <c r="B38" s="9" t="s">
        <v>9</v>
      </c>
      <c r="C38" s="9">
        <v>1927</v>
      </c>
      <c r="D38" s="10">
        <v>45729</v>
      </c>
      <c r="E38" s="11" t="str">
        <f>+HYPERLINK("http://trademark.i-assist.jp/data/china/image_1927th/64279509.pdf","64279509")</f>
        <v>64279509</v>
      </c>
      <c r="F38" s="9" t="s">
        <v>338</v>
      </c>
      <c r="G38" s="9" t="s">
        <v>339</v>
      </c>
      <c r="H38" s="12" t="s">
        <v>340</v>
      </c>
      <c r="I38" s="10">
        <v>44678</v>
      </c>
    </row>
    <row r="39" spans="1:9" x14ac:dyDescent="0.15">
      <c r="A39" s="9">
        <v>38</v>
      </c>
      <c r="B39" s="9" t="s">
        <v>9</v>
      </c>
      <c r="C39" s="9">
        <v>1927</v>
      </c>
      <c r="D39" s="10">
        <v>45729</v>
      </c>
      <c r="E39" s="11" t="str">
        <f>+HYPERLINK("http://trademark.i-assist.jp/data/china/image_1927th/64443349.pdf","64443349")</f>
        <v>64443349</v>
      </c>
      <c r="F39" s="12" t="s">
        <v>341</v>
      </c>
      <c r="G39" s="9" t="s">
        <v>51</v>
      </c>
      <c r="H39" s="9" t="s">
        <v>342</v>
      </c>
      <c r="I39" s="10">
        <v>44687</v>
      </c>
    </row>
    <row r="40" spans="1:9" x14ac:dyDescent="0.15">
      <c r="A40" s="9">
        <v>39</v>
      </c>
      <c r="B40" s="9" t="s">
        <v>9</v>
      </c>
      <c r="C40" s="9">
        <v>1927</v>
      </c>
      <c r="D40" s="10">
        <v>45729</v>
      </c>
      <c r="E40" s="11" t="str">
        <f>+HYPERLINK("http://trademark.i-assist.jp/data/china/image_1927th/64667917.pdf","64667917")</f>
        <v>64667917</v>
      </c>
      <c r="F40" s="9" t="s">
        <v>343</v>
      </c>
      <c r="G40" s="9" t="s">
        <v>344</v>
      </c>
      <c r="H40" s="9" t="s">
        <v>345</v>
      </c>
      <c r="I40" s="10">
        <v>44698</v>
      </c>
    </row>
    <row r="41" spans="1:9" x14ac:dyDescent="0.15">
      <c r="A41" s="9">
        <v>40</v>
      </c>
      <c r="B41" s="9" t="s">
        <v>9</v>
      </c>
      <c r="C41" s="9">
        <v>1927</v>
      </c>
      <c r="D41" s="10">
        <v>45729</v>
      </c>
      <c r="E41" s="11" t="str">
        <f>+HYPERLINK("http://trademark.i-assist.jp/data/china/image_1927th/64801233.pdf","64801233")</f>
        <v>64801233</v>
      </c>
      <c r="F41" s="9" t="s">
        <v>346</v>
      </c>
      <c r="G41" s="9" t="s">
        <v>347</v>
      </c>
      <c r="H41" s="9" t="s">
        <v>348</v>
      </c>
      <c r="I41" s="10">
        <v>44704</v>
      </c>
    </row>
    <row r="42" spans="1:9" x14ac:dyDescent="0.15">
      <c r="A42" s="9">
        <v>41</v>
      </c>
      <c r="B42" s="9" t="s">
        <v>9</v>
      </c>
      <c r="C42" s="9">
        <v>1927</v>
      </c>
      <c r="D42" s="10">
        <v>45729</v>
      </c>
      <c r="E42" s="11" t="str">
        <f>+HYPERLINK("http://trademark.i-assist.jp/data/china/image_1927th/64933602.pdf","64933602")</f>
        <v>64933602</v>
      </c>
      <c r="F42" s="9" t="s">
        <v>349</v>
      </c>
      <c r="G42" s="12" t="s">
        <v>350</v>
      </c>
      <c r="H42" s="9" t="s">
        <v>351</v>
      </c>
      <c r="I42" s="10">
        <v>44708</v>
      </c>
    </row>
    <row r="43" spans="1:9" x14ac:dyDescent="0.15">
      <c r="A43" s="9">
        <v>42</v>
      </c>
      <c r="B43" s="9" t="s">
        <v>9</v>
      </c>
      <c r="C43" s="9">
        <v>1927</v>
      </c>
      <c r="D43" s="10">
        <v>45729</v>
      </c>
      <c r="E43" s="11" t="str">
        <f>+HYPERLINK("http://trademark.i-assist.jp/data/china/image_1927th/65094345.pdf","65094345")</f>
        <v>65094345</v>
      </c>
      <c r="F43" s="9" t="s">
        <v>352</v>
      </c>
      <c r="G43" s="9" t="s">
        <v>353</v>
      </c>
      <c r="H43" s="9" t="s">
        <v>354</v>
      </c>
      <c r="I43" s="10">
        <v>44718</v>
      </c>
    </row>
    <row r="44" spans="1:9" x14ac:dyDescent="0.15">
      <c r="A44" s="9">
        <v>43</v>
      </c>
      <c r="B44" s="9" t="s">
        <v>9</v>
      </c>
      <c r="C44" s="9">
        <v>1927</v>
      </c>
      <c r="D44" s="10">
        <v>45729</v>
      </c>
      <c r="E44" s="11" t="str">
        <f>+HYPERLINK("http://trademark.i-assist.jp/data/china/image_1927th/65136760.pdf","65136760")</f>
        <v>65136760</v>
      </c>
      <c r="F44" s="9" t="s">
        <v>355</v>
      </c>
      <c r="G44" s="12" t="s">
        <v>80</v>
      </c>
      <c r="H44" s="9" t="s">
        <v>356</v>
      </c>
      <c r="I44" s="10">
        <v>44719</v>
      </c>
    </row>
    <row r="45" spans="1:9" x14ac:dyDescent="0.15">
      <c r="A45" s="9">
        <v>44</v>
      </c>
      <c r="B45" s="9" t="s">
        <v>9</v>
      </c>
      <c r="C45" s="9">
        <v>1927</v>
      </c>
      <c r="D45" s="10">
        <v>45729</v>
      </c>
      <c r="E45" s="11" t="str">
        <f>+HYPERLINK("http://trademark.i-assist.jp/data/china/image_1927th/65349351.pdf","65349351")</f>
        <v>65349351</v>
      </c>
      <c r="F45" s="9" t="s">
        <v>357</v>
      </c>
      <c r="G45" s="12" t="s">
        <v>80</v>
      </c>
      <c r="H45" s="9" t="s">
        <v>356</v>
      </c>
      <c r="I45" s="10">
        <v>44728</v>
      </c>
    </row>
    <row r="46" spans="1:9" x14ac:dyDescent="0.15">
      <c r="A46" s="9">
        <v>45</v>
      </c>
      <c r="B46" s="9" t="s">
        <v>9</v>
      </c>
      <c r="C46" s="9">
        <v>1927</v>
      </c>
      <c r="D46" s="10">
        <v>45729</v>
      </c>
      <c r="E46" s="11" t="str">
        <f>+HYPERLINK("http://trademark.i-assist.jp/data/china/image_1927th/65542308.pdf","65542308")</f>
        <v>65542308</v>
      </c>
      <c r="F46" s="9" t="s">
        <v>358</v>
      </c>
      <c r="G46" s="9" t="s">
        <v>359</v>
      </c>
      <c r="H46" s="9" t="s">
        <v>360</v>
      </c>
      <c r="I46" s="10">
        <v>44736</v>
      </c>
    </row>
    <row r="47" spans="1:9" x14ac:dyDescent="0.15">
      <c r="A47" s="9">
        <v>46</v>
      </c>
      <c r="B47" s="9" t="s">
        <v>9</v>
      </c>
      <c r="C47" s="9">
        <v>1927</v>
      </c>
      <c r="D47" s="10">
        <v>45729</v>
      </c>
      <c r="E47" s="11" t="str">
        <f>+HYPERLINK("http://trademark.i-assist.jp/data/china/image_1927th/65730537.pdf","65730537")</f>
        <v>65730537</v>
      </c>
      <c r="F47" s="9" t="s">
        <v>361</v>
      </c>
      <c r="G47" s="12" t="s">
        <v>362</v>
      </c>
      <c r="H47" s="9" t="s">
        <v>363</v>
      </c>
      <c r="I47" s="10">
        <v>44746</v>
      </c>
    </row>
    <row r="48" spans="1:9" x14ac:dyDescent="0.15">
      <c r="A48" s="9">
        <v>47</v>
      </c>
      <c r="B48" s="9" t="s">
        <v>9</v>
      </c>
      <c r="C48" s="9">
        <v>1927</v>
      </c>
      <c r="D48" s="10">
        <v>45729</v>
      </c>
      <c r="E48" s="11" t="str">
        <f>+HYPERLINK("http://trademark.i-assist.jp/data/china/image_1927th/66015357.pdf","66015357")</f>
        <v>66015357</v>
      </c>
      <c r="F48" s="9" t="s">
        <v>364</v>
      </c>
      <c r="G48" s="9" t="s">
        <v>365</v>
      </c>
      <c r="H48" s="9" t="s">
        <v>366</v>
      </c>
      <c r="I48" s="10">
        <v>44760</v>
      </c>
    </row>
    <row r="49" spans="1:9" x14ac:dyDescent="0.15">
      <c r="A49" s="9">
        <v>48</v>
      </c>
      <c r="B49" s="9" t="s">
        <v>9</v>
      </c>
      <c r="C49" s="9">
        <v>1927</v>
      </c>
      <c r="D49" s="10">
        <v>45729</v>
      </c>
      <c r="E49" s="11" t="str">
        <f>+HYPERLINK("http://trademark.i-assist.jp/data/china/image_1927th/66156576.pdf","66156576")</f>
        <v>66156576</v>
      </c>
      <c r="F49" s="13" t="s">
        <v>367</v>
      </c>
      <c r="G49" s="9" t="s">
        <v>368</v>
      </c>
      <c r="H49" s="9" t="s">
        <v>369</v>
      </c>
      <c r="I49" s="10">
        <v>44765</v>
      </c>
    </row>
    <row r="50" spans="1:9" x14ac:dyDescent="0.15">
      <c r="A50" s="9">
        <v>49</v>
      </c>
      <c r="B50" s="9" t="s">
        <v>9</v>
      </c>
      <c r="C50" s="9">
        <v>1927</v>
      </c>
      <c r="D50" s="10">
        <v>45729</v>
      </c>
      <c r="E50" s="11" t="str">
        <f>+HYPERLINK("http://trademark.i-assist.jp/data/china/image_1927th/66174778.pdf","66174778")</f>
        <v>66174778</v>
      </c>
      <c r="F50" s="9" t="s">
        <v>370</v>
      </c>
      <c r="G50" s="12" t="s">
        <v>371</v>
      </c>
      <c r="H50" s="9" t="s">
        <v>372</v>
      </c>
      <c r="I50" s="10">
        <v>44767</v>
      </c>
    </row>
    <row r="51" spans="1:9" x14ac:dyDescent="0.15">
      <c r="A51" s="9">
        <v>50</v>
      </c>
      <c r="B51" s="9" t="s">
        <v>9</v>
      </c>
      <c r="C51" s="9">
        <v>1927</v>
      </c>
      <c r="D51" s="10">
        <v>45729</v>
      </c>
      <c r="E51" s="11" t="str">
        <f>+HYPERLINK("http://trademark.i-assist.jp/data/china/image_1927th/66759353.pdf","66759353")</f>
        <v>66759353</v>
      </c>
      <c r="F51" s="9" t="s">
        <v>373</v>
      </c>
      <c r="G51" s="9" t="s">
        <v>374</v>
      </c>
      <c r="H51" s="9" t="s">
        <v>375</v>
      </c>
      <c r="I51" s="10">
        <v>44795</v>
      </c>
    </row>
    <row r="52" spans="1:9" x14ac:dyDescent="0.15">
      <c r="A52" s="9">
        <v>51</v>
      </c>
      <c r="B52" s="9" t="s">
        <v>9</v>
      </c>
      <c r="C52" s="9">
        <v>1927</v>
      </c>
      <c r="D52" s="10">
        <v>45729</v>
      </c>
      <c r="E52" s="11" t="str">
        <f>+HYPERLINK("http://trademark.i-assist.jp/data/china/image_1927th/67127013.pdf","67127013")</f>
        <v>67127013</v>
      </c>
      <c r="F52" s="9" t="s">
        <v>376</v>
      </c>
      <c r="G52" s="9" t="s">
        <v>377</v>
      </c>
      <c r="H52" s="9" t="s">
        <v>378</v>
      </c>
      <c r="I52" s="10">
        <v>44813</v>
      </c>
    </row>
    <row r="53" spans="1:9" x14ac:dyDescent="0.15">
      <c r="A53" s="9">
        <v>52</v>
      </c>
      <c r="B53" s="9" t="s">
        <v>9</v>
      </c>
      <c r="C53" s="9">
        <v>1927</v>
      </c>
      <c r="D53" s="10">
        <v>45729</v>
      </c>
      <c r="E53" s="11" t="str">
        <f>+HYPERLINK("http://trademark.i-assist.jp/data/china/image_1927th/67256618.pdf","67256618")</f>
        <v>67256618</v>
      </c>
      <c r="F53" s="12" t="s">
        <v>379</v>
      </c>
      <c r="G53" s="9" t="s">
        <v>380</v>
      </c>
      <c r="H53" s="9" t="s">
        <v>381</v>
      </c>
      <c r="I53" s="10">
        <v>44820</v>
      </c>
    </row>
    <row r="54" spans="1:9" x14ac:dyDescent="0.15">
      <c r="A54" s="9">
        <v>53</v>
      </c>
      <c r="B54" s="9" t="s">
        <v>9</v>
      </c>
      <c r="C54" s="9">
        <v>1927</v>
      </c>
      <c r="D54" s="10">
        <v>45729</v>
      </c>
      <c r="E54" s="11" t="str">
        <f>+HYPERLINK("http://trademark.i-assist.jp/data/china/image_1927th/67720752.pdf","67720752")</f>
        <v>67720752</v>
      </c>
      <c r="F54" s="9" t="s">
        <v>382</v>
      </c>
      <c r="G54" s="9" t="s">
        <v>383</v>
      </c>
      <c r="H54" s="9" t="s">
        <v>384</v>
      </c>
      <c r="I54" s="10">
        <v>44847</v>
      </c>
    </row>
    <row r="55" spans="1:9" x14ac:dyDescent="0.15">
      <c r="A55" s="9">
        <v>54</v>
      </c>
      <c r="B55" s="9" t="s">
        <v>9</v>
      </c>
      <c r="C55" s="9">
        <v>1927</v>
      </c>
      <c r="D55" s="10">
        <v>45729</v>
      </c>
      <c r="E55" s="11" t="str">
        <f>+HYPERLINK("http://trademark.i-assist.jp/data/china/image_1927th/67943928.pdf","67943928")</f>
        <v>67943928</v>
      </c>
      <c r="F55" s="9" t="s">
        <v>385</v>
      </c>
      <c r="G55" s="9" t="s">
        <v>386</v>
      </c>
      <c r="H55" s="9" t="s">
        <v>387</v>
      </c>
      <c r="I55" s="10">
        <v>44859</v>
      </c>
    </row>
    <row r="56" spans="1:9" x14ac:dyDescent="0.15">
      <c r="A56" s="9">
        <v>55</v>
      </c>
      <c r="B56" s="9" t="s">
        <v>9</v>
      </c>
      <c r="C56" s="9">
        <v>1927</v>
      </c>
      <c r="D56" s="10">
        <v>45729</v>
      </c>
      <c r="E56" s="11" t="str">
        <f>+HYPERLINK("http://trademark.i-assist.jp/data/china/image_1927th/67961545.pdf","67961545")</f>
        <v>67961545</v>
      </c>
      <c r="F56" s="9" t="s">
        <v>388</v>
      </c>
      <c r="G56" s="9" t="s">
        <v>389</v>
      </c>
      <c r="H56" s="9" t="s">
        <v>390</v>
      </c>
      <c r="I56" s="10">
        <v>44860</v>
      </c>
    </row>
    <row r="57" spans="1:9" x14ac:dyDescent="0.15">
      <c r="A57" s="9">
        <v>56</v>
      </c>
      <c r="B57" s="9" t="s">
        <v>9</v>
      </c>
      <c r="C57" s="9">
        <v>1927</v>
      </c>
      <c r="D57" s="10">
        <v>45729</v>
      </c>
      <c r="E57" s="11" t="str">
        <f>+HYPERLINK("http://trademark.i-assist.jp/data/china/image_1927th/68250034.pdf","68250034")</f>
        <v>68250034</v>
      </c>
      <c r="F57" s="12" t="s">
        <v>391</v>
      </c>
      <c r="G57" s="12" t="s">
        <v>86</v>
      </c>
      <c r="H57" s="9" t="s">
        <v>392</v>
      </c>
      <c r="I57" s="10">
        <v>44875</v>
      </c>
    </row>
    <row r="58" spans="1:9" x14ac:dyDescent="0.15">
      <c r="A58" s="9">
        <v>57</v>
      </c>
      <c r="B58" s="9" t="s">
        <v>9</v>
      </c>
      <c r="C58" s="9">
        <v>1927</v>
      </c>
      <c r="D58" s="10">
        <v>45729</v>
      </c>
      <c r="E58" s="11" t="str">
        <f>+HYPERLINK("http://trademark.i-assist.jp/data/china/image_1927th/68251060.pdf","68251060")</f>
        <v>68251060</v>
      </c>
      <c r="F58" s="12" t="s">
        <v>393</v>
      </c>
      <c r="G58" s="12" t="s">
        <v>86</v>
      </c>
      <c r="H58" s="9" t="s">
        <v>394</v>
      </c>
      <c r="I58" s="10">
        <v>44875</v>
      </c>
    </row>
    <row r="59" spans="1:9" x14ac:dyDescent="0.15">
      <c r="A59" s="9">
        <v>58</v>
      </c>
      <c r="B59" s="9" t="s">
        <v>9</v>
      </c>
      <c r="C59" s="9">
        <v>1927</v>
      </c>
      <c r="D59" s="10">
        <v>45729</v>
      </c>
      <c r="E59" s="11" t="str">
        <f>+HYPERLINK("http://trademark.i-assist.jp/data/china/image_1927th/68526944.pdf","68526944")</f>
        <v>68526944</v>
      </c>
      <c r="F59" s="9" t="s">
        <v>395</v>
      </c>
      <c r="G59" s="12" t="s">
        <v>80</v>
      </c>
      <c r="H59" s="9" t="s">
        <v>396</v>
      </c>
      <c r="I59" s="10">
        <v>44889</v>
      </c>
    </row>
    <row r="60" spans="1:9" x14ac:dyDescent="0.15">
      <c r="A60" s="9">
        <v>59</v>
      </c>
      <c r="B60" s="9" t="s">
        <v>9</v>
      </c>
      <c r="C60" s="9">
        <v>1927</v>
      </c>
      <c r="D60" s="10">
        <v>45729</v>
      </c>
      <c r="E60" s="11" t="str">
        <f>+HYPERLINK("http://trademark.i-assist.jp/data/china/image_1927th/68751158.pdf","68751158")</f>
        <v>68751158</v>
      </c>
      <c r="F60" s="9" t="s">
        <v>397</v>
      </c>
      <c r="G60" s="12" t="s">
        <v>80</v>
      </c>
      <c r="H60" s="9" t="s">
        <v>356</v>
      </c>
      <c r="I60" s="10">
        <v>44902</v>
      </c>
    </row>
    <row r="61" spans="1:9" x14ac:dyDescent="0.15">
      <c r="A61" s="9">
        <v>60</v>
      </c>
      <c r="B61" s="9" t="s">
        <v>9</v>
      </c>
      <c r="C61" s="9">
        <v>1927</v>
      </c>
      <c r="D61" s="10">
        <v>45729</v>
      </c>
      <c r="E61" s="11" t="str">
        <f>+HYPERLINK("http://trademark.i-assist.jp/data/china/image_1927th/68919934.pdf","68919934")</f>
        <v>68919934</v>
      </c>
      <c r="F61" s="9" t="s">
        <v>398</v>
      </c>
      <c r="G61" s="12" t="s">
        <v>399</v>
      </c>
      <c r="H61" s="9" t="s">
        <v>356</v>
      </c>
      <c r="I61" s="10">
        <v>44914</v>
      </c>
    </row>
    <row r="62" spans="1:9" x14ac:dyDescent="0.15">
      <c r="A62" s="9">
        <v>61</v>
      </c>
      <c r="B62" s="9" t="s">
        <v>9</v>
      </c>
      <c r="C62" s="9">
        <v>1927</v>
      </c>
      <c r="D62" s="10">
        <v>45729</v>
      </c>
      <c r="E62" s="11" t="str">
        <f>+HYPERLINK("http://trademark.i-assist.jp/data/china/image_1927th/69022453.pdf","69022453")</f>
        <v>69022453</v>
      </c>
      <c r="F62" s="9" t="s">
        <v>400</v>
      </c>
      <c r="G62" s="9" t="s">
        <v>401</v>
      </c>
      <c r="H62" s="9" t="s">
        <v>402</v>
      </c>
      <c r="I62" s="10">
        <v>44923</v>
      </c>
    </row>
    <row r="63" spans="1:9" x14ac:dyDescent="0.15">
      <c r="A63" s="9">
        <v>62</v>
      </c>
      <c r="B63" s="9" t="s">
        <v>9</v>
      </c>
      <c r="C63" s="9">
        <v>1927</v>
      </c>
      <c r="D63" s="10">
        <v>45729</v>
      </c>
      <c r="E63" s="11" t="str">
        <f>+HYPERLINK("http://trademark.i-assist.jp/data/china/image_1927th/69295199.pdf","69295199")</f>
        <v>69295199</v>
      </c>
      <c r="F63" s="12" t="s">
        <v>16</v>
      </c>
      <c r="G63" s="12" t="s">
        <v>403</v>
      </c>
      <c r="H63" s="9" t="s">
        <v>404</v>
      </c>
      <c r="I63" s="10">
        <v>44954</v>
      </c>
    </row>
    <row r="64" spans="1:9" x14ac:dyDescent="0.15">
      <c r="A64" s="9">
        <v>63</v>
      </c>
      <c r="B64" s="9" t="s">
        <v>9</v>
      </c>
      <c r="C64" s="9">
        <v>1927</v>
      </c>
      <c r="D64" s="10">
        <v>45729</v>
      </c>
      <c r="E64" s="11" t="str">
        <f>+HYPERLINK("http://trademark.i-assist.jp/data/china/image_1927th/69469111.pdf","69469111")</f>
        <v>69469111</v>
      </c>
      <c r="F64" s="9" t="s">
        <v>94</v>
      </c>
      <c r="G64" s="9" t="s">
        <v>95</v>
      </c>
      <c r="H64" s="12" t="s">
        <v>405</v>
      </c>
      <c r="I64" s="10">
        <v>44966</v>
      </c>
    </row>
    <row r="65" spans="1:9" x14ac:dyDescent="0.15">
      <c r="A65" s="9">
        <v>64</v>
      </c>
      <c r="B65" s="9" t="s">
        <v>9</v>
      </c>
      <c r="C65" s="9">
        <v>1927</v>
      </c>
      <c r="D65" s="10">
        <v>45729</v>
      </c>
      <c r="E65" s="11" t="str">
        <f>+HYPERLINK("http://trademark.i-assist.jp/data/china/image_1927th/69795325.pdf","69795325")</f>
        <v>69795325</v>
      </c>
      <c r="F65" s="9" t="s">
        <v>406</v>
      </c>
      <c r="G65" s="12" t="s">
        <v>407</v>
      </c>
      <c r="H65" s="9" t="s">
        <v>408</v>
      </c>
      <c r="I65" s="10">
        <v>44981</v>
      </c>
    </row>
    <row r="66" spans="1:9" x14ac:dyDescent="0.15">
      <c r="A66" s="9">
        <v>65</v>
      </c>
      <c r="B66" s="9" t="s">
        <v>9</v>
      </c>
      <c r="C66" s="9">
        <v>1927</v>
      </c>
      <c r="D66" s="10">
        <v>45729</v>
      </c>
      <c r="E66" s="11" t="str">
        <f>+HYPERLINK("http://trademark.i-assist.jp/data/china/image_1927th/69935628.pdf","69935628")</f>
        <v>69935628</v>
      </c>
      <c r="F66" s="9" t="s">
        <v>385</v>
      </c>
      <c r="G66" s="9" t="s">
        <v>386</v>
      </c>
      <c r="H66" s="9" t="s">
        <v>387</v>
      </c>
      <c r="I66" s="10">
        <v>44988</v>
      </c>
    </row>
    <row r="67" spans="1:9" x14ac:dyDescent="0.15">
      <c r="A67" s="9">
        <v>66</v>
      </c>
      <c r="B67" s="9" t="s">
        <v>9</v>
      </c>
      <c r="C67" s="9">
        <v>1927</v>
      </c>
      <c r="D67" s="10">
        <v>45729</v>
      </c>
      <c r="E67" s="11" t="str">
        <f>+HYPERLINK("http://trademark.i-assist.jp/data/china/image_1927th/70079867.pdf","70079867")</f>
        <v>70079867</v>
      </c>
      <c r="F67" s="12" t="s">
        <v>409</v>
      </c>
      <c r="G67" s="12" t="s">
        <v>15</v>
      </c>
      <c r="H67" s="12" t="s">
        <v>410</v>
      </c>
      <c r="I67" s="10">
        <v>44994</v>
      </c>
    </row>
    <row r="68" spans="1:9" x14ac:dyDescent="0.15">
      <c r="A68" s="9">
        <v>67</v>
      </c>
      <c r="B68" s="9" t="s">
        <v>9</v>
      </c>
      <c r="C68" s="9">
        <v>1927</v>
      </c>
      <c r="D68" s="10">
        <v>45729</v>
      </c>
      <c r="E68" s="11" t="str">
        <f>+HYPERLINK("http://trademark.i-assist.jp/data/china/image_1927th/70089938.pdf","70089938")</f>
        <v>70089938</v>
      </c>
      <c r="F68" s="9" t="s">
        <v>411</v>
      </c>
      <c r="G68" s="12" t="s">
        <v>80</v>
      </c>
      <c r="H68" s="9" t="s">
        <v>412</v>
      </c>
      <c r="I68" s="10">
        <v>44995</v>
      </c>
    </row>
    <row r="69" spans="1:9" x14ac:dyDescent="0.15">
      <c r="A69" s="9">
        <v>68</v>
      </c>
      <c r="B69" s="9" t="s">
        <v>9</v>
      </c>
      <c r="C69" s="9">
        <v>1927</v>
      </c>
      <c r="D69" s="10">
        <v>45729</v>
      </c>
      <c r="E69" s="11" t="str">
        <f>+HYPERLINK("http://trademark.i-assist.jp/data/china/image_1927th/70318149.pdf","70318149")</f>
        <v>70318149</v>
      </c>
      <c r="F69" s="9" t="s">
        <v>413</v>
      </c>
      <c r="G69" s="12" t="s">
        <v>80</v>
      </c>
      <c r="H69" s="9" t="s">
        <v>356</v>
      </c>
      <c r="I69" s="10">
        <v>45005</v>
      </c>
    </row>
    <row r="70" spans="1:9" x14ac:dyDescent="0.15">
      <c r="A70" s="9">
        <v>69</v>
      </c>
      <c r="B70" s="9" t="s">
        <v>9</v>
      </c>
      <c r="C70" s="9">
        <v>1927</v>
      </c>
      <c r="D70" s="10">
        <v>45729</v>
      </c>
      <c r="E70" s="11" t="str">
        <f>+HYPERLINK("http://trademark.i-assist.jp/data/china/image_1927th/70494928.pdf","70494928")</f>
        <v>70494928</v>
      </c>
      <c r="F70" s="9" t="s">
        <v>414</v>
      </c>
      <c r="G70" s="9" t="s">
        <v>415</v>
      </c>
      <c r="H70" s="9" t="s">
        <v>416</v>
      </c>
      <c r="I70" s="10">
        <v>45012</v>
      </c>
    </row>
    <row r="71" spans="1:9" x14ac:dyDescent="0.15">
      <c r="A71" s="9">
        <v>70</v>
      </c>
      <c r="B71" s="9" t="s">
        <v>9</v>
      </c>
      <c r="C71" s="9">
        <v>1927</v>
      </c>
      <c r="D71" s="10">
        <v>45729</v>
      </c>
      <c r="E71" s="11" t="str">
        <f>+HYPERLINK("http://trademark.i-assist.jp/data/china/image_1927th/70755181.pdf","70755181")</f>
        <v>70755181</v>
      </c>
      <c r="F71" s="9" t="s">
        <v>417</v>
      </c>
      <c r="G71" s="12" t="s">
        <v>418</v>
      </c>
      <c r="H71" s="9" t="s">
        <v>419</v>
      </c>
      <c r="I71" s="10">
        <v>45023</v>
      </c>
    </row>
    <row r="72" spans="1:9" x14ac:dyDescent="0.15">
      <c r="A72" s="9">
        <v>71</v>
      </c>
      <c r="B72" s="9" t="s">
        <v>9</v>
      </c>
      <c r="C72" s="9">
        <v>1927</v>
      </c>
      <c r="D72" s="10">
        <v>45729</v>
      </c>
      <c r="E72" s="11" t="str">
        <f>+HYPERLINK("http://trademark.i-assist.jp/data/china/image_1927th/70948017.pdf","70948017")</f>
        <v>70948017</v>
      </c>
      <c r="F72" s="9" t="s">
        <v>420</v>
      </c>
      <c r="G72" s="9" t="s">
        <v>421</v>
      </c>
      <c r="H72" s="9" t="s">
        <v>110</v>
      </c>
      <c r="I72" s="10">
        <v>45033</v>
      </c>
    </row>
    <row r="73" spans="1:9" x14ac:dyDescent="0.15">
      <c r="A73" s="9">
        <v>72</v>
      </c>
      <c r="B73" s="9" t="s">
        <v>9</v>
      </c>
      <c r="C73" s="9">
        <v>1927</v>
      </c>
      <c r="D73" s="10">
        <v>45729</v>
      </c>
      <c r="E73" s="11" t="str">
        <f>+HYPERLINK("http://trademark.i-assist.jp/data/china/image_1927th/71205019.pdf","71205019")</f>
        <v>71205019</v>
      </c>
      <c r="F73" s="12" t="s">
        <v>16</v>
      </c>
      <c r="G73" s="12" t="s">
        <v>422</v>
      </c>
      <c r="H73" s="9" t="s">
        <v>423</v>
      </c>
      <c r="I73" s="10">
        <v>45042</v>
      </c>
    </row>
    <row r="74" spans="1:9" x14ac:dyDescent="0.15">
      <c r="A74" s="9">
        <v>73</v>
      </c>
      <c r="B74" s="9" t="s">
        <v>9</v>
      </c>
      <c r="C74" s="9">
        <v>1927</v>
      </c>
      <c r="D74" s="10">
        <v>45729</v>
      </c>
      <c r="E74" s="11" t="str">
        <f>+HYPERLINK("http://trademark.i-assist.jp/data/china/image_1927th/71532880.pdf","71532880")</f>
        <v>71532880</v>
      </c>
      <c r="F74" s="9" t="s">
        <v>424</v>
      </c>
      <c r="G74" s="9" t="s">
        <v>425</v>
      </c>
      <c r="H74" s="9" t="s">
        <v>426</v>
      </c>
      <c r="I74" s="10">
        <v>45059</v>
      </c>
    </row>
    <row r="75" spans="1:9" x14ac:dyDescent="0.15">
      <c r="A75" s="9">
        <v>74</v>
      </c>
      <c r="B75" s="9" t="s">
        <v>9</v>
      </c>
      <c r="C75" s="9">
        <v>1927</v>
      </c>
      <c r="D75" s="10">
        <v>45729</v>
      </c>
      <c r="E75" s="11" t="str">
        <f>+HYPERLINK("http://trademark.i-assist.jp/data/china/image_1927th/71631643.pdf","71631643")</f>
        <v>71631643</v>
      </c>
      <c r="F75" s="9" t="s">
        <v>427</v>
      </c>
      <c r="G75" s="9" t="s">
        <v>428</v>
      </c>
      <c r="H75" s="9" t="s">
        <v>429</v>
      </c>
      <c r="I75" s="10">
        <v>45063</v>
      </c>
    </row>
    <row r="76" spans="1:9" x14ac:dyDescent="0.15">
      <c r="A76" s="9">
        <v>75</v>
      </c>
      <c r="B76" s="9" t="s">
        <v>9</v>
      </c>
      <c r="C76" s="9">
        <v>1927</v>
      </c>
      <c r="D76" s="10">
        <v>45729</v>
      </c>
      <c r="E76" s="11" t="str">
        <f>+HYPERLINK("http://trademark.i-assist.jp/data/china/image_1927th/71915770.pdf","71915770")</f>
        <v>71915770</v>
      </c>
      <c r="F76" s="9" t="s">
        <v>430</v>
      </c>
      <c r="G76" s="9" t="s">
        <v>212</v>
      </c>
      <c r="H76" s="9" t="s">
        <v>431</v>
      </c>
      <c r="I76" s="10">
        <v>45076</v>
      </c>
    </row>
    <row r="77" spans="1:9" x14ac:dyDescent="0.15">
      <c r="A77" s="9">
        <v>76</v>
      </c>
      <c r="B77" s="9" t="s">
        <v>9</v>
      </c>
      <c r="C77" s="9">
        <v>1927</v>
      </c>
      <c r="D77" s="10">
        <v>45729</v>
      </c>
      <c r="E77" s="11" t="str">
        <f>+HYPERLINK("http://trademark.i-assist.jp/data/china/image_1927th/71927572.pdf","71927572")</f>
        <v>71927572</v>
      </c>
      <c r="F77" s="13" t="s">
        <v>432</v>
      </c>
      <c r="G77" s="12" t="s">
        <v>433</v>
      </c>
      <c r="H77" s="9" t="s">
        <v>434</v>
      </c>
      <c r="I77" s="10">
        <v>45077</v>
      </c>
    </row>
    <row r="78" spans="1:9" x14ac:dyDescent="0.15">
      <c r="A78" s="9">
        <v>77</v>
      </c>
      <c r="B78" s="9" t="s">
        <v>9</v>
      </c>
      <c r="C78" s="9">
        <v>1927</v>
      </c>
      <c r="D78" s="10">
        <v>45729</v>
      </c>
      <c r="E78" s="11" t="str">
        <f>+HYPERLINK("http://trademark.i-assist.jp/data/china/image_1927th/71940363.pdf","71940363")</f>
        <v>71940363</v>
      </c>
      <c r="F78" s="9" t="s">
        <v>435</v>
      </c>
      <c r="G78" s="9" t="s">
        <v>436</v>
      </c>
      <c r="H78" s="9" t="s">
        <v>437</v>
      </c>
      <c r="I78" s="10">
        <v>45077</v>
      </c>
    </row>
    <row r="79" spans="1:9" x14ac:dyDescent="0.15">
      <c r="A79" s="9">
        <v>78</v>
      </c>
      <c r="B79" s="9" t="s">
        <v>9</v>
      </c>
      <c r="C79" s="9">
        <v>1927</v>
      </c>
      <c r="D79" s="10">
        <v>45729</v>
      </c>
      <c r="E79" s="11" t="str">
        <f>+HYPERLINK("http://trademark.i-assist.jp/data/china/image_1927th/72400151.pdf","72400151")</f>
        <v>72400151</v>
      </c>
      <c r="F79" s="9" t="s">
        <v>438</v>
      </c>
      <c r="G79" s="9" t="s">
        <v>439</v>
      </c>
      <c r="H79" s="9" t="s">
        <v>440</v>
      </c>
      <c r="I79" s="10">
        <v>45100</v>
      </c>
    </row>
    <row r="80" spans="1:9" x14ac:dyDescent="0.15">
      <c r="A80" s="9">
        <v>79</v>
      </c>
      <c r="B80" s="9" t="s">
        <v>9</v>
      </c>
      <c r="C80" s="9">
        <v>1927</v>
      </c>
      <c r="D80" s="10">
        <v>45729</v>
      </c>
      <c r="E80" s="11" t="str">
        <f>+HYPERLINK("http://trademark.i-assist.jp/data/china/image_1927th/72599582.pdf","72599582")</f>
        <v>72599582</v>
      </c>
      <c r="F80" s="9" t="s">
        <v>441</v>
      </c>
      <c r="G80" s="9" t="s">
        <v>442</v>
      </c>
      <c r="H80" s="9" t="s">
        <v>443</v>
      </c>
      <c r="I80" s="10">
        <v>45110</v>
      </c>
    </row>
    <row r="81" spans="1:9" x14ac:dyDescent="0.15">
      <c r="A81" s="9">
        <v>80</v>
      </c>
      <c r="B81" s="9" t="s">
        <v>9</v>
      </c>
      <c r="C81" s="9">
        <v>1927</v>
      </c>
      <c r="D81" s="10">
        <v>45729</v>
      </c>
      <c r="E81" s="11" t="str">
        <f>+HYPERLINK("http://trademark.i-assist.jp/data/china/image_1927th/72662502.pdf","72662502")</f>
        <v>72662502</v>
      </c>
      <c r="F81" s="12" t="s">
        <v>444</v>
      </c>
      <c r="G81" s="9" t="s">
        <v>445</v>
      </c>
      <c r="H81" s="9" t="s">
        <v>446</v>
      </c>
      <c r="I81" s="10">
        <v>45113</v>
      </c>
    </row>
    <row r="82" spans="1:9" x14ac:dyDescent="0.15">
      <c r="A82" s="9">
        <v>81</v>
      </c>
      <c r="B82" s="9" t="s">
        <v>9</v>
      </c>
      <c r="C82" s="9">
        <v>1927</v>
      </c>
      <c r="D82" s="10">
        <v>45729</v>
      </c>
      <c r="E82" s="11" t="str">
        <f>+HYPERLINK("http://trademark.i-assist.jp/data/china/image_1927th/72668804.pdf","72668804")</f>
        <v>72668804</v>
      </c>
      <c r="F82" s="12" t="s">
        <v>444</v>
      </c>
      <c r="G82" s="9" t="s">
        <v>445</v>
      </c>
      <c r="H82" s="9" t="s">
        <v>447</v>
      </c>
      <c r="I82" s="10">
        <v>45113</v>
      </c>
    </row>
    <row r="83" spans="1:9" x14ac:dyDescent="0.15">
      <c r="A83" s="9">
        <v>82</v>
      </c>
      <c r="B83" s="9" t="s">
        <v>9</v>
      </c>
      <c r="C83" s="9">
        <v>1927</v>
      </c>
      <c r="D83" s="10">
        <v>45729</v>
      </c>
      <c r="E83" s="11" t="str">
        <f>+HYPERLINK("http://trademark.i-assist.jp/data/china/image_1927th/72879413.pdf","72879413")</f>
        <v>72879413</v>
      </c>
      <c r="F83" s="9" t="s">
        <v>448</v>
      </c>
      <c r="G83" s="9" t="s">
        <v>449</v>
      </c>
      <c r="H83" s="9" t="s">
        <v>450</v>
      </c>
      <c r="I83" s="10">
        <v>45124</v>
      </c>
    </row>
    <row r="84" spans="1:9" x14ac:dyDescent="0.15">
      <c r="A84" s="9">
        <v>83</v>
      </c>
      <c r="B84" s="9" t="s">
        <v>9</v>
      </c>
      <c r="C84" s="9">
        <v>1927</v>
      </c>
      <c r="D84" s="10">
        <v>45729</v>
      </c>
      <c r="E84" s="11" t="str">
        <f>+HYPERLINK("http://trademark.i-assist.jp/data/china/image_1927th/72976167.pdf","72976167")</f>
        <v>72976167</v>
      </c>
      <c r="F84" s="9" t="s">
        <v>451</v>
      </c>
      <c r="G84" s="9" t="s">
        <v>452</v>
      </c>
      <c r="H84" s="12" t="s">
        <v>453</v>
      </c>
      <c r="I84" s="10">
        <v>45127</v>
      </c>
    </row>
    <row r="85" spans="1:9" x14ac:dyDescent="0.15">
      <c r="A85" s="9">
        <v>84</v>
      </c>
      <c r="B85" s="9" t="s">
        <v>9</v>
      </c>
      <c r="C85" s="9">
        <v>1927</v>
      </c>
      <c r="D85" s="10">
        <v>45729</v>
      </c>
      <c r="E85" s="11" t="str">
        <f>+HYPERLINK("http://trademark.i-assist.jp/data/china/image_1927th/73084784.pdf","73084784")</f>
        <v>73084784</v>
      </c>
      <c r="F85" s="9" t="s">
        <v>454</v>
      </c>
      <c r="G85" s="9" t="s">
        <v>455</v>
      </c>
      <c r="H85" s="9" t="s">
        <v>456</v>
      </c>
      <c r="I85" s="10">
        <v>45133</v>
      </c>
    </row>
    <row r="86" spans="1:9" x14ac:dyDescent="0.15">
      <c r="A86" s="9">
        <v>85</v>
      </c>
      <c r="B86" s="9" t="s">
        <v>9</v>
      </c>
      <c r="C86" s="9">
        <v>1927</v>
      </c>
      <c r="D86" s="10">
        <v>45729</v>
      </c>
      <c r="E86" s="11" t="str">
        <f>+HYPERLINK("http://trademark.i-assist.jp/data/china/image_1927th/73341966.pdf","73341966")</f>
        <v>73341966</v>
      </c>
      <c r="F86" s="9" t="s">
        <v>457</v>
      </c>
      <c r="G86" s="12" t="s">
        <v>458</v>
      </c>
      <c r="H86" s="9" t="s">
        <v>459</v>
      </c>
      <c r="I86" s="10">
        <v>45146</v>
      </c>
    </row>
    <row r="87" spans="1:9" x14ac:dyDescent="0.15">
      <c r="A87" s="9">
        <v>86</v>
      </c>
      <c r="B87" s="9" t="s">
        <v>9</v>
      </c>
      <c r="C87" s="9">
        <v>1927</v>
      </c>
      <c r="D87" s="10">
        <v>45729</v>
      </c>
      <c r="E87" s="11" t="str">
        <f>+HYPERLINK("http://trademark.i-assist.jp/data/china/image_1927th/73489365.pdf","73489365")</f>
        <v>73489365</v>
      </c>
      <c r="F87" s="12" t="s">
        <v>460</v>
      </c>
      <c r="G87" s="9" t="s">
        <v>461</v>
      </c>
      <c r="H87" s="9" t="s">
        <v>462</v>
      </c>
      <c r="I87" s="10">
        <v>45153</v>
      </c>
    </row>
    <row r="88" spans="1:9" x14ac:dyDescent="0.15">
      <c r="A88" s="9">
        <v>87</v>
      </c>
      <c r="B88" s="9" t="s">
        <v>9</v>
      </c>
      <c r="C88" s="9">
        <v>1927</v>
      </c>
      <c r="D88" s="10">
        <v>45729</v>
      </c>
      <c r="E88" s="11" t="str">
        <f>+HYPERLINK("http://trademark.i-assist.jp/data/china/image_1927th/73519975.pdf","73519975")</f>
        <v>73519975</v>
      </c>
      <c r="F88" s="9" t="s">
        <v>463</v>
      </c>
      <c r="G88" s="9" t="s">
        <v>464</v>
      </c>
      <c r="H88" s="9" t="s">
        <v>465</v>
      </c>
      <c r="I88" s="10">
        <v>45154</v>
      </c>
    </row>
    <row r="89" spans="1:9" x14ac:dyDescent="0.15">
      <c r="A89" s="9">
        <v>88</v>
      </c>
      <c r="B89" s="9" t="s">
        <v>9</v>
      </c>
      <c r="C89" s="9">
        <v>1927</v>
      </c>
      <c r="D89" s="10">
        <v>45729</v>
      </c>
      <c r="E89" s="11" t="str">
        <f>+HYPERLINK("http://trademark.i-assist.jp/data/china/image_1927th/73766478.pdf","73766478")</f>
        <v>73766478</v>
      </c>
      <c r="F89" s="12" t="s">
        <v>466</v>
      </c>
      <c r="G89" s="9" t="s">
        <v>467</v>
      </c>
      <c r="H89" s="9" t="s">
        <v>468</v>
      </c>
      <c r="I89" s="10">
        <v>45167</v>
      </c>
    </row>
    <row r="90" spans="1:9" x14ac:dyDescent="0.15">
      <c r="A90" s="9">
        <v>89</v>
      </c>
      <c r="B90" s="9" t="s">
        <v>9</v>
      </c>
      <c r="C90" s="9">
        <v>1927</v>
      </c>
      <c r="D90" s="10">
        <v>45729</v>
      </c>
      <c r="E90" s="11" t="str">
        <f>+HYPERLINK("http://trademark.i-assist.jp/data/china/image_1927th/74041448.pdf","74041448")</f>
        <v>74041448</v>
      </c>
      <c r="F90" s="12" t="s">
        <v>469</v>
      </c>
      <c r="G90" s="9" t="s">
        <v>470</v>
      </c>
      <c r="H90" s="9" t="s">
        <v>471</v>
      </c>
      <c r="I90" s="10">
        <v>45181</v>
      </c>
    </row>
    <row r="91" spans="1:9" x14ac:dyDescent="0.15">
      <c r="A91" s="9">
        <v>90</v>
      </c>
      <c r="B91" s="9" t="s">
        <v>9</v>
      </c>
      <c r="C91" s="9">
        <v>1927</v>
      </c>
      <c r="D91" s="10">
        <v>45729</v>
      </c>
      <c r="E91" s="11" t="str">
        <f>+HYPERLINK("http://trademark.i-assist.jp/data/china/image_1927th/74101717.pdf","74101717")</f>
        <v>74101717</v>
      </c>
      <c r="F91" s="9" t="s">
        <v>472</v>
      </c>
      <c r="G91" s="9" t="s">
        <v>473</v>
      </c>
      <c r="H91" s="9" t="s">
        <v>474</v>
      </c>
      <c r="I91" s="10">
        <v>45184</v>
      </c>
    </row>
    <row r="92" spans="1:9" x14ac:dyDescent="0.15">
      <c r="A92" s="9">
        <v>91</v>
      </c>
      <c r="B92" s="9" t="s">
        <v>9</v>
      </c>
      <c r="C92" s="9">
        <v>1927</v>
      </c>
      <c r="D92" s="10">
        <v>45729</v>
      </c>
      <c r="E92" s="11" t="str">
        <f>+HYPERLINK("http://trademark.i-assist.jp/data/china/image_1927th/74173148.pdf","74173148")</f>
        <v>74173148</v>
      </c>
      <c r="F92" s="9" t="s">
        <v>475</v>
      </c>
      <c r="G92" s="9" t="s">
        <v>476</v>
      </c>
      <c r="H92" s="9" t="s">
        <v>477</v>
      </c>
      <c r="I92" s="10">
        <v>45188</v>
      </c>
    </row>
    <row r="93" spans="1:9" x14ac:dyDescent="0.15">
      <c r="A93" s="9">
        <v>92</v>
      </c>
      <c r="B93" s="9" t="s">
        <v>9</v>
      </c>
      <c r="C93" s="9">
        <v>1927</v>
      </c>
      <c r="D93" s="10">
        <v>45729</v>
      </c>
      <c r="E93" s="11" t="str">
        <f>+HYPERLINK("http://trademark.i-assist.jp/data/china/image_1927th/74222430.pdf","74222430")</f>
        <v>74222430</v>
      </c>
      <c r="F93" s="12" t="s">
        <v>478</v>
      </c>
      <c r="G93" s="9" t="s">
        <v>479</v>
      </c>
      <c r="H93" s="9" t="s">
        <v>480</v>
      </c>
      <c r="I93" s="10">
        <v>45190</v>
      </c>
    </row>
    <row r="94" spans="1:9" x14ac:dyDescent="0.15">
      <c r="A94" s="9">
        <v>93</v>
      </c>
      <c r="B94" s="9" t="s">
        <v>9</v>
      </c>
      <c r="C94" s="9">
        <v>1927</v>
      </c>
      <c r="D94" s="10">
        <v>45729</v>
      </c>
      <c r="E94" s="11" t="str">
        <f>+HYPERLINK("http://trademark.i-assist.jp/data/china/image_1927th/74361274.pdf","74361274")</f>
        <v>74361274</v>
      </c>
      <c r="F94" s="9" t="s">
        <v>481</v>
      </c>
      <c r="G94" s="9" t="s">
        <v>482</v>
      </c>
      <c r="H94" s="9" t="s">
        <v>483</v>
      </c>
      <c r="I94" s="10">
        <v>45197</v>
      </c>
    </row>
    <row r="95" spans="1:9" x14ac:dyDescent="0.15">
      <c r="A95" s="9">
        <v>94</v>
      </c>
      <c r="B95" s="9" t="s">
        <v>9</v>
      </c>
      <c r="C95" s="9">
        <v>1927</v>
      </c>
      <c r="D95" s="10">
        <v>45729</v>
      </c>
      <c r="E95" s="11" t="str">
        <f>+HYPERLINK("http://trademark.i-assist.jp/data/china/image_1927th/74400469.pdf","74400469")</f>
        <v>74400469</v>
      </c>
      <c r="F95" s="9" t="s">
        <v>484</v>
      </c>
      <c r="G95" s="9" t="s">
        <v>485</v>
      </c>
      <c r="H95" s="9" t="s">
        <v>110</v>
      </c>
      <c r="I95" s="10">
        <v>45206</v>
      </c>
    </row>
    <row r="96" spans="1:9" x14ac:dyDescent="0.15">
      <c r="A96" s="9">
        <v>95</v>
      </c>
      <c r="B96" s="9" t="s">
        <v>9</v>
      </c>
      <c r="C96" s="9">
        <v>1927</v>
      </c>
      <c r="D96" s="10">
        <v>45729</v>
      </c>
      <c r="E96" s="11" t="str">
        <f>+HYPERLINK("http://trademark.i-assist.jp/data/china/image_1927th/74499569.pdf","74499569")</f>
        <v>74499569</v>
      </c>
      <c r="F96" s="12" t="s">
        <v>486</v>
      </c>
      <c r="G96" s="12" t="s">
        <v>487</v>
      </c>
      <c r="H96" s="9" t="s">
        <v>488</v>
      </c>
      <c r="I96" s="10">
        <v>45210</v>
      </c>
    </row>
    <row r="97" spans="1:9" x14ac:dyDescent="0.15">
      <c r="A97" s="9">
        <v>96</v>
      </c>
      <c r="B97" s="9" t="s">
        <v>9</v>
      </c>
      <c r="C97" s="9">
        <v>1927</v>
      </c>
      <c r="D97" s="10">
        <v>45729</v>
      </c>
      <c r="E97" s="11" t="str">
        <f>+HYPERLINK("http://trademark.i-assist.jp/data/china/image_1927th/74561867.pdf","74561867")</f>
        <v>74561867</v>
      </c>
      <c r="F97" s="9" t="s">
        <v>489</v>
      </c>
      <c r="G97" s="9" t="s">
        <v>490</v>
      </c>
      <c r="H97" s="9" t="s">
        <v>491</v>
      </c>
      <c r="I97" s="10">
        <v>45212</v>
      </c>
    </row>
    <row r="98" spans="1:9" x14ac:dyDescent="0.15">
      <c r="A98" s="9">
        <v>97</v>
      </c>
      <c r="B98" s="9" t="s">
        <v>9</v>
      </c>
      <c r="C98" s="9">
        <v>1927</v>
      </c>
      <c r="D98" s="10">
        <v>45729</v>
      </c>
      <c r="E98" s="11" t="str">
        <f>+HYPERLINK("http://trademark.i-assist.jp/data/china/image_1927th/74630538.pdf","74630538")</f>
        <v>74630538</v>
      </c>
      <c r="F98" s="12" t="s">
        <v>16</v>
      </c>
      <c r="G98" s="9" t="s">
        <v>492</v>
      </c>
      <c r="H98" s="9" t="s">
        <v>493</v>
      </c>
      <c r="I98" s="10">
        <v>45217</v>
      </c>
    </row>
    <row r="99" spans="1:9" x14ac:dyDescent="0.15">
      <c r="A99" s="9">
        <v>98</v>
      </c>
      <c r="B99" s="9" t="s">
        <v>9</v>
      </c>
      <c r="C99" s="9">
        <v>1927</v>
      </c>
      <c r="D99" s="10">
        <v>45729</v>
      </c>
      <c r="E99" s="11" t="str">
        <f>+HYPERLINK("http://trademark.i-assist.jp/data/china/image_1927th/74763728.pdf","74763728")</f>
        <v>74763728</v>
      </c>
      <c r="F99" s="9" t="s">
        <v>494</v>
      </c>
      <c r="G99" s="9" t="s">
        <v>495</v>
      </c>
      <c r="H99" s="9" t="s">
        <v>496</v>
      </c>
      <c r="I99" s="10">
        <v>45224</v>
      </c>
    </row>
    <row r="100" spans="1:9" x14ac:dyDescent="0.15">
      <c r="A100" s="9">
        <v>99</v>
      </c>
      <c r="B100" s="9" t="s">
        <v>9</v>
      </c>
      <c r="C100" s="9">
        <v>1927</v>
      </c>
      <c r="D100" s="10">
        <v>45729</v>
      </c>
      <c r="E100" s="11" t="str">
        <f>+HYPERLINK("http://trademark.i-assist.jp/data/china/image_1927th/74811823.pdf","74811823")</f>
        <v>74811823</v>
      </c>
      <c r="F100" s="12" t="s">
        <v>497</v>
      </c>
      <c r="G100" s="9" t="s">
        <v>498</v>
      </c>
      <c r="H100" s="9" t="s">
        <v>499</v>
      </c>
      <c r="I100" s="10">
        <v>45226</v>
      </c>
    </row>
    <row r="101" spans="1:9" x14ac:dyDescent="0.15">
      <c r="A101" s="9">
        <v>100</v>
      </c>
      <c r="B101" s="9" t="s">
        <v>9</v>
      </c>
      <c r="C101" s="9">
        <v>1927</v>
      </c>
      <c r="D101" s="10">
        <v>45729</v>
      </c>
      <c r="E101" s="11" t="str">
        <f>+HYPERLINK("http://trademark.i-assist.jp/data/china/image_1927th/74825330.pdf","74825330")</f>
        <v>74825330</v>
      </c>
      <c r="F101" s="9" t="s">
        <v>500</v>
      </c>
      <c r="G101" s="12" t="s">
        <v>501</v>
      </c>
      <c r="H101" s="9" t="s">
        <v>502</v>
      </c>
      <c r="I101" s="10">
        <v>45226</v>
      </c>
    </row>
    <row r="102" spans="1:9" x14ac:dyDescent="0.15">
      <c r="A102" s="9">
        <v>101</v>
      </c>
      <c r="B102" s="9" t="s">
        <v>9</v>
      </c>
      <c r="C102" s="9">
        <v>1927</v>
      </c>
      <c r="D102" s="10">
        <v>45729</v>
      </c>
      <c r="E102" s="11" t="str">
        <f>+HYPERLINK("http://trademark.i-assist.jp/data/china/image_1927th/74837479.pdf","74837479")</f>
        <v>74837479</v>
      </c>
      <c r="F102" s="9" t="s">
        <v>503</v>
      </c>
      <c r="G102" s="12" t="s">
        <v>504</v>
      </c>
      <c r="H102" s="9" t="s">
        <v>505</v>
      </c>
      <c r="I102" s="10">
        <v>45227</v>
      </c>
    </row>
    <row r="103" spans="1:9" x14ac:dyDescent="0.15">
      <c r="A103" s="9">
        <v>102</v>
      </c>
      <c r="B103" s="9" t="s">
        <v>9</v>
      </c>
      <c r="C103" s="9">
        <v>1927</v>
      </c>
      <c r="D103" s="10">
        <v>45729</v>
      </c>
      <c r="E103" s="11" t="str">
        <f>+HYPERLINK("http://trademark.i-assist.jp/data/china/image_1927th/74899746.pdf","74899746")</f>
        <v>74899746</v>
      </c>
      <c r="F103" s="9" t="s">
        <v>506</v>
      </c>
      <c r="G103" s="9" t="s">
        <v>507</v>
      </c>
      <c r="H103" s="9" t="s">
        <v>508</v>
      </c>
      <c r="I103" s="10">
        <v>45230</v>
      </c>
    </row>
    <row r="104" spans="1:9" x14ac:dyDescent="0.15">
      <c r="A104" s="9">
        <v>103</v>
      </c>
      <c r="B104" s="9" t="s">
        <v>9</v>
      </c>
      <c r="C104" s="9">
        <v>1927</v>
      </c>
      <c r="D104" s="10">
        <v>45729</v>
      </c>
      <c r="E104" s="11" t="str">
        <f>+HYPERLINK("http://trademark.i-assist.jp/data/china/image_1927th/74928500.pdf","74928500")</f>
        <v>74928500</v>
      </c>
      <c r="F104" s="9" t="s">
        <v>509</v>
      </c>
      <c r="G104" s="9" t="s">
        <v>510</v>
      </c>
      <c r="H104" s="9" t="s">
        <v>511</v>
      </c>
      <c r="I104" s="10">
        <v>45232</v>
      </c>
    </row>
    <row r="105" spans="1:9" x14ac:dyDescent="0.15">
      <c r="A105" s="9">
        <v>104</v>
      </c>
      <c r="B105" s="9" t="s">
        <v>9</v>
      </c>
      <c r="C105" s="9">
        <v>1927</v>
      </c>
      <c r="D105" s="10">
        <v>45729</v>
      </c>
      <c r="E105" s="11" t="str">
        <f>+HYPERLINK("http://trademark.i-assist.jp/data/china/image_1927th/75012880.pdf","75012880")</f>
        <v>75012880</v>
      </c>
      <c r="F105" s="9" t="s">
        <v>349</v>
      </c>
      <c r="G105" s="12" t="s">
        <v>350</v>
      </c>
      <c r="H105" s="9" t="s">
        <v>512</v>
      </c>
      <c r="I105" s="10">
        <v>45236</v>
      </c>
    </row>
    <row r="106" spans="1:9" x14ac:dyDescent="0.15">
      <c r="A106" s="9">
        <v>105</v>
      </c>
      <c r="B106" s="9" t="s">
        <v>9</v>
      </c>
      <c r="C106" s="9">
        <v>1927</v>
      </c>
      <c r="D106" s="10">
        <v>45729</v>
      </c>
      <c r="E106" s="11" t="str">
        <f>+HYPERLINK("http://trademark.i-assist.jp/data/china/image_1927th/75064159.pdf","75064159")</f>
        <v>75064159</v>
      </c>
      <c r="F106" s="12" t="s">
        <v>513</v>
      </c>
      <c r="G106" s="9" t="s">
        <v>514</v>
      </c>
      <c r="H106" s="9" t="s">
        <v>515</v>
      </c>
      <c r="I106" s="10">
        <v>45238</v>
      </c>
    </row>
    <row r="107" spans="1:9" x14ac:dyDescent="0.15">
      <c r="A107" s="9">
        <v>106</v>
      </c>
      <c r="B107" s="9" t="s">
        <v>9</v>
      </c>
      <c r="C107" s="9">
        <v>1927</v>
      </c>
      <c r="D107" s="10">
        <v>45729</v>
      </c>
      <c r="E107" s="11" t="str">
        <f>+HYPERLINK("http://trademark.i-assist.jp/data/china/image_1927th/75069392.pdf","75069392")</f>
        <v>75069392</v>
      </c>
      <c r="F107" s="9" t="s">
        <v>516</v>
      </c>
      <c r="G107" s="9" t="s">
        <v>517</v>
      </c>
      <c r="H107" s="9" t="s">
        <v>518</v>
      </c>
      <c r="I107" s="10">
        <v>45239</v>
      </c>
    </row>
    <row r="108" spans="1:9" x14ac:dyDescent="0.15">
      <c r="A108" s="9">
        <v>107</v>
      </c>
      <c r="B108" s="9" t="s">
        <v>9</v>
      </c>
      <c r="C108" s="9">
        <v>1927</v>
      </c>
      <c r="D108" s="10">
        <v>45729</v>
      </c>
      <c r="E108" s="11" t="str">
        <f>+HYPERLINK("http://trademark.i-assist.jp/data/china/image_1927th/75087168.pdf","75087168")</f>
        <v>75087168</v>
      </c>
      <c r="F108" s="9" t="s">
        <v>519</v>
      </c>
      <c r="G108" s="12" t="s">
        <v>520</v>
      </c>
      <c r="H108" s="9" t="s">
        <v>521</v>
      </c>
      <c r="I108" s="10">
        <v>45239</v>
      </c>
    </row>
    <row r="109" spans="1:9" x14ac:dyDescent="0.15">
      <c r="A109" s="9">
        <v>108</v>
      </c>
      <c r="B109" s="9" t="s">
        <v>9</v>
      </c>
      <c r="C109" s="9">
        <v>1927</v>
      </c>
      <c r="D109" s="10">
        <v>45729</v>
      </c>
      <c r="E109" s="11" t="str">
        <f>+HYPERLINK("http://trademark.i-assist.jp/data/china/image_1927th/75121566.pdf","75121566")</f>
        <v>75121566</v>
      </c>
      <c r="F109" s="9" t="s">
        <v>522</v>
      </c>
      <c r="G109" s="9" t="s">
        <v>523</v>
      </c>
      <c r="H109" s="9" t="s">
        <v>524</v>
      </c>
      <c r="I109" s="10">
        <v>45243</v>
      </c>
    </row>
    <row r="110" spans="1:9" x14ac:dyDescent="0.15">
      <c r="A110" s="9">
        <v>109</v>
      </c>
      <c r="B110" s="9" t="s">
        <v>9</v>
      </c>
      <c r="C110" s="9">
        <v>1927</v>
      </c>
      <c r="D110" s="10">
        <v>45729</v>
      </c>
      <c r="E110" s="11" t="str">
        <f>+HYPERLINK("http://trademark.i-assist.jp/data/china/image_1927th/75161328.pdf","75161328")</f>
        <v>75161328</v>
      </c>
      <c r="F110" s="12" t="s">
        <v>525</v>
      </c>
      <c r="G110" s="9" t="s">
        <v>526</v>
      </c>
      <c r="H110" s="9" t="s">
        <v>527</v>
      </c>
      <c r="I110" s="10">
        <v>45244</v>
      </c>
    </row>
    <row r="111" spans="1:9" x14ac:dyDescent="0.15">
      <c r="A111" s="9">
        <v>110</v>
      </c>
      <c r="B111" s="9" t="s">
        <v>9</v>
      </c>
      <c r="C111" s="9">
        <v>1927</v>
      </c>
      <c r="D111" s="10">
        <v>45729</v>
      </c>
      <c r="E111" s="11" t="str">
        <f>+HYPERLINK("http://trademark.i-assist.jp/data/china/image_1927th/75172421.pdf","75172421")</f>
        <v>75172421</v>
      </c>
      <c r="F111" s="9" t="s">
        <v>528</v>
      </c>
      <c r="G111" s="12" t="s">
        <v>529</v>
      </c>
      <c r="H111" s="9" t="s">
        <v>530</v>
      </c>
      <c r="I111" s="10">
        <v>45244</v>
      </c>
    </row>
    <row r="112" spans="1:9" x14ac:dyDescent="0.15">
      <c r="A112" s="9">
        <v>111</v>
      </c>
      <c r="B112" s="9" t="s">
        <v>9</v>
      </c>
      <c r="C112" s="9">
        <v>1927</v>
      </c>
      <c r="D112" s="10">
        <v>45729</v>
      </c>
      <c r="E112" s="11" t="str">
        <f>+HYPERLINK("http://trademark.i-assist.jp/data/china/image_1927th/75199451.pdf","75199451")</f>
        <v>75199451</v>
      </c>
      <c r="F112" s="9" t="s">
        <v>531</v>
      </c>
      <c r="G112" s="9" t="s">
        <v>514</v>
      </c>
      <c r="H112" s="9" t="s">
        <v>532</v>
      </c>
      <c r="I112" s="10">
        <v>45245</v>
      </c>
    </row>
    <row r="113" spans="1:9" x14ac:dyDescent="0.15">
      <c r="A113" s="9">
        <v>112</v>
      </c>
      <c r="B113" s="9" t="s">
        <v>9</v>
      </c>
      <c r="C113" s="9">
        <v>1927</v>
      </c>
      <c r="D113" s="10">
        <v>45729</v>
      </c>
      <c r="E113" s="11" t="str">
        <f>+HYPERLINK("http://trademark.i-assist.jp/data/china/image_1927th/75242342.pdf","75242342")</f>
        <v>75242342</v>
      </c>
      <c r="F113" s="9" t="s">
        <v>533</v>
      </c>
      <c r="G113" s="12" t="s">
        <v>534</v>
      </c>
      <c r="H113" s="9" t="s">
        <v>535</v>
      </c>
      <c r="I113" s="10">
        <v>45247</v>
      </c>
    </row>
    <row r="114" spans="1:9" x14ac:dyDescent="0.15">
      <c r="A114" s="9">
        <v>113</v>
      </c>
      <c r="B114" s="9" t="s">
        <v>9</v>
      </c>
      <c r="C114" s="9">
        <v>1927</v>
      </c>
      <c r="D114" s="10">
        <v>45729</v>
      </c>
      <c r="E114" s="11" t="str">
        <f>+HYPERLINK("http://trademark.i-assist.jp/data/china/image_1927th/75248973.pdf","75248973")</f>
        <v>75248973</v>
      </c>
      <c r="F114" s="9" t="s">
        <v>536</v>
      </c>
      <c r="G114" s="9" t="s">
        <v>537</v>
      </c>
      <c r="H114" s="9" t="s">
        <v>538</v>
      </c>
      <c r="I114" s="10">
        <v>45247</v>
      </c>
    </row>
    <row r="115" spans="1:9" x14ac:dyDescent="0.15">
      <c r="A115" s="9">
        <v>114</v>
      </c>
      <c r="B115" s="9" t="s">
        <v>9</v>
      </c>
      <c r="C115" s="9">
        <v>1927</v>
      </c>
      <c r="D115" s="10">
        <v>45729</v>
      </c>
      <c r="E115" s="11" t="str">
        <f>+HYPERLINK("http://trademark.i-assist.jp/data/china/image_1927th/75280858.pdf","75280858")</f>
        <v>75280858</v>
      </c>
      <c r="F115" s="12" t="s">
        <v>539</v>
      </c>
      <c r="G115" s="9" t="s">
        <v>540</v>
      </c>
      <c r="H115" s="9" t="s">
        <v>541</v>
      </c>
      <c r="I115" s="10">
        <v>45250</v>
      </c>
    </row>
    <row r="116" spans="1:9" x14ac:dyDescent="0.15">
      <c r="A116" s="9">
        <v>115</v>
      </c>
      <c r="B116" s="9" t="s">
        <v>9</v>
      </c>
      <c r="C116" s="9">
        <v>1927</v>
      </c>
      <c r="D116" s="10">
        <v>45729</v>
      </c>
      <c r="E116" s="11" t="str">
        <f>+HYPERLINK("http://trademark.i-assist.jp/data/china/image_1927th/75316522.pdf","75316522")</f>
        <v>75316522</v>
      </c>
      <c r="F116" s="9" t="s">
        <v>542</v>
      </c>
      <c r="G116" s="9" t="s">
        <v>482</v>
      </c>
      <c r="H116" s="9" t="s">
        <v>543</v>
      </c>
      <c r="I116" s="10">
        <v>45251</v>
      </c>
    </row>
    <row r="117" spans="1:9" x14ac:dyDescent="0.15">
      <c r="A117" s="9">
        <v>116</v>
      </c>
      <c r="B117" s="9" t="s">
        <v>9</v>
      </c>
      <c r="C117" s="9">
        <v>1927</v>
      </c>
      <c r="D117" s="10">
        <v>45729</v>
      </c>
      <c r="E117" s="11" t="str">
        <f>+HYPERLINK("http://trademark.i-assist.jp/data/china/image_1927th/75316527.pdf","75316527")</f>
        <v>75316527</v>
      </c>
      <c r="F117" s="9" t="s">
        <v>544</v>
      </c>
      <c r="G117" s="9" t="s">
        <v>482</v>
      </c>
      <c r="H117" s="9" t="s">
        <v>545</v>
      </c>
      <c r="I117" s="10">
        <v>45251</v>
      </c>
    </row>
    <row r="118" spans="1:9" x14ac:dyDescent="0.15">
      <c r="A118" s="9">
        <v>117</v>
      </c>
      <c r="B118" s="9" t="s">
        <v>9</v>
      </c>
      <c r="C118" s="9">
        <v>1927</v>
      </c>
      <c r="D118" s="10">
        <v>45729</v>
      </c>
      <c r="E118" s="11" t="str">
        <f>+HYPERLINK("http://trademark.i-assist.jp/data/china/image_1927th/75330828.pdf","75330828")</f>
        <v>75330828</v>
      </c>
      <c r="F118" s="9" t="s">
        <v>546</v>
      </c>
      <c r="G118" s="12" t="s">
        <v>79</v>
      </c>
      <c r="H118" s="9" t="s">
        <v>547</v>
      </c>
      <c r="I118" s="10">
        <v>45252</v>
      </c>
    </row>
    <row r="119" spans="1:9" x14ac:dyDescent="0.15">
      <c r="A119" s="9">
        <v>118</v>
      </c>
      <c r="B119" s="9" t="s">
        <v>9</v>
      </c>
      <c r="C119" s="9">
        <v>1927</v>
      </c>
      <c r="D119" s="10">
        <v>45729</v>
      </c>
      <c r="E119" s="11" t="str">
        <f>+HYPERLINK("http://trademark.i-assist.jp/data/china/image_1927th/75349711.pdf","75349711")</f>
        <v>75349711</v>
      </c>
      <c r="F119" s="9" t="s">
        <v>548</v>
      </c>
      <c r="G119" s="12" t="s">
        <v>549</v>
      </c>
      <c r="H119" s="9" t="s">
        <v>550</v>
      </c>
      <c r="I119" s="10">
        <v>45253</v>
      </c>
    </row>
    <row r="120" spans="1:9" x14ac:dyDescent="0.15">
      <c r="A120" s="9">
        <v>119</v>
      </c>
      <c r="B120" s="9" t="s">
        <v>9</v>
      </c>
      <c r="C120" s="9">
        <v>1927</v>
      </c>
      <c r="D120" s="10">
        <v>45729</v>
      </c>
      <c r="E120" s="11" t="str">
        <f>+HYPERLINK("http://trademark.i-assist.jp/data/china/image_1927th/75398558.pdf","75398558")</f>
        <v>75398558</v>
      </c>
      <c r="F120" s="9" t="s">
        <v>551</v>
      </c>
      <c r="G120" s="9" t="s">
        <v>552</v>
      </c>
      <c r="H120" s="9" t="s">
        <v>553</v>
      </c>
      <c r="I120" s="10">
        <v>45254</v>
      </c>
    </row>
    <row r="121" spans="1:9" x14ac:dyDescent="0.15">
      <c r="A121" s="9">
        <v>120</v>
      </c>
      <c r="B121" s="9" t="s">
        <v>9</v>
      </c>
      <c r="C121" s="9">
        <v>1927</v>
      </c>
      <c r="D121" s="10">
        <v>45729</v>
      </c>
      <c r="E121" s="11" t="str">
        <f>+HYPERLINK("http://trademark.i-assist.jp/data/china/image_1927th/75409445.pdf","75409445")</f>
        <v>75409445</v>
      </c>
      <c r="F121" s="9" t="s">
        <v>554</v>
      </c>
      <c r="G121" s="9" t="s">
        <v>555</v>
      </c>
      <c r="H121" s="12" t="s">
        <v>556</v>
      </c>
      <c r="I121" s="10">
        <v>45255</v>
      </c>
    </row>
    <row r="122" spans="1:9" x14ac:dyDescent="0.15">
      <c r="A122" s="9">
        <v>121</v>
      </c>
      <c r="B122" s="9" t="s">
        <v>9</v>
      </c>
      <c r="C122" s="9">
        <v>1927</v>
      </c>
      <c r="D122" s="10">
        <v>45729</v>
      </c>
      <c r="E122" s="11" t="str">
        <f>+HYPERLINK("http://trademark.i-assist.jp/data/china/image_1927th/75429573.pdf","75429573")</f>
        <v>75429573</v>
      </c>
      <c r="F122" s="9" t="s">
        <v>557</v>
      </c>
      <c r="G122" s="9" t="s">
        <v>558</v>
      </c>
      <c r="H122" s="9" t="s">
        <v>559</v>
      </c>
      <c r="I122" s="10">
        <v>45257</v>
      </c>
    </row>
    <row r="123" spans="1:9" x14ac:dyDescent="0.15">
      <c r="A123" s="9">
        <v>122</v>
      </c>
      <c r="B123" s="9" t="s">
        <v>9</v>
      </c>
      <c r="C123" s="9">
        <v>1927</v>
      </c>
      <c r="D123" s="10">
        <v>45729</v>
      </c>
      <c r="E123" s="11" t="str">
        <f>+HYPERLINK("http://trademark.i-assist.jp/data/china/image_1927th/75456978.pdf","75456978")</f>
        <v>75456978</v>
      </c>
      <c r="F123" s="9" t="s">
        <v>560</v>
      </c>
      <c r="G123" s="9" t="s">
        <v>561</v>
      </c>
      <c r="H123" s="9" t="s">
        <v>562</v>
      </c>
      <c r="I123" s="10">
        <v>45258</v>
      </c>
    </row>
    <row r="124" spans="1:9" x14ac:dyDescent="0.15">
      <c r="A124" s="9">
        <v>123</v>
      </c>
      <c r="B124" s="9" t="s">
        <v>9</v>
      </c>
      <c r="C124" s="9">
        <v>1927</v>
      </c>
      <c r="D124" s="10">
        <v>45729</v>
      </c>
      <c r="E124" s="11" t="str">
        <f>+HYPERLINK("http://trademark.i-assist.jp/data/china/image_1927th/75457075.pdf","75457075")</f>
        <v>75457075</v>
      </c>
      <c r="F124" s="12" t="s">
        <v>563</v>
      </c>
      <c r="G124" s="12" t="s">
        <v>564</v>
      </c>
      <c r="H124" s="9" t="s">
        <v>565</v>
      </c>
      <c r="I124" s="10">
        <v>45258</v>
      </c>
    </row>
    <row r="125" spans="1:9" x14ac:dyDescent="0.15">
      <c r="A125" s="9">
        <v>124</v>
      </c>
      <c r="B125" s="9" t="s">
        <v>9</v>
      </c>
      <c r="C125" s="9">
        <v>1927</v>
      </c>
      <c r="D125" s="10">
        <v>45729</v>
      </c>
      <c r="E125" s="11" t="str">
        <f>+HYPERLINK("http://trademark.i-assist.jp/data/china/image_1927th/75467190.pdf","75467190")</f>
        <v>75467190</v>
      </c>
      <c r="F125" s="12" t="s">
        <v>563</v>
      </c>
      <c r="G125" s="12" t="s">
        <v>564</v>
      </c>
      <c r="H125" s="9" t="s">
        <v>566</v>
      </c>
      <c r="I125" s="10">
        <v>45258</v>
      </c>
    </row>
    <row r="126" spans="1:9" x14ac:dyDescent="0.15">
      <c r="A126" s="9">
        <v>125</v>
      </c>
      <c r="B126" s="9" t="s">
        <v>9</v>
      </c>
      <c r="C126" s="9">
        <v>1927</v>
      </c>
      <c r="D126" s="10">
        <v>45729</v>
      </c>
      <c r="E126" s="11" t="str">
        <f>+HYPERLINK("http://trademark.i-assist.jp/data/china/image_1927th/75505281.pdf","75505281")</f>
        <v>75505281</v>
      </c>
      <c r="F126" s="9" t="s">
        <v>567</v>
      </c>
      <c r="G126" s="9" t="s">
        <v>568</v>
      </c>
      <c r="H126" s="9" t="s">
        <v>569</v>
      </c>
      <c r="I126" s="10">
        <v>45260</v>
      </c>
    </row>
    <row r="127" spans="1:9" x14ac:dyDescent="0.15">
      <c r="A127" s="9">
        <v>126</v>
      </c>
      <c r="B127" s="9" t="s">
        <v>9</v>
      </c>
      <c r="C127" s="9">
        <v>1927</v>
      </c>
      <c r="D127" s="10">
        <v>45729</v>
      </c>
      <c r="E127" s="11" t="str">
        <f>+HYPERLINK("http://trademark.i-assist.jp/data/china/image_1927th/75550095.pdf","75550095")</f>
        <v>75550095</v>
      </c>
      <c r="F127" s="9" t="s">
        <v>570</v>
      </c>
      <c r="G127" s="9" t="s">
        <v>571</v>
      </c>
      <c r="H127" s="9" t="s">
        <v>572</v>
      </c>
      <c r="I127" s="10">
        <v>45262</v>
      </c>
    </row>
    <row r="128" spans="1:9" x14ac:dyDescent="0.15">
      <c r="A128" s="9">
        <v>127</v>
      </c>
      <c r="B128" s="9" t="s">
        <v>9</v>
      </c>
      <c r="C128" s="9">
        <v>1927</v>
      </c>
      <c r="D128" s="10">
        <v>45729</v>
      </c>
      <c r="E128" s="11" t="str">
        <f>+HYPERLINK("http://trademark.i-assist.jp/data/china/image_1927th/75597003.pdf","75597003")</f>
        <v>75597003</v>
      </c>
      <c r="F128" s="9" t="s">
        <v>573</v>
      </c>
      <c r="G128" s="9" t="s">
        <v>574</v>
      </c>
      <c r="H128" s="9" t="s">
        <v>17</v>
      </c>
      <c r="I128" s="10">
        <v>45265</v>
      </c>
    </row>
    <row r="129" spans="1:9" x14ac:dyDescent="0.15">
      <c r="A129" s="9">
        <v>128</v>
      </c>
      <c r="B129" s="9" t="s">
        <v>9</v>
      </c>
      <c r="C129" s="9">
        <v>1927</v>
      </c>
      <c r="D129" s="10">
        <v>45729</v>
      </c>
      <c r="E129" s="11" t="str">
        <f>+HYPERLINK("http://trademark.i-assist.jp/data/china/image_1927th/75677084.pdf","75677084")</f>
        <v>75677084</v>
      </c>
      <c r="F129" s="9" t="s">
        <v>575</v>
      </c>
      <c r="G129" s="9" t="s">
        <v>576</v>
      </c>
      <c r="H129" s="9" t="s">
        <v>110</v>
      </c>
      <c r="I129" s="10">
        <v>45268</v>
      </c>
    </row>
    <row r="130" spans="1:9" x14ac:dyDescent="0.15">
      <c r="A130" s="9">
        <v>129</v>
      </c>
      <c r="B130" s="9" t="s">
        <v>9</v>
      </c>
      <c r="C130" s="9">
        <v>1927</v>
      </c>
      <c r="D130" s="10">
        <v>45729</v>
      </c>
      <c r="E130" s="11" t="str">
        <f>+HYPERLINK("http://trademark.i-assist.jp/data/china/image_1927th/75737027.pdf","75737027")</f>
        <v>75737027</v>
      </c>
      <c r="F130" s="9" t="s">
        <v>577</v>
      </c>
      <c r="G130" s="9" t="s">
        <v>212</v>
      </c>
      <c r="H130" s="12" t="s">
        <v>578</v>
      </c>
      <c r="I130" s="10">
        <v>45272</v>
      </c>
    </row>
    <row r="131" spans="1:9" x14ac:dyDescent="0.15">
      <c r="A131" s="9">
        <v>130</v>
      </c>
      <c r="B131" s="9" t="s">
        <v>9</v>
      </c>
      <c r="C131" s="9">
        <v>1927</v>
      </c>
      <c r="D131" s="10">
        <v>45729</v>
      </c>
      <c r="E131" s="11" t="str">
        <f>+HYPERLINK("http://trademark.i-assist.jp/data/china/image_1927th/75754968.pdf","75754968")</f>
        <v>75754968</v>
      </c>
      <c r="F131" s="9" t="s">
        <v>579</v>
      </c>
      <c r="G131" s="9" t="s">
        <v>580</v>
      </c>
      <c r="H131" s="9" t="s">
        <v>581</v>
      </c>
      <c r="I131" s="10">
        <v>45272</v>
      </c>
    </row>
    <row r="132" spans="1:9" x14ac:dyDescent="0.15">
      <c r="A132" s="9">
        <v>131</v>
      </c>
      <c r="B132" s="9" t="s">
        <v>9</v>
      </c>
      <c r="C132" s="9">
        <v>1927</v>
      </c>
      <c r="D132" s="10">
        <v>45729</v>
      </c>
      <c r="E132" s="11" t="str">
        <f>+HYPERLINK("http://trademark.i-assist.jp/data/china/image_1927th/75779637.pdf","75779637")</f>
        <v>75779637</v>
      </c>
      <c r="F132" s="9" t="s">
        <v>582</v>
      </c>
      <c r="G132" s="9" t="s">
        <v>583</v>
      </c>
      <c r="H132" s="9" t="s">
        <v>584</v>
      </c>
      <c r="I132" s="10">
        <v>45273</v>
      </c>
    </row>
    <row r="133" spans="1:9" x14ac:dyDescent="0.15">
      <c r="A133" s="9">
        <v>132</v>
      </c>
      <c r="B133" s="9" t="s">
        <v>9</v>
      </c>
      <c r="C133" s="9">
        <v>1927</v>
      </c>
      <c r="D133" s="10">
        <v>45729</v>
      </c>
      <c r="E133" s="11" t="str">
        <f>+HYPERLINK("http://trademark.i-assist.jp/data/china/image_1927th/75786039.pdf","75786039")</f>
        <v>75786039</v>
      </c>
      <c r="F133" s="12" t="s">
        <v>585</v>
      </c>
      <c r="G133" s="9" t="s">
        <v>586</v>
      </c>
      <c r="H133" s="9" t="s">
        <v>587</v>
      </c>
      <c r="I133" s="10">
        <v>45274</v>
      </c>
    </row>
    <row r="134" spans="1:9" x14ac:dyDescent="0.15">
      <c r="A134" s="9">
        <v>133</v>
      </c>
      <c r="B134" s="9" t="s">
        <v>9</v>
      </c>
      <c r="C134" s="9">
        <v>1927</v>
      </c>
      <c r="D134" s="10">
        <v>45729</v>
      </c>
      <c r="E134" s="11" t="str">
        <f>+HYPERLINK("http://trademark.i-assist.jp/data/china/image_1927th/75824791.pdf","75824791")</f>
        <v>75824791</v>
      </c>
      <c r="F134" s="9" t="s">
        <v>588</v>
      </c>
      <c r="G134" s="9" t="s">
        <v>589</v>
      </c>
      <c r="H134" s="9" t="s">
        <v>590</v>
      </c>
      <c r="I134" s="10">
        <v>45275</v>
      </c>
    </row>
    <row r="135" spans="1:9" x14ac:dyDescent="0.15">
      <c r="A135" s="9">
        <v>134</v>
      </c>
      <c r="B135" s="9" t="s">
        <v>9</v>
      </c>
      <c r="C135" s="9">
        <v>1927</v>
      </c>
      <c r="D135" s="10">
        <v>45729</v>
      </c>
      <c r="E135" s="11" t="str">
        <f>+HYPERLINK("http://trademark.i-assist.jp/data/china/image_1927th/75919550.pdf","75919550")</f>
        <v>75919550</v>
      </c>
      <c r="F135" s="9" t="s">
        <v>591</v>
      </c>
      <c r="G135" s="9" t="s">
        <v>592</v>
      </c>
      <c r="H135" s="9" t="s">
        <v>593</v>
      </c>
      <c r="I135" s="10">
        <v>45280</v>
      </c>
    </row>
    <row r="136" spans="1:9" x14ac:dyDescent="0.15">
      <c r="A136" s="9">
        <v>135</v>
      </c>
      <c r="B136" s="9" t="s">
        <v>9</v>
      </c>
      <c r="C136" s="9">
        <v>1927</v>
      </c>
      <c r="D136" s="10">
        <v>45729</v>
      </c>
      <c r="E136" s="11" t="str">
        <f>+HYPERLINK("http://trademark.i-assist.jp/data/china/image_1927th/75940591.pdf","75940591")</f>
        <v>75940591</v>
      </c>
      <c r="F136" s="12" t="s">
        <v>594</v>
      </c>
      <c r="G136" s="9" t="s">
        <v>595</v>
      </c>
      <c r="H136" s="9" t="s">
        <v>596</v>
      </c>
      <c r="I136" s="10">
        <v>45281</v>
      </c>
    </row>
    <row r="137" spans="1:9" x14ac:dyDescent="0.15">
      <c r="A137" s="9">
        <v>136</v>
      </c>
      <c r="B137" s="9" t="s">
        <v>9</v>
      </c>
      <c r="C137" s="9">
        <v>1927</v>
      </c>
      <c r="D137" s="10">
        <v>45729</v>
      </c>
      <c r="E137" s="11" t="str">
        <f>+HYPERLINK("http://trademark.i-assist.jp/data/china/image_1927th/76040533.pdf","76040533")</f>
        <v>76040533</v>
      </c>
      <c r="F137" s="9" t="s">
        <v>597</v>
      </c>
      <c r="G137" s="9" t="s">
        <v>598</v>
      </c>
      <c r="H137" s="9" t="s">
        <v>599</v>
      </c>
      <c r="I137" s="10">
        <v>45287</v>
      </c>
    </row>
    <row r="138" spans="1:9" x14ac:dyDescent="0.15">
      <c r="A138" s="9">
        <v>137</v>
      </c>
      <c r="B138" s="9" t="s">
        <v>9</v>
      </c>
      <c r="C138" s="9">
        <v>1927</v>
      </c>
      <c r="D138" s="10">
        <v>45729</v>
      </c>
      <c r="E138" s="11" t="str">
        <f>+HYPERLINK("http://trademark.i-assist.jp/data/china/image_1927th/76119675.pdf","76119675")</f>
        <v>76119675</v>
      </c>
      <c r="F138" s="12" t="s">
        <v>16</v>
      </c>
      <c r="G138" s="9" t="s">
        <v>83</v>
      </c>
      <c r="H138" s="9" t="s">
        <v>600</v>
      </c>
      <c r="I138" s="10">
        <v>45289</v>
      </c>
    </row>
    <row r="139" spans="1:9" x14ac:dyDescent="0.15">
      <c r="A139" s="9">
        <v>138</v>
      </c>
      <c r="B139" s="9" t="s">
        <v>9</v>
      </c>
      <c r="C139" s="9">
        <v>1927</v>
      </c>
      <c r="D139" s="10">
        <v>45729</v>
      </c>
      <c r="E139" s="11" t="str">
        <f>+HYPERLINK("http://trademark.i-assist.jp/data/china/image_1927th/76153377.pdf","76153377")</f>
        <v>76153377</v>
      </c>
      <c r="F139" s="9" t="s">
        <v>601</v>
      </c>
      <c r="G139" s="9" t="s">
        <v>602</v>
      </c>
      <c r="H139" s="9" t="s">
        <v>603</v>
      </c>
      <c r="I139" s="10">
        <v>45293</v>
      </c>
    </row>
    <row r="140" spans="1:9" x14ac:dyDescent="0.15">
      <c r="A140" s="9">
        <v>139</v>
      </c>
      <c r="B140" s="9" t="s">
        <v>9</v>
      </c>
      <c r="C140" s="9">
        <v>1927</v>
      </c>
      <c r="D140" s="10">
        <v>45729</v>
      </c>
      <c r="E140" s="11" t="str">
        <f>+HYPERLINK("http://trademark.i-assist.jp/data/china/image_1927th/76265926.pdf","76265926")</f>
        <v>76265926</v>
      </c>
      <c r="F140" s="9" t="s">
        <v>604</v>
      </c>
      <c r="G140" s="9" t="s">
        <v>605</v>
      </c>
      <c r="H140" s="9" t="s">
        <v>606</v>
      </c>
      <c r="I140" s="10">
        <v>45299</v>
      </c>
    </row>
    <row r="141" spans="1:9" x14ac:dyDescent="0.15">
      <c r="A141" s="9">
        <v>140</v>
      </c>
      <c r="B141" s="9" t="s">
        <v>9</v>
      </c>
      <c r="C141" s="9">
        <v>1927</v>
      </c>
      <c r="D141" s="10">
        <v>45729</v>
      </c>
      <c r="E141" s="11" t="str">
        <f>+HYPERLINK("http://trademark.i-assist.jp/data/china/image_1927th/76301059.pdf","76301059")</f>
        <v>76301059</v>
      </c>
      <c r="F141" s="9" t="s">
        <v>607</v>
      </c>
      <c r="G141" s="9" t="s">
        <v>608</v>
      </c>
      <c r="H141" s="9" t="s">
        <v>609</v>
      </c>
      <c r="I141" s="10">
        <v>45301</v>
      </c>
    </row>
    <row r="142" spans="1:9" x14ac:dyDescent="0.15">
      <c r="A142" s="9">
        <v>141</v>
      </c>
      <c r="B142" s="9" t="s">
        <v>9</v>
      </c>
      <c r="C142" s="9">
        <v>1927</v>
      </c>
      <c r="D142" s="10">
        <v>45729</v>
      </c>
      <c r="E142" s="11" t="str">
        <f>+HYPERLINK("http://trademark.i-assist.jp/data/china/image_1927th/76434980.pdf","76434980")</f>
        <v>76434980</v>
      </c>
      <c r="F142" s="9" t="s">
        <v>610</v>
      </c>
      <c r="G142" s="12" t="s">
        <v>158</v>
      </c>
      <c r="H142" s="9" t="s">
        <v>611</v>
      </c>
      <c r="I142" s="10">
        <v>45308</v>
      </c>
    </row>
    <row r="143" spans="1:9" x14ac:dyDescent="0.15">
      <c r="A143" s="9">
        <v>142</v>
      </c>
      <c r="B143" s="9" t="s">
        <v>9</v>
      </c>
      <c r="C143" s="9">
        <v>1927</v>
      </c>
      <c r="D143" s="10">
        <v>45729</v>
      </c>
      <c r="E143" s="11" t="str">
        <f>+HYPERLINK("http://trademark.i-assist.jp/data/china/image_1927th/76482993.pdf","76482993")</f>
        <v>76482993</v>
      </c>
      <c r="F143" s="9" t="s">
        <v>612</v>
      </c>
      <c r="G143" s="12" t="s">
        <v>613</v>
      </c>
      <c r="H143" s="9" t="s">
        <v>614</v>
      </c>
      <c r="I143" s="10">
        <v>45309</v>
      </c>
    </row>
    <row r="144" spans="1:9" x14ac:dyDescent="0.15">
      <c r="A144" s="9">
        <v>143</v>
      </c>
      <c r="B144" s="9" t="s">
        <v>9</v>
      </c>
      <c r="C144" s="9">
        <v>1927</v>
      </c>
      <c r="D144" s="10">
        <v>45729</v>
      </c>
      <c r="E144" s="11" t="str">
        <f>+HYPERLINK("http://trademark.i-assist.jp/data/china/image_1927th/76598041.pdf","76598041")</f>
        <v>76598041</v>
      </c>
      <c r="F144" s="9" t="s">
        <v>615</v>
      </c>
      <c r="G144" s="9" t="s">
        <v>616</v>
      </c>
      <c r="H144" s="12" t="s">
        <v>617</v>
      </c>
      <c r="I144" s="10">
        <v>45316</v>
      </c>
    </row>
    <row r="145" spans="1:9" x14ac:dyDescent="0.15">
      <c r="A145" s="9">
        <v>144</v>
      </c>
      <c r="B145" s="9" t="s">
        <v>9</v>
      </c>
      <c r="C145" s="9">
        <v>1927</v>
      </c>
      <c r="D145" s="10">
        <v>45729</v>
      </c>
      <c r="E145" s="11" t="str">
        <f>+HYPERLINK("http://trademark.i-assist.jp/data/china/image_1927th/76604313.pdf","76604313")</f>
        <v>76604313</v>
      </c>
      <c r="F145" s="9" t="s">
        <v>618</v>
      </c>
      <c r="G145" s="9" t="s">
        <v>619</v>
      </c>
      <c r="H145" s="9" t="s">
        <v>620</v>
      </c>
      <c r="I145" s="10">
        <v>45316</v>
      </c>
    </row>
    <row r="146" spans="1:9" x14ac:dyDescent="0.15">
      <c r="A146" s="9">
        <v>145</v>
      </c>
      <c r="B146" s="9" t="s">
        <v>9</v>
      </c>
      <c r="C146" s="9">
        <v>1927</v>
      </c>
      <c r="D146" s="10">
        <v>45729</v>
      </c>
      <c r="E146" s="11" t="str">
        <f>+HYPERLINK("http://trademark.i-assist.jp/data/china/image_1927th/76823657.pdf","76823657")</f>
        <v>76823657</v>
      </c>
      <c r="F146" s="12" t="s">
        <v>621</v>
      </c>
      <c r="G146" s="9" t="s">
        <v>622</v>
      </c>
      <c r="H146" s="9" t="s">
        <v>623</v>
      </c>
      <c r="I146" s="10">
        <v>45330</v>
      </c>
    </row>
    <row r="147" spans="1:9" x14ac:dyDescent="0.15">
      <c r="A147" s="9">
        <v>146</v>
      </c>
      <c r="B147" s="9" t="s">
        <v>9</v>
      </c>
      <c r="C147" s="9">
        <v>1927</v>
      </c>
      <c r="D147" s="10">
        <v>45729</v>
      </c>
      <c r="E147" s="11" t="str">
        <f>+HYPERLINK("http://trademark.i-assist.jp/data/china/image_1927th/76851615.pdf","76851615")</f>
        <v>76851615</v>
      </c>
      <c r="F147" s="12" t="s">
        <v>624</v>
      </c>
      <c r="G147" s="9" t="s">
        <v>625</v>
      </c>
      <c r="H147" s="12" t="s">
        <v>626</v>
      </c>
      <c r="I147" s="10">
        <v>45341</v>
      </c>
    </row>
    <row r="148" spans="1:9" x14ac:dyDescent="0.15">
      <c r="A148" s="9">
        <v>147</v>
      </c>
      <c r="B148" s="9" t="s">
        <v>9</v>
      </c>
      <c r="C148" s="9">
        <v>1927</v>
      </c>
      <c r="D148" s="10">
        <v>45729</v>
      </c>
      <c r="E148" s="11" t="str">
        <f>+HYPERLINK("http://trademark.i-assist.jp/data/china/image_1927th/76964546.pdf","76964546")</f>
        <v>76964546</v>
      </c>
      <c r="F148" s="9" t="s">
        <v>627</v>
      </c>
      <c r="G148" s="9" t="s">
        <v>616</v>
      </c>
      <c r="H148" s="9" t="s">
        <v>628</v>
      </c>
      <c r="I148" s="10">
        <v>45348</v>
      </c>
    </row>
    <row r="149" spans="1:9" x14ac:dyDescent="0.15">
      <c r="A149" s="9">
        <v>148</v>
      </c>
      <c r="B149" s="9" t="s">
        <v>9</v>
      </c>
      <c r="C149" s="9">
        <v>1927</v>
      </c>
      <c r="D149" s="10">
        <v>45729</v>
      </c>
      <c r="E149" s="11" t="str">
        <f>+HYPERLINK("http://trademark.i-assist.jp/data/china/image_1927th/76998022.pdf","76998022")</f>
        <v>76998022</v>
      </c>
      <c r="F149" s="9" t="s">
        <v>629</v>
      </c>
      <c r="G149" s="12" t="s">
        <v>80</v>
      </c>
      <c r="H149" s="9" t="s">
        <v>630</v>
      </c>
      <c r="I149" s="10">
        <v>45350</v>
      </c>
    </row>
    <row r="150" spans="1:9" x14ac:dyDescent="0.15">
      <c r="A150" s="9">
        <v>149</v>
      </c>
      <c r="B150" s="9" t="s">
        <v>9</v>
      </c>
      <c r="C150" s="9">
        <v>1927</v>
      </c>
      <c r="D150" s="10">
        <v>45729</v>
      </c>
      <c r="E150" s="11" t="str">
        <f>+HYPERLINK("http://trademark.i-assist.jp/data/china/image_1927th/77064988.pdf","77064988")</f>
        <v>77064988</v>
      </c>
      <c r="F150" s="9" t="s">
        <v>631</v>
      </c>
      <c r="G150" s="9" t="s">
        <v>632</v>
      </c>
      <c r="H150" s="9" t="s">
        <v>633</v>
      </c>
      <c r="I150" s="10">
        <v>45353</v>
      </c>
    </row>
    <row r="151" spans="1:9" x14ac:dyDescent="0.15">
      <c r="A151" s="9">
        <v>150</v>
      </c>
      <c r="B151" s="9" t="s">
        <v>9</v>
      </c>
      <c r="C151" s="9">
        <v>1927</v>
      </c>
      <c r="D151" s="10">
        <v>45729</v>
      </c>
      <c r="E151" s="11" t="str">
        <f>+HYPERLINK("http://trademark.i-assist.jp/data/china/image_1927th/77074109.pdf","77074109")</f>
        <v>77074109</v>
      </c>
      <c r="F151" s="9" t="s">
        <v>634</v>
      </c>
      <c r="G151" s="12" t="s">
        <v>635</v>
      </c>
      <c r="H151" s="9" t="s">
        <v>636</v>
      </c>
      <c r="I151" s="10">
        <v>45355</v>
      </c>
    </row>
    <row r="152" spans="1:9" x14ac:dyDescent="0.15">
      <c r="A152" s="9">
        <v>151</v>
      </c>
      <c r="B152" s="9" t="s">
        <v>9</v>
      </c>
      <c r="C152" s="9">
        <v>1927</v>
      </c>
      <c r="D152" s="10">
        <v>45729</v>
      </c>
      <c r="E152" s="11" t="str">
        <f>+HYPERLINK("http://trademark.i-assist.jp/data/china/image_1927th/77090041.pdf","77090041")</f>
        <v>77090041</v>
      </c>
      <c r="F152" s="9" t="s">
        <v>637</v>
      </c>
      <c r="G152" s="12" t="s">
        <v>638</v>
      </c>
      <c r="H152" s="9" t="s">
        <v>639</v>
      </c>
      <c r="I152" s="10">
        <v>45355</v>
      </c>
    </row>
    <row r="153" spans="1:9" x14ac:dyDescent="0.15">
      <c r="A153" s="9">
        <v>152</v>
      </c>
      <c r="B153" s="9" t="s">
        <v>9</v>
      </c>
      <c r="C153" s="9">
        <v>1927</v>
      </c>
      <c r="D153" s="10">
        <v>45729</v>
      </c>
      <c r="E153" s="11" t="str">
        <f>+HYPERLINK("http://trademark.i-assist.jp/data/china/image_1927th/77090544.pdf","77090544")</f>
        <v>77090544</v>
      </c>
      <c r="F153" s="9" t="s">
        <v>640</v>
      </c>
      <c r="G153" s="9" t="s">
        <v>641</v>
      </c>
      <c r="H153" s="9" t="s">
        <v>642</v>
      </c>
      <c r="I153" s="10">
        <v>45355</v>
      </c>
    </row>
    <row r="154" spans="1:9" x14ac:dyDescent="0.15">
      <c r="A154" s="9">
        <v>153</v>
      </c>
      <c r="B154" s="9" t="s">
        <v>9</v>
      </c>
      <c r="C154" s="9">
        <v>1927</v>
      </c>
      <c r="D154" s="10">
        <v>45729</v>
      </c>
      <c r="E154" s="11" t="str">
        <f>+HYPERLINK("http://trademark.i-assist.jp/data/china/image_1927th/77144033.pdf","77144033")</f>
        <v>77144033</v>
      </c>
      <c r="F154" s="9" t="s">
        <v>643</v>
      </c>
      <c r="G154" s="9" t="s">
        <v>644</v>
      </c>
      <c r="H154" s="9" t="s">
        <v>645</v>
      </c>
      <c r="I154" s="10">
        <v>45357</v>
      </c>
    </row>
    <row r="155" spans="1:9" x14ac:dyDescent="0.15">
      <c r="A155" s="9">
        <v>154</v>
      </c>
      <c r="B155" s="9" t="s">
        <v>9</v>
      </c>
      <c r="C155" s="9">
        <v>1927</v>
      </c>
      <c r="D155" s="10">
        <v>45729</v>
      </c>
      <c r="E155" s="11" t="str">
        <f>+HYPERLINK("http://trademark.i-assist.jp/data/china/image_1927th/77176391.pdf","77176391")</f>
        <v>77176391</v>
      </c>
      <c r="F155" s="9" t="s">
        <v>646</v>
      </c>
      <c r="G155" s="9" t="s">
        <v>647</v>
      </c>
      <c r="H155" s="9" t="s">
        <v>648</v>
      </c>
      <c r="I155" s="10">
        <v>45359</v>
      </c>
    </row>
    <row r="156" spans="1:9" x14ac:dyDescent="0.15">
      <c r="A156" s="9">
        <v>155</v>
      </c>
      <c r="B156" s="9" t="s">
        <v>9</v>
      </c>
      <c r="C156" s="9">
        <v>1927</v>
      </c>
      <c r="D156" s="10">
        <v>45729</v>
      </c>
      <c r="E156" s="11" t="str">
        <f>+HYPERLINK("http://trademark.i-assist.jp/data/china/image_1927th/77177020.pdf","77177020")</f>
        <v>77177020</v>
      </c>
      <c r="F156" s="9" t="s">
        <v>649</v>
      </c>
      <c r="G156" s="9" t="s">
        <v>650</v>
      </c>
      <c r="H156" s="9" t="s">
        <v>651</v>
      </c>
      <c r="I156" s="10">
        <v>45359</v>
      </c>
    </row>
    <row r="157" spans="1:9" x14ac:dyDescent="0.15">
      <c r="A157" s="9">
        <v>156</v>
      </c>
      <c r="B157" s="9" t="s">
        <v>9</v>
      </c>
      <c r="C157" s="9">
        <v>1927</v>
      </c>
      <c r="D157" s="10">
        <v>45729</v>
      </c>
      <c r="E157" s="11" t="str">
        <f>+HYPERLINK("http://trademark.i-assist.jp/data/china/image_1927th/77191424.pdf","77191424")</f>
        <v>77191424</v>
      </c>
      <c r="F157" s="12" t="s">
        <v>652</v>
      </c>
      <c r="G157" s="9" t="s">
        <v>653</v>
      </c>
      <c r="H157" s="9" t="s">
        <v>654</v>
      </c>
      <c r="I157" s="10">
        <v>45359</v>
      </c>
    </row>
    <row r="158" spans="1:9" x14ac:dyDescent="0.15">
      <c r="A158" s="9">
        <v>157</v>
      </c>
      <c r="B158" s="9" t="s">
        <v>9</v>
      </c>
      <c r="C158" s="9">
        <v>1927</v>
      </c>
      <c r="D158" s="10">
        <v>45729</v>
      </c>
      <c r="E158" s="11" t="str">
        <f>+HYPERLINK("http://trademark.i-assist.jp/data/china/image_1927th/77228770.pdf","77228770")</f>
        <v>77228770</v>
      </c>
      <c r="F158" s="9" t="s">
        <v>655</v>
      </c>
      <c r="G158" s="9" t="s">
        <v>656</v>
      </c>
      <c r="H158" s="9" t="s">
        <v>657</v>
      </c>
      <c r="I158" s="10">
        <v>45362</v>
      </c>
    </row>
    <row r="159" spans="1:9" x14ac:dyDescent="0.15">
      <c r="A159" s="9">
        <v>158</v>
      </c>
      <c r="B159" s="9" t="s">
        <v>9</v>
      </c>
      <c r="C159" s="9">
        <v>1927</v>
      </c>
      <c r="D159" s="10">
        <v>45729</v>
      </c>
      <c r="E159" s="11" t="str">
        <f>+HYPERLINK("http://trademark.i-assist.jp/data/china/image_1927th/77243527.pdf","77243527")</f>
        <v>77243527</v>
      </c>
      <c r="F159" s="9" t="s">
        <v>658</v>
      </c>
      <c r="G159" s="9" t="s">
        <v>659</v>
      </c>
      <c r="H159" s="9" t="s">
        <v>660</v>
      </c>
      <c r="I159" s="10">
        <v>45363</v>
      </c>
    </row>
    <row r="160" spans="1:9" x14ac:dyDescent="0.15">
      <c r="A160" s="9">
        <v>159</v>
      </c>
      <c r="B160" s="9" t="s">
        <v>9</v>
      </c>
      <c r="C160" s="9">
        <v>1927</v>
      </c>
      <c r="D160" s="10">
        <v>45729</v>
      </c>
      <c r="E160" s="11" t="str">
        <f>+HYPERLINK("http://trademark.i-assist.jp/data/china/image_1927th/77243585.pdf","77243585")</f>
        <v>77243585</v>
      </c>
      <c r="F160" s="12" t="s">
        <v>661</v>
      </c>
      <c r="G160" s="12" t="s">
        <v>662</v>
      </c>
      <c r="H160" s="12" t="s">
        <v>663</v>
      </c>
      <c r="I160" s="10">
        <v>45363</v>
      </c>
    </row>
    <row r="161" spans="1:9" x14ac:dyDescent="0.15">
      <c r="A161" s="9">
        <v>160</v>
      </c>
      <c r="B161" s="9" t="s">
        <v>9</v>
      </c>
      <c r="C161" s="9">
        <v>1927</v>
      </c>
      <c r="D161" s="10">
        <v>45729</v>
      </c>
      <c r="E161" s="11" t="str">
        <f>+HYPERLINK("http://trademark.i-assist.jp/data/china/image_1927th/77283609.pdf","77283609")</f>
        <v>77283609</v>
      </c>
      <c r="F161" s="9" t="s">
        <v>664</v>
      </c>
      <c r="G161" s="12" t="s">
        <v>665</v>
      </c>
      <c r="H161" s="9" t="s">
        <v>666</v>
      </c>
      <c r="I161" s="10">
        <v>45364</v>
      </c>
    </row>
    <row r="162" spans="1:9" x14ac:dyDescent="0.15">
      <c r="A162" s="9">
        <v>161</v>
      </c>
      <c r="B162" s="9" t="s">
        <v>9</v>
      </c>
      <c r="C162" s="9">
        <v>1927</v>
      </c>
      <c r="D162" s="10">
        <v>45729</v>
      </c>
      <c r="E162" s="11" t="str">
        <f>+HYPERLINK("http://trademark.i-assist.jp/data/china/image_1927th/77321325.pdf","77321325")</f>
        <v>77321325</v>
      </c>
      <c r="F162" s="9" t="s">
        <v>667</v>
      </c>
      <c r="G162" s="12" t="s">
        <v>668</v>
      </c>
      <c r="H162" s="9" t="s">
        <v>669</v>
      </c>
      <c r="I162" s="10">
        <v>45366</v>
      </c>
    </row>
    <row r="163" spans="1:9" x14ac:dyDescent="0.15">
      <c r="A163" s="9">
        <v>162</v>
      </c>
      <c r="B163" s="9" t="s">
        <v>9</v>
      </c>
      <c r="C163" s="9">
        <v>1927</v>
      </c>
      <c r="D163" s="10">
        <v>45729</v>
      </c>
      <c r="E163" s="11" t="str">
        <f>+HYPERLINK("http://trademark.i-assist.jp/data/china/image_1927th/77334250.pdf","77334250")</f>
        <v>77334250</v>
      </c>
      <c r="F163" s="12" t="s">
        <v>20</v>
      </c>
      <c r="G163" s="9" t="s">
        <v>21</v>
      </c>
      <c r="H163" s="9" t="s">
        <v>670</v>
      </c>
      <c r="I163" s="10">
        <v>45366</v>
      </c>
    </row>
    <row r="164" spans="1:9" x14ac:dyDescent="0.15">
      <c r="A164" s="9">
        <v>163</v>
      </c>
      <c r="B164" s="9" t="s">
        <v>9</v>
      </c>
      <c r="C164" s="9">
        <v>1927</v>
      </c>
      <c r="D164" s="10">
        <v>45729</v>
      </c>
      <c r="E164" s="11" t="str">
        <f>+HYPERLINK("http://trademark.i-assist.jp/data/china/image_1927th/77372651.pdf","77372651")</f>
        <v>77372651</v>
      </c>
      <c r="F164" s="9" t="s">
        <v>671</v>
      </c>
      <c r="G164" s="9" t="s">
        <v>672</v>
      </c>
      <c r="H164" s="9" t="s">
        <v>673</v>
      </c>
      <c r="I164" s="10">
        <v>45369</v>
      </c>
    </row>
    <row r="165" spans="1:9" x14ac:dyDescent="0.15">
      <c r="A165" s="9">
        <v>164</v>
      </c>
      <c r="B165" s="9" t="s">
        <v>9</v>
      </c>
      <c r="C165" s="9">
        <v>1927</v>
      </c>
      <c r="D165" s="10">
        <v>45729</v>
      </c>
      <c r="E165" s="11" t="str">
        <f>+HYPERLINK("http://trademark.i-assist.jp/data/china/image_1927th/77484457.pdf","77484457")</f>
        <v>77484457</v>
      </c>
      <c r="F165" s="12" t="s">
        <v>674</v>
      </c>
      <c r="G165" s="12" t="s">
        <v>675</v>
      </c>
      <c r="H165" s="9" t="s">
        <v>676</v>
      </c>
      <c r="I165" s="10">
        <v>45376</v>
      </c>
    </row>
    <row r="166" spans="1:9" x14ac:dyDescent="0.15">
      <c r="A166" s="9">
        <v>165</v>
      </c>
      <c r="B166" s="9" t="s">
        <v>9</v>
      </c>
      <c r="C166" s="9">
        <v>1927</v>
      </c>
      <c r="D166" s="10">
        <v>45729</v>
      </c>
      <c r="E166" s="11" t="str">
        <f>+HYPERLINK("http://trademark.i-assist.jp/data/china/image_1927th/77489752.pdf","77489752")</f>
        <v>77489752</v>
      </c>
      <c r="F166" s="9" t="s">
        <v>677</v>
      </c>
      <c r="G166" s="9" t="s">
        <v>678</v>
      </c>
      <c r="H166" s="9" t="s">
        <v>679</v>
      </c>
      <c r="I166" s="10">
        <v>45376</v>
      </c>
    </row>
    <row r="167" spans="1:9" x14ac:dyDescent="0.15">
      <c r="A167" s="9">
        <v>166</v>
      </c>
      <c r="B167" s="9" t="s">
        <v>9</v>
      </c>
      <c r="C167" s="9">
        <v>1927</v>
      </c>
      <c r="D167" s="10">
        <v>45729</v>
      </c>
      <c r="E167" s="11" t="str">
        <f>+HYPERLINK("http://trademark.i-assist.jp/data/china/image_1927th/77495603.pdf","77495603")</f>
        <v>77495603</v>
      </c>
      <c r="F167" s="9" t="s">
        <v>680</v>
      </c>
      <c r="G167" s="9" t="s">
        <v>681</v>
      </c>
      <c r="H167" s="9" t="s">
        <v>682</v>
      </c>
      <c r="I167" s="10">
        <v>45376</v>
      </c>
    </row>
    <row r="168" spans="1:9" x14ac:dyDescent="0.15">
      <c r="A168" s="9">
        <v>167</v>
      </c>
      <c r="B168" s="9" t="s">
        <v>9</v>
      </c>
      <c r="C168" s="9">
        <v>1927</v>
      </c>
      <c r="D168" s="10">
        <v>45729</v>
      </c>
      <c r="E168" s="11" t="str">
        <f>+HYPERLINK("http://trademark.i-assist.jp/data/china/image_1927th/77495838.pdf","77495838")</f>
        <v>77495838</v>
      </c>
      <c r="F168" s="9" t="s">
        <v>683</v>
      </c>
      <c r="G168" s="9" t="s">
        <v>18</v>
      </c>
      <c r="H168" s="9" t="s">
        <v>684</v>
      </c>
      <c r="I168" s="10">
        <v>45376</v>
      </c>
    </row>
    <row r="169" spans="1:9" x14ac:dyDescent="0.15">
      <c r="A169" s="9">
        <v>168</v>
      </c>
      <c r="B169" s="9" t="s">
        <v>9</v>
      </c>
      <c r="C169" s="9">
        <v>1927</v>
      </c>
      <c r="D169" s="10">
        <v>45729</v>
      </c>
      <c r="E169" s="11" t="str">
        <f>+HYPERLINK("http://trademark.i-assist.jp/data/china/image_1927th/77497017.pdf","77497017")</f>
        <v>77497017</v>
      </c>
      <c r="F169" s="9" t="s">
        <v>685</v>
      </c>
      <c r="G169" s="9" t="s">
        <v>686</v>
      </c>
      <c r="H169" s="12" t="s">
        <v>687</v>
      </c>
      <c r="I169" s="10">
        <v>45376</v>
      </c>
    </row>
    <row r="170" spans="1:9" x14ac:dyDescent="0.15">
      <c r="A170" s="9">
        <v>169</v>
      </c>
      <c r="B170" s="9" t="s">
        <v>9</v>
      </c>
      <c r="C170" s="9">
        <v>1927</v>
      </c>
      <c r="D170" s="10">
        <v>45729</v>
      </c>
      <c r="E170" s="11" t="str">
        <f>+HYPERLINK("http://trademark.i-assist.jp/data/china/image_1927th/77501173.pdf","77501173")</f>
        <v>77501173</v>
      </c>
      <c r="F170" s="9" t="s">
        <v>688</v>
      </c>
      <c r="G170" s="9" t="s">
        <v>689</v>
      </c>
      <c r="H170" s="12" t="s">
        <v>690</v>
      </c>
      <c r="I170" s="10">
        <v>45376</v>
      </c>
    </row>
    <row r="171" spans="1:9" x14ac:dyDescent="0.15">
      <c r="A171" s="9">
        <v>170</v>
      </c>
      <c r="B171" s="9" t="s">
        <v>9</v>
      </c>
      <c r="C171" s="9">
        <v>1927</v>
      </c>
      <c r="D171" s="10">
        <v>45729</v>
      </c>
      <c r="E171" s="11" t="str">
        <f>+HYPERLINK("http://trademark.i-assist.jp/data/china/image_1927th/77512328.pdf","77512328")</f>
        <v>77512328</v>
      </c>
      <c r="F171" s="9" t="s">
        <v>691</v>
      </c>
      <c r="G171" s="9" t="s">
        <v>692</v>
      </c>
      <c r="H171" s="9" t="s">
        <v>693</v>
      </c>
      <c r="I171" s="10">
        <v>45376</v>
      </c>
    </row>
    <row r="172" spans="1:9" x14ac:dyDescent="0.15">
      <c r="A172" s="9">
        <v>171</v>
      </c>
      <c r="B172" s="9" t="s">
        <v>9</v>
      </c>
      <c r="C172" s="9">
        <v>1927</v>
      </c>
      <c r="D172" s="10">
        <v>45729</v>
      </c>
      <c r="E172" s="11" t="str">
        <f>+HYPERLINK("http://trademark.i-assist.jp/data/china/image_1927th/77628344.pdf","77628344")</f>
        <v>77628344</v>
      </c>
      <c r="F172" s="9" t="s">
        <v>694</v>
      </c>
      <c r="G172" s="12" t="s">
        <v>695</v>
      </c>
      <c r="H172" s="9" t="s">
        <v>696</v>
      </c>
      <c r="I172" s="10">
        <v>45379</v>
      </c>
    </row>
    <row r="173" spans="1:9" x14ac:dyDescent="0.15">
      <c r="A173" s="9">
        <v>172</v>
      </c>
      <c r="B173" s="9" t="s">
        <v>9</v>
      </c>
      <c r="C173" s="9">
        <v>1927</v>
      </c>
      <c r="D173" s="10">
        <v>45729</v>
      </c>
      <c r="E173" s="11" t="str">
        <f>+HYPERLINK("http://trademark.i-assist.jp/data/china/image_1927th/77658829.pdf","77658829")</f>
        <v>77658829</v>
      </c>
      <c r="F173" s="9" t="s">
        <v>697</v>
      </c>
      <c r="G173" s="9" t="s">
        <v>698</v>
      </c>
      <c r="H173" s="9" t="s">
        <v>699</v>
      </c>
      <c r="I173" s="10">
        <v>45380</v>
      </c>
    </row>
    <row r="174" spans="1:9" x14ac:dyDescent="0.15">
      <c r="A174" s="9">
        <v>173</v>
      </c>
      <c r="B174" s="9" t="s">
        <v>9</v>
      </c>
      <c r="C174" s="9">
        <v>1927</v>
      </c>
      <c r="D174" s="10">
        <v>45729</v>
      </c>
      <c r="E174" s="11" t="str">
        <f>+HYPERLINK("http://trademark.i-assist.jp/data/china/image_1927th/77680579.pdf","77680579")</f>
        <v>77680579</v>
      </c>
      <c r="F174" s="9" t="s">
        <v>700</v>
      </c>
      <c r="G174" s="9" t="s">
        <v>701</v>
      </c>
      <c r="H174" s="9" t="s">
        <v>702</v>
      </c>
      <c r="I174" s="10">
        <v>45383</v>
      </c>
    </row>
    <row r="175" spans="1:9" x14ac:dyDescent="0.15">
      <c r="A175" s="9">
        <v>174</v>
      </c>
      <c r="B175" s="9" t="s">
        <v>9</v>
      </c>
      <c r="C175" s="9">
        <v>1927</v>
      </c>
      <c r="D175" s="10">
        <v>45729</v>
      </c>
      <c r="E175" s="11" t="str">
        <f>+HYPERLINK("http://trademark.i-assist.jp/data/china/image_1927th/77719733.pdf","77719733")</f>
        <v>77719733</v>
      </c>
      <c r="F175" s="9" t="s">
        <v>703</v>
      </c>
      <c r="G175" s="9" t="s">
        <v>704</v>
      </c>
      <c r="H175" s="9" t="s">
        <v>705</v>
      </c>
      <c r="I175" s="10">
        <v>45384</v>
      </c>
    </row>
    <row r="176" spans="1:9" x14ac:dyDescent="0.15">
      <c r="A176" s="9">
        <v>175</v>
      </c>
      <c r="B176" s="9" t="s">
        <v>9</v>
      </c>
      <c r="C176" s="9">
        <v>1927</v>
      </c>
      <c r="D176" s="10">
        <v>45729</v>
      </c>
      <c r="E176" s="11" t="str">
        <f>+HYPERLINK("http://trademark.i-assist.jp/data/china/image_1927th/77763287.pdf","77763287")</f>
        <v>77763287</v>
      </c>
      <c r="F176" s="9" t="s">
        <v>706</v>
      </c>
      <c r="G176" s="9" t="s">
        <v>707</v>
      </c>
      <c r="H176" s="9" t="s">
        <v>708</v>
      </c>
      <c r="I176" s="10">
        <v>45385</v>
      </c>
    </row>
    <row r="177" spans="1:9" x14ac:dyDescent="0.15">
      <c r="A177" s="9">
        <v>176</v>
      </c>
      <c r="B177" s="9" t="s">
        <v>9</v>
      </c>
      <c r="C177" s="9">
        <v>1927</v>
      </c>
      <c r="D177" s="10">
        <v>45729</v>
      </c>
      <c r="E177" s="11" t="str">
        <f>+HYPERLINK("http://trademark.i-assist.jp/data/china/image_1927th/77781952.pdf","77781952")</f>
        <v>77781952</v>
      </c>
      <c r="F177" s="9" t="s">
        <v>709</v>
      </c>
      <c r="G177" s="9" t="s">
        <v>710</v>
      </c>
      <c r="H177" s="9" t="s">
        <v>711</v>
      </c>
      <c r="I177" s="10">
        <v>45389</v>
      </c>
    </row>
    <row r="178" spans="1:9" x14ac:dyDescent="0.15">
      <c r="A178" s="9">
        <v>177</v>
      </c>
      <c r="B178" s="9" t="s">
        <v>9</v>
      </c>
      <c r="C178" s="9">
        <v>1927</v>
      </c>
      <c r="D178" s="10">
        <v>45729</v>
      </c>
      <c r="E178" s="11" t="str">
        <f>+HYPERLINK("http://trademark.i-assist.jp/data/china/image_1927th/77786174.pdf","77786174")</f>
        <v>77786174</v>
      </c>
      <c r="F178" s="9" t="s">
        <v>712</v>
      </c>
      <c r="G178" s="9" t="s">
        <v>713</v>
      </c>
      <c r="H178" s="9" t="s">
        <v>714</v>
      </c>
      <c r="I178" s="10">
        <v>45389</v>
      </c>
    </row>
    <row r="179" spans="1:9" x14ac:dyDescent="0.15">
      <c r="A179" s="9">
        <v>178</v>
      </c>
      <c r="B179" s="9" t="s">
        <v>9</v>
      </c>
      <c r="C179" s="9">
        <v>1927</v>
      </c>
      <c r="D179" s="10">
        <v>45729</v>
      </c>
      <c r="E179" s="11" t="str">
        <f>+HYPERLINK("http://trademark.i-assist.jp/data/china/image_1927th/77799937.pdf","77799937")</f>
        <v>77799937</v>
      </c>
      <c r="F179" s="9" t="s">
        <v>715</v>
      </c>
      <c r="G179" s="9" t="s">
        <v>716</v>
      </c>
      <c r="H179" s="9" t="s">
        <v>717</v>
      </c>
      <c r="I179" s="10">
        <v>45389</v>
      </c>
    </row>
    <row r="180" spans="1:9" x14ac:dyDescent="0.15">
      <c r="A180" s="9">
        <v>179</v>
      </c>
      <c r="B180" s="9" t="s">
        <v>9</v>
      </c>
      <c r="C180" s="9">
        <v>1927</v>
      </c>
      <c r="D180" s="10">
        <v>45729</v>
      </c>
      <c r="E180" s="11" t="str">
        <f>+HYPERLINK("http://trademark.i-assist.jp/data/china/image_1927th/77806608.pdf","77806608")</f>
        <v>77806608</v>
      </c>
      <c r="F180" s="9" t="s">
        <v>718</v>
      </c>
      <c r="G180" s="9" t="s">
        <v>719</v>
      </c>
      <c r="H180" s="9" t="s">
        <v>720</v>
      </c>
      <c r="I180" s="10">
        <v>45390</v>
      </c>
    </row>
    <row r="181" spans="1:9" x14ac:dyDescent="0.15">
      <c r="A181" s="9">
        <v>180</v>
      </c>
      <c r="B181" s="9" t="s">
        <v>9</v>
      </c>
      <c r="C181" s="9">
        <v>1927</v>
      </c>
      <c r="D181" s="10">
        <v>45729</v>
      </c>
      <c r="E181" s="11" t="str">
        <f>+HYPERLINK("http://trademark.i-assist.jp/data/china/image_1927th/77817248.pdf","77817248")</f>
        <v>77817248</v>
      </c>
      <c r="F181" s="9" t="s">
        <v>721</v>
      </c>
      <c r="G181" s="9" t="s">
        <v>722</v>
      </c>
      <c r="H181" s="9" t="s">
        <v>723</v>
      </c>
      <c r="I181" s="10">
        <v>45390</v>
      </c>
    </row>
    <row r="182" spans="1:9" x14ac:dyDescent="0.15">
      <c r="A182" s="9">
        <v>181</v>
      </c>
      <c r="B182" s="9" t="s">
        <v>9</v>
      </c>
      <c r="C182" s="9">
        <v>1927</v>
      </c>
      <c r="D182" s="10">
        <v>45729</v>
      </c>
      <c r="E182" s="11" t="str">
        <f>+HYPERLINK("http://trademark.i-assist.jp/data/china/image_1927th/77829812.pdf","77829812")</f>
        <v>77829812</v>
      </c>
      <c r="F182" s="9" t="s">
        <v>724</v>
      </c>
      <c r="G182" s="9" t="s">
        <v>722</v>
      </c>
      <c r="H182" s="9" t="s">
        <v>725</v>
      </c>
      <c r="I182" s="10">
        <v>45390</v>
      </c>
    </row>
    <row r="183" spans="1:9" x14ac:dyDescent="0.15">
      <c r="A183" s="9">
        <v>182</v>
      </c>
      <c r="B183" s="9" t="s">
        <v>9</v>
      </c>
      <c r="C183" s="9">
        <v>1927</v>
      </c>
      <c r="D183" s="10">
        <v>45729</v>
      </c>
      <c r="E183" s="11" t="str">
        <f>+HYPERLINK("http://trademark.i-assist.jp/data/china/image_1927th/77846360.pdf","77846360")</f>
        <v>77846360</v>
      </c>
      <c r="F183" s="12" t="s">
        <v>726</v>
      </c>
      <c r="G183" s="9" t="s">
        <v>727</v>
      </c>
      <c r="H183" s="9" t="s">
        <v>728</v>
      </c>
      <c r="I183" s="10">
        <v>45391</v>
      </c>
    </row>
    <row r="184" spans="1:9" x14ac:dyDescent="0.15">
      <c r="A184" s="9">
        <v>183</v>
      </c>
      <c r="B184" s="9" t="s">
        <v>9</v>
      </c>
      <c r="C184" s="9">
        <v>1927</v>
      </c>
      <c r="D184" s="10">
        <v>45729</v>
      </c>
      <c r="E184" s="11" t="str">
        <f>+HYPERLINK("http://trademark.i-assist.jp/data/china/image_1927th/77871538.pdf","77871538")</f>
        <v>77871538</v>
      </c>
      <c r="F184" s="9" t="s">
        <v>729</v>
      </c>
      <c r="G184" s="9" t="s">
        <v>730</v>
      </c>
      <c r="H184" s="9" t="s">
        <v>731</v>
      </c>
      <c r="I184" s="10">
        <v>45392</v>
      </c>
    </row>
    <row r="185" spans="1:9" x14ac:dyDescent="0.15">
      <c r="A185" s="9">
        <v>184</v>
      </c>
      <c r="B185" s="9" t="s">
        <v>9</v>
      </c>
      <c r="C185" s="9">
        <v>1927</v>
      </c>
      <c r="D185" s="10">
        <v>45729</v>
      </c>
      <c r="E185" s="11" t="str">
        <f>+HYPERLINK("http://trademark.i-assist.jp/data/china/image_1927th/77913321.pdf","77913321")</f>
        <v>77913321</v>
      </c>
      <c r="F185" s="9" t="s">
        <v>732</v>
      </c>
      <c r="G185" s="9" t="s">
        <v>733</v>
      </c>
      <c r="H185" s="9" t="s">
        <v>734</v>
      </c>
      <c r="I185" s="10">
        <v>45393</v>
      </c>
    </row>
    <row r="186" spans="1:9" x14ac:dyDescent="0.15">
      <c r="A186" s="9">
        <v>185</v>
      </c>
      <c r="B186" s="9" t="s">
        <v>9</v>
      </c>
      <c r="C186" s="9">
        <v>1927</v>
      </c>
      <c r="D186" s="10">
        <v>45729</v>
      </c>
      <c r="E186" s="11" t="str">
        <f>+HYPERLINK("http://trademark.i-assist.jp/data/china/image_1927th/77952000.pdf","77952000")</f>
        <v>77952000</v>
      </c>
      <c r="F186" s="9" t="s">
        <v>735</v>
      </c>
      <c r="G186" s="9" t="s">
        <v>736</v>
      </c>
      <c r="H186" s="9" t="s">
        <v>737</v>
      </c>
      <c r="I186" s="10">
        <v>45395</v>
      </c>
    </row>
    <row r="187" spans="1:9" x14ac:dyDescent="0.15">
      <c r="A187" s="9">
        <v>186</v>
      </c>
      <c r="B187" s="9" t="s">
        <v>9</v>
      </c>
      <c r="C187" s="9">
        <v>1927</v>
      </c>
      <c r="D187" s="10">
        <v>45729</v>
      </c>
      <c r="E187" s="11" t="str">
        <f>+HYPERLINK("http://trademark.i-assist.jp/data/china/image_1927th/77961215.pdf","77961215")</f>
        <v>77961215</v>
      </c>
      <c r="F187" s="9" t="s">
        <v>738</v>
      </c>
      <c r="G187" s="9" t="s">
        <v>710</v>
      </c>
      <c r="H187" s="9" t="s">
        <v>739</v>
      </c>
      <c r="I187" s="10">
        <v>45397</v>
      </c>
    </row>
    <row r="188" spans="1:9" x14ac:dyDescent="0.15">
      <c r="A188" s="9">
        <v>187</v>
      </c>
      <c r="B188" s="9" t="s">
        <v>9</v>
      </c>
      <c r="C188" s="9">
        <v>1927</v>
      </c>
      <c r="D188" s="10">
        <v>45729</v>
      </c>
      <c r="E188" s="11" t="str">
        <f>+HYPERLINK("http://trademark.i-assist.jp/data/china/image_1927th/77977535.pdf","77977535")</f>
        <v>77977535</v>
      </c>
      <c r="F188" s="9" t="s">
        <v>740</v>
      </c>
      <c r="G188" s="9" t="s">
        <v>741</v>
      </c>
      <c r="H188" s="9" t="s">
        <v>742</v>
      </c>
      <c r="I188" s="10">
        <v>45397</v>
      </c>
    </row>
    <row r="189" spans="1:9" x14ac:dyDescent="0.15">
      <c r="A189" s="9">
        <v>188</v>
      </c>
      <c r="B189" s="9" t="s">
        <v>9</v>
      </c>
      <c r="C189" s="9">
        <v>1927</v>
      </c>
      <c r="D189" s="10">
        <v>45729</v>
      </c>
      <c r="E189" s="11" t="str">
        <f>+HYPERLINK("http://trademark.i-assist.jp/data/china/image_1927th/78041813.pdf","78041813")</f>
        <v>78041813</v>
      </c>
      <c r="F189" s="12" t="s">
        <v>743</v>
      </c>
      <c r="G189" s="9" t="s">
        <v>744</v>
      </c>
      <c r="H189" s="9" t="s">
        <v>745</v>
      </c>
      <c r="I189" s="10">
        <v>45399</v>
      </c>
    </row>
    <row r="190" spans="1:9" x14ac:dyDescent="0.15">
      <c r="A190" s="9">
        <v>189</v>
      </c>
      <c r="B190" s="9" t="s">
        <v>9</v>
      </c>
      <c r="C190" s="9">
        <v>1927</v>
      </c>
      <c r="D190" s="10">
        <v>45729</v>
      </c>
      <c r="E190" s="11" t="str">
        <f>+HYPERLINK("http://trademark.i-assist.jp/data/china/image_1927th/78096785.pdf","78096785")</f>
        <v>78096785</v>
      </c>
      <c r="F190" s="9" t="s">
        <v>746</v>
      </c>
      <c r="G190" s="9" t="s">
        <v>747</v>
      </c>
      <c r="H190" s="9" t="s">
        <v>748</v>
      </c>
      <c r="I190" s="10">
        <v>45401</v>
      </c>
    </row>
    <row r="191" spans="1:9" x14ac:dyDescent="0.15">
      <c r="A191" s="9">
        <v>190</v>
      </c>
      <c r="B191" s="9" t="s">
        <v>9</v>
      </c>
      <c r="C191" s="9">
        <v>1927</v>
      </c>
      <c r="D191" s="10">
        <v>45729</v>
      </c>
      <c r="E191" s="11" t="str">
        <f>+HYPERLINK("http://trademark.i-assist.jp/data/china/image_1927th/78139423.pdf","78139423")</f>
        <v>78139423</v>
      </c>
      <c r="F191" s="12" t="s">
        <v>16</v>
      </c>
      <c r="G191" s="9" t="s">
        <v>749</v>
      </c>
      <c r="H191" s="12" t="s">
        <v>750</v>
      </c>
      <c r="I191" s="10">
        <v>45404</v>
      </c>
    </row>
    <row r="192" spans="1:9" x14ac:dyDescent="0.15">
      <c r="A192" s="9">
        <v>191</v>
      </c>
      <c r="B192" s="9" t="s">
        <v>9</v>
      </c>
      <c r="C192" s="9">
        <v>1927</v>
      </c>
      <c r="D192" s="10">
        <v>45729</v>
      </c>
      <c r="E192" s="11" t="str">
        <f>+HYPERLINK("http://trademark.i-assist.jp/data/china/image_1927th/78164516.pdf","78164516")</f>
        <v>78164516</v>
      </c>
      <c r="F192" s="9" t="s">
        <v>751</v>
      </c>
      <c r="G192" s="12" t="s">
        <v>752</v>
      </c>
      <c r="H192" s="9" t="s">
        <v>753</v>
      </c>
      <c r="I192" s="10">
        <v>45405</v>
      </c>
    </row>
    <row r="193" spans="1:9" x14ac:dyDescent="0.15">
      <c r="A193" s="9">
        <v>192</v>
      </c>
      <c r="B193" s="9" t="s">
        <v>9</v>
      </c>
      <c r="C193" s="9">
        <v>1927</v>
      </c>
      <c r="D193" s="10">
        <v>45729</v>
      </c>
      <c r="E193" s="11" t="str">
        <f>+HYPERLINK("http://trademark.i-assist.jp/data/china/image_1927th/78174303.pdf","78174303")</f>
        <v>78174303</v>
      </c>
      <c r="F193" s="9" t="s">
        <v>754</v>
      </c>
      <c r="G193" s="9" t="s">
        <v>755</v>
      </c>
      <c r="H193" s="9" t="s">
        <v>756</v>
      </c>
      <c r="I193" s="10">
        <v>45405</v>
      </c>
    </row>
    <row r="194" spans="1:9" x14ac:dyDescent="0.15">
      <c r="A194" s="9">
        <v>193</v>
      </c>
      <c r="B194" s="9" t="s">
        <v>9</v>
      </c>
      <c r="C194" s="9">
        <v>1927</v>
      </c>
      <c r="D194" s="10">
        <v>45729</v>
      </c>
      <c r="E194" s="11" t="str">
        <f>+HYPERLINK("http://trademark.i-assist.jp/data/china/image_1927th/78183822.pdf","78183822")</f>
        <v>78183822</v>
      </c>
      <c r="F194" s="12" t="s">
        <v>757</v>
      </c>
      <c r="G194" s="9" t="s">
        <v>758</v>
      </c>
      <c r="H194" s="12" t="s">
        <v>759</v>
      </c>
      <c r="I194" s="10">
        <v>45405</v>
      </c>
    </row>
    <row r="195" spans="1:9" x14ac:dyDescent="0.15">
      <c r="A195" s="9">
        <v>194</v>
      </c>
      <c r="B195" s="9" t="s">
        <v>9</v>
      </c>
      <c r="C195" s="9">
        <v>1927</v>
      </c>
      <c r="D195" s="10">
        <v>45729</v>
      </c>
      <c r="E195" s="11" t="str">
        <f>+HYPERLINK("http://trademark.i-assist.jp/data/china/image_1927th/78187021.pdf","78187021")</f>
        <v>78187021</v>
      </c>
      <c r="F195" s="12" t="s">
        <v>760</v>
      </c>
      <c r="G195" s="9" t="s">
        <v>761</v>
      </c>
      <c r="H195" s="9" t="s">
        <v>762</v>
      </c>
      <c r="I195" s="10">
        <v>45406</v>
      </c>
    </row>
    <row r="196" spans="1:9" x14ac:dyDescent="0.15">
      <c r="A196" s="9">
        <v>195</v>
      </c>
      <c r="B196" s="9" t="s">
        <v>9</v>
      </c>
      <c r="C196" s="9">
        <v>1927</v>
      </c>
      <c r="D196" s="10">
        <v>45729</v>
      </c>
      <c r="E196" s="11" t="str">
        <f>+HYPERLINK("http://trademark.i-assist.jp/data/china/image_1927th/78201532.pdf","78201532")</f>
        <v>78201532</v>
      </c>
      <c r="F196" s="9" t="s">
        <v>763</v>
      </c>
      <c r="G196" s="9" t="s">
        <v>764</v>
      </c>
      <c r="H196" s="12" t="s">
        <v>765</v>
      </c>
      <c r="I196" s="10">
        <v>45406</v>
      </c>
    </row>
    <row r="197" spans="1:9" x14ac:dyDescent="0.15">
      <c r="A197" s="9">
        <v>196</v>
      </c>
      <c r="B197" s="9" t="s">
        <v>9</v>
      </c>
      <c r="C197" s="9">
        <v>1927</v>
      </c>
      <c r="D197" s="10">
        <v>45729</v>
      </c>
      <c r="E197" s="11" t="str">
        <f>+HYPERLINK("http://trademark.i-assist.jp/data/china/image_1927th/78207076.pdf","78207076")</f>
        <v>78207076</v>
      </c>
      <c r="F197" s="9" t="s">
        <v>766</v>
      </c>
      <c r="G197" s="12" t="s">
        <v>767</v>
      </c>
      <c r="H197" s="9" t="s">
        <v>768</v>
      </c>
      <c r="I197" s="10">
        <v>45406</v>
      </c>
    </row>
    <row r="198" spans="1:9" x14ac:dyDescent="0.15">
      <c r="A198" s="9">
        <v>197</v>
      </c>
      <c r="B198" s="9" t="s">
        <v>9</v>
      </c>
      <c r="C198" s="9">
        <v>1927</v>
      </c>
      <c r="D198" s="10">
        <v>45729</v>
      </c>
      <c r="E198" s="11" t="str">
        <f>+HYPERLINK("http://trademark.i-assist.jp/data/china/image_1927th/78238057.pdf","78238057")</f>
        <v>78238057</v>
      </c>
      <c r="F198" s="9" t="s">
        <v>769</v>
      </c>
      <c r="G198" s="12" t="s">
        <v>770</v>
      </c>
      <c r="H198" s="9" t="s">
        <v>771</v>
      </c>
      <c r="I198" s="10">
        <v>45407</v>
      </c>
    </row>
    <row r="199" spans="1:9" x14ac:dyDescent="0.15">
      <c r="A199" s="9">
        <v>198</v>
      </c>
      <c r="B199" s="9" t="s">
        <v>9</v>
      </c>
      <c r="C199" s="9">
        <v>1927</v>
      </c>
      <c r="D199" s="10">
        <v>45729</v>
      </c>
      <c r="E199" s="11" t="str">
        <f>+HYPERLINK("http://trademark.i-assist.jp/data/china/image_1927th/78244830.pdf","78244830")</f>
        <v>78244830</v>
      </c>
      <c r="F199" s="9" t="s">
        <v>772</v>
      </c>
      <c r="G199" s="9" t="s">
        <v>773</v>
      </c>
      <c r="H199" s="9" t="s">
        <v>774</v>
      </c>
      <c r="I199" s="10">
        <v>45408</v>
      </c>
    </row>
    <row r="200" spans="1:9" x14ac:dyDescent="0.15">
      <c r="A200" s="9">
        <v>199</v>
      </c>
      <c r="B200" s="9" t="s">
        <v>9</v>
      </c>
      <c r="C200" s="9">
        <v>1927</v>
      </c>
      <c r="D200" s="10">
        <v>45729</v>
      </c>
      <c r="E200" s="11" t="str">
        <f>+HYPERLINK("http://trademark.i-assist.jp/data/china/image_1927th/78262482.pdf","78262482")</f>
        <v>78262482</v>
      </c>
      <c r="F200" s="9" t="s">
        <v>775</v>
      </c>
      <c r="G200" s="9" t="s">
        <v>776</v>
      </c>
      <c r="H200" s="9" t="s">
        <v>777</v>
      </c>
      <c r="I200" s="10">
        <v>45408</v>
      </c>
    </row>
    <row r="201" spans="1:9" x14ac:dyDescent="0.15">
      <c r="A201" s="9">
        <v>200</v>
      </c>
      <c r="B201" s="9" t="s">
        <v>9</v>
      </c>
      <c r="C201" s="9">
        <v>1927</v>
      </c>
      <c r="D201" s="10">
        <v>45729</v>
      </c>
      <c r="E201" s="11" t="str">
        <f>+HYPERLINK("http://trademark.i-assist.jp/data/china/image_1927th/78294690.pdf","78294690")</f>
        <v>78294690</v>
      </c>
      <c r="F201" s="9" t="s">
        <v>778</v>
      </c>
      <c r="G201" s="9" t="s">
        <v>779</v>
      </c>
      <c r="H201" s="9" t="s">
        <v>780</v>
      </c>
      <c r="I201" s="10">
        <v>45410</v>
      </c>
    </row>
    <row r="202" spans="1:9" x14ac:dyDescent="0.15">
      <c r="A202" s="9">
        <v>201</v>
      </c>
      <c r="B202" s="9" t="s">
        <v>9</v>
      </c>
      <c r="C202" s="9">
        <v>1927</v>
      </c>
      <c r="D202" s="10">
        <v>45729</v>
      </c>
      <c r="E202" s="11" t="str">
        <f>+HYPERLINK("http://trademark.i-assist.jp/data/china/image_1927th/78307993.pdf","78307993")</f>
        <v>78307993</v>
      </c>
      <c r="F202" s="12" t="s">
        <v>781</v>
      </c>
      <c r="G202" s="13" t="s">
        <v>782</v>
      </c>
      <c r="H202" s="9" t="s">
        <v>783</v>
      </c>
      <c r="I202" s="10">
        <v>45410</v>
      </c>
    </row>
    <row r="203" spans="1:9" x14ac:dyDescent="0.15">
      <c r="A203" s="9">
        <v>202</v>
      </c>
      <c r="B203" s="9" t="s">
        <v>9</v>
      </c>
      <c r="C203" s="9">
        <v>1927</v>
      </c>
      <c r="D203" s="10">
        <v>45729</v>
      </c>
      <c r="E203" s="11" t="str">
        <f>+HYPERLINK("http://trademark.i-assist.jp/data/china/image_1927th/78333262.pdf","78333262")</f>
        <v>78333262</v>
      </c>
      <c r="F203" s="9" t="s">
        <v>784</v>
      </c>
      <c r="G203" s="9" t="s">
        <v>785</v>
      </c>
      <c r="H203" s="9" t="s">
        <v>786</v>
      </c>
      <c r="I203" s="10">
        <v>45411</v>
      </c>
    </row>
    <row r="204" spans="1:9" x14ac:dyDescent="0.15">
      <c r="A204" s="9">
        <v>203</v>
      </c>
      <c r="B204" s="9" t="s">
        <v>9</v>
      </c>
      <c r="C204" s="9">
        <v>1927</v>
      </c>
      <c r="D204" s="10">
        <v>45729</v>
      </c>
      <c r="E204" s="11" t="str">
        <f>+HYPERLINK("http://trademark.i-assist.jp/data/china/image_1927th/78345431.pdf","78345431")</f>
        <v>78345431</v>
      </c>
      <c r="F204" s="12" t="s">
        <v>787</v>
      </c>
      <c r="G204" s="12" t="s">
        <v>788</v>
      </c>
      <c r="H204" s="9" t="s">
        <v>789</v>
      </c>
      <c r="I204" s="10">
        <v>45411</v>
      </c>
    </row>
    <row r="205" spans="1:9" x14ac:dyDescent="0.15">
      <c r="A205" s="9">
        <v>204</v>
      </c>
      <c r="B205" s="9" t="s">
        <v>9</v>
      </c>
      <c r="C205" s="9">
        <v>1927</v>
      </c>
      <c r="D205" s="10">
        <v>45729</v>
      </c>
      <c r="E205" s="11" t="str">
        <f>+HYPERLINK("http://trademark.i-assist.jp/data/china/image_1927th/78352588.pdf","78352588")</f>
        <v>78352588</v>
      </c>
      <c r="F205" s="12" t="s">
        <v>790</v>
      </c>
      <c r="G205" s="9" t="s">
        <v>791</v>
      </c>
      <c r="H205" s="9" t="s">
        <v>792</v>
      </c>
      <c r="I205" s="10">
        <v>45418</v>
      </c>
    </row>
    <row r="206" spans="1:9" x14ac:dyDescent="0.15">
      <c r="A206" s="9">
        <v>205</v>
      </c>
      <c r="B206" s="9" t="s">
        <v>9</v>
      </c>
      <c r="C206" s="9">
        <v>1927</v>
      </c>
      <c r="D206" s="10">
        <v>45729</v>
      </c>
      <c r="E206" s="11" t="str">
        <f>+HYPERLINK("http://trademark.i-assist.jp/data/china/image_1927th/78376584.pdf","78376584")</f>
        <v>78376584</v>
      </c>
      <c r="F206" s="9" t="s">
        <v>793</v>
      </c>
      <c r="G206" s="9" t="s">
        <v>791</v>
      </c>
      <c r="H206" s="9" t="s">
        <v>794</v>
      </c>
      <c r="I206" s="10">
        <v>45418</v>
      </c>
    </row>
    <row r="207" spans="1:9" x14ac:dyDescent="0.15">
      <c r="A207" s="9">
        <v>206</v>
      </c>
      <c r="B207" s="9" t="s">
        <v>9</v>
      </c>
      <c r="C207" s="9">
        <v>1927</v>
      </c>
      <c r="D207" s="10">
        <v>45729</v>
      </c>
      <c r="E207" s="11" t="str">
        <f>+HYPERLINK("http://trademark.i-assist.jp/data/china/image_1927th/78398381.pdf","78398381")</f>
        <v>78398381</v>
      </c>
      <c r="F207" s="9" t="s">
        <v>795</v>
      </c>
      <c r="G207" s="9" t="s">
        <v>796</v>
      </c>
      <c r="H207" s="9" t="s">
        <v>797</v>
      </c>
      <c r="I207" s="10">
        <v>45419</v>
      </c>
    </row>
    <row r="208" spans="1:9" x14ac:dyDescent="0.15">
      <c r="A208" s="9">
        <v>207</v>
      </c>
      <c r="B208" s="9" t="s">
        <v>9</v>
      </c>
      <c r="C208" s="9">
        <v>1927</v>
      </c>
      <c r="D208" s="10">
        <v>45729</v>
      </c>
      <c r="E208" s="11" t="str">
        <f>+HYPERLINK("http://trademark.i-assist.jp/data/china/image_1927th/78438765.pdf","78438765")</f>
        <v>78438765</v>
      </c>
      <c r="F208" s="9" t="s">
        <v>798</v>
      </c>
      <c r="G208" s="9" t="s">
        <v>710</v>
      </c>
      <c r="H208" s="9" t="s">
        <v>799</v>
      </c>
      <c r="I208" s="10">
        <v>45420</v>
      </c>
    </row>
    <row r="209" spans="1:9" x14ac:dyDescent="0.15">
      <c r="A209" s="9">
        <v>208</v>
      </c>
      <c r="B209" s="9" t="s">
        <v>9</v>
      </c>
      <c r="C209" s="9">
        <v>1927</v>
      </c>
      <c r="D209" s="10">
        <v>45729</v>
      </c>
      <c r="E209" s="11" t="str">
        <f>+HYPERLINK("http://trademark.i-assist.jp/data/china/image_1927th/78440115.pdf","78440115")</f>
        <v>78440115</v>
      </c>
      <c r="F209" s="12" t="s">
        <v>800</v>
      </c>
      <c r="G209" s="9" t="s">
        <v>801</v>
      </c>
      <c r="H209" s="12" t="s">
        <v>802</v>
      </c>
      <c r="I209" s="10">
        <v>45420</v>
      </c>
    </row>
    <row r="210" spans="1:9" x14ac:dyDescent="0.15">
      <c r="A210" s="9">
        <v>209</v>
      </c>
      <c r="B210" s="9" t="s">
        <v>9</v>
      </c>
      <c r="C210" s="9">
        <v>1927</v>
      </c>
      <c r="D210" s="10">
        <v>45729</v>
      </c>
      <c r="E210" s="11" t="str">
        <f>+HYPERLINK("http://trademark.i-assist.jp/data/china/image_1927th/78443030.pdf","78443030")</f>
        <v>78443030</v>
      </c>
      <c r="F210" s="12" t="s">
        <v>803</v>
      </c>
      <c r="G210" s="12" t="s">
        <v>804</v>
      </c>
      <c r="H210" s="9" t="s">
        <v>805</v>
      </c>
      <c r="I210" s="10">
        <v>45420</v>
      </c>
    </row>
    <row r="211" spans="1:9" x14ac:dyDescent="0.15">
      <c r="A211" s="9">
        <v>210</v>
      </c>
      <c r="B211" s="9" t="s">
        <v>9</v>
      </c>
      <c r="C211" s="9">
        <v>1927</v>
      </c>
      <c r="D211" s="10">
        <v>45729</v>
      </c>
      <c r="E211" s="11" t="str">
        <f>+HYPERLINK("http://trademark.i-assist.jp/data/china/image_1927th/78446595.pdf","78446595")</f>
        <v>78446595</v>
      </c>
      <c r="F211" s="9" t="s">
        <v>806</v>
      </c>
      <c r="G211" s="9" t="s">
        <v>252</v>
      </c>
      <c r="H211" s="9" t="s">
        <v>807</v>
      </c>
      <c r="I211" s="10">
        <v>45420</v>
      </c>
    </row>
    <row r="212" spans="1:9" x14ac:dyDescent="0.15">
      <c r="A212" s="9">
        <v>211</v>
      </c>
      <c r="B212" s="9" t="s">
        <v>9</v>
      </c>
      <c r="C212" s="9">
        <v>1927</v>
      </c>
      <c r="D212" s="10">
        <v>45729</v>
      </c>
      <c r="E212" s="11" t="str">
        <f>+HYPERLINK("http://trademark.i-assist.jp/data/china/image_1927th/78463303.pdf","78463303")</f>
        <v>78463303</v>
      </c>
      <c r="F212" s="9" t="s">
        <v>808</v>
      </c>
      <c r="G212" s="12" t="s">
        <v>809</v>
      </c>
      <c r="H212" s="12" t="s">
        <v>810</v>
      </c>
      <c r="I212" s="10">
        <v>45421</v>
      </c>
    </row>
    <row r="213" spans="1:9" x14ac:dyDescent="0.15">
      <c r="A213" s="9">
        <v>212</v>
      </c>
      <c r="B213" s="9" t="s">
        <v>9</v>
      </c>
      <c r="C213" s="9">
        <v>1927</v>
      </c>
      <c r="D213" s="10">
        <v>45729</v>
      </c>
      <c r="E213" s="11" t="str">
        <f>+HYPERLINK("http://trademark.i-assist.jp/data/china/image_1927th/78480134.pdf","78480134")</f>
        <v>78480134</v>
      </c>
      <c r="F213" s="9" t="s">
        <v>811</v>
      </c>
      <c r="G213" s="9" t="s">
        <v>812</v>
      </c>
      <c r="H213" s="9" t="s">
        <v>813</v>
      </c>
      <c r="I213" s="10">
        <v>45421</v>
      </c>
    </row>
    <row r="214" spans="1:9" x14ac:dyDescent="0.15">
      <c r="A214" s="9">
        <v>213</v>
      </c>
      <c r="B214" s="9" t="s">
        <v>9</v>
      </c>
      <c r="C214" s="9">
        <v>1927</v>
      </c>
      <c r="D214" s="10">
        <v>45729</v>
      </c>
      <c r="E214" s="11" t="str">
        <f>+HYPERLINK("http://trademark.i-assist.jp/data/china/image_1927th/78497285.pdf","78497285")</f>
        <v>78497285</v>
      </c>
      <c r="F214" s="12" t="s">
        <v>16</v>
      </c>
      <c r="G214" s="9" t="s">
        <v>814</v>
      </c>
      <c r="H214" s="9" t="s">
        <v>815</v>
      </c>
      <c r="I214" s="10">
        <v>45422</v>
      </c>
    </row>
    <row r="215" spans="1:9" x14ac:dyDescent="0.15">
      <c r="A215" s="9">
        <v>214</v>
      </c>
      <c r="B215" s="9" t="s">
        <v>9</v>
      </c>
      <c r="C215" s="9">
        <v>1927</v>
      </c>
      <c r="D215" s="10">
        <v>45729</v>
      </c>
      <c r="E215" s="11" t="str">
        <f>+HYPERLINK("http://trademark.i-assist.jp/data/china/image_1927th/78510336.pdf","78510336")</f>
        <v>78510336</v>
      </c>
      <c r="F215" s="9" t="s">
        <v>816</v>
      </c>
      <c r="G215" s="12" t="s">
        <v>817</v>
      </c>
      <c r="H215" s="9" t="s">
        <v>818</v>
      </c>
      <c r="I215" s="10">
        <v>45422</v>
      </c>
    </row>
    <row r="216" spans="1:9" x14ac:dyDescent="0.15">
      <c r="A216" s="9">
        <v>215</v>
      </c>
      <c r="B216" s="9" t="s">
        <v>9</v>
      </c>
      <c r="C216" s="9">
        <v>1927</v>
      </c>
      <c r="D216" s="10">
        <v>45729</v>
      </c>
      <c r="E216" s="11" t="str">
        <f>+HYPERLINK("http://trademark.i-assist.jp/data/china/image_1927th/78568839.pdf","78568839")</f>
        <v>78568839</v>
      </c>
      <c r="F216" s="9" t="s">
        <v>819</v>
      </c>
      <c r="G216" s="12" t="s">
        <v>820</v>
      </c>
      <c r="H216" s="9" t="s">
        <v>821</v>
      </c>
      <c r="I216" s="10">
        <v>45426</v>
      </c>
    </row>
    <row r="217" spans="1:9" x14ac:dyDescent="0.15">
      <c r="A217" s="9">
        <v>216</v>
      </c>
      <c r="B217" s="9" t="s">
        <v>9</v>
      </c>
      <c r="C217" s="9">
        <v>1927</v>
      </c>
      <c r="D217" s="10">
        <v>45729</v>
      </c>
      <c r="E217" s="11" t="str">
        <f>+HYPERLINK("http://trademark.i-assist.jp/data/china/image_1927th/78674024.pdf","78674024")</f>
        <v>78674024</v>
      </c>
      <c r="F217" s="9" t="s">
        <v>822</v>
      </c>
      <c r="G217" s="9" t="s">
        <v>823</v>
      </c>
      <c r="H217" s="9" t="s">
        <v>824</v>
      </c>
      <c r="I217" s="10">
        <v>45429</v>
      </c>
    </row>
    <row r="218" spans="1:9" x14ac:dyDescent="0.15">
      <c r="A218" s="9">
        <v>217</v>
      </c>
      <c r="B218" s="9" t="s">
        <v>9</v>
      </c>
      <c r="C218" s="9">
        <v>1927</v>
      </c>
      <c r="D218" s="10">
        <v>45729</v>
      </c>
      <c r="E218" s="11" t="str">
        <f>+HYPERLINK("http://trademark.i-assist.jp/data/china/image_1927th/78675505.pdf","78675505")</f>
        <v>78675505</v>
      </c>
      <c r="F218" s="9" t="s">
        <v>825</v>
      </c>
      <c r="G218" s="9" t="s">
        <v>826</v>
      </c>
      <c r="H218" s="9" t="s">
        <v>827</v>
      </c>
      <c r="I218" s="10">
        <v>45429</v>
      </c>
    </row>
    <row r="219" spans="1:9" x14ac:dyDescent="0.15">
      <c r="A219" s="9">
        <v>218</v>
      </c>
      <c r="B219" s="9" t="s">
        <v>9</v>
      </c>
      <c r="C219" s="9">
        <v>1927</v>
      </c>
      <c r="D219" s="10">
        <v>45729</v>
      </c>
      <c r="E219" s="11" t="str">
        <f>+HYPERLINK("http://trademark.i-assist.jp/data/china/image_1927th/78750421.pdf","78750421")</f>
        <v>78750421</v>
      </c>
      <c r="F219" s="12" t="s">
        <v>16</v>
      </c>
      <c r="G219" s="9" t="s">
        <v>85</v>
      </c>
      <c r="H219" s="9" t="s">
        <v>828</v>
      </c>
      <c r="I219" s="10">
        <v>45434</v>
      </c>
    </row>
    <row r="220" spans="1:9" x14ac:dyDescent="0.15">
      <c r="A220" s="9">
        <v>219</v>
      </c>
      <c r="B220" s="9" t="s">
        <v>9</v>
      </c>
      <c r="C220" s="9">
        <v>1927</v>
      </c>
      <c r="D220" s="10">
        <v>45729</v>
      </c>
      <c r="E220" s="11" t="str">
        <f>+HYPERLINK("http://trademark.i-assist.jp/data/china/image_1927th/79113381.pdf","79113381")</f>
        <v>79113381</v>
      </c>
      <c r="F220" s="9" t="s">
        <v>829</v>
      </c>
      <c r="G220" s="9" t="s">
        <v>830</v>
      </c>
      <c r="H220" s="9" t="s">
        <v>831</v>
      </c>
      <c r="I220" s="10">
        <v>45450</v>
      </c>
    </row>
    <row r="221" spans="1:9" x14ac:dyDescent="0.15">
      <c r="A221" s="9">
        <v>220</v>
      </c>
      <c r="B221" s="9" t="s">
        <v>9</v>
      </c>
      <c r="C221" s="9">
        <v>1927</v>
      </c>
      <c r="D221" s="10">
        <v>45729</v>
      </c>
      <c r="E221" s="11" t="str">
        <f>+HYPERLINK("http://trademark.i-assist.jp/data/china/image_1927th/79157459.pdf","79157459")</f>
        <v>79157459</v>
      </c>
      <c r="F221" s="9" t="s">
        <v>832</v>
      </c>
      <c r="G221" s="9" t="s">
        <v>833</v>
      </c>
      <c r="H221" s="9" t="s">
        <v>834</v>
      </c>
      <c r="I221" s="10">
        <v>45455</v>
      </c>
    </row>
    <row r="222" spans="1:9" x14ac:dyDescent="0.15">
      <c r="A222" s="9">
        <v>221</v>
      </c>
      <c r="B222" s="9" t="s">
        <v>9</v>
      </c>
      <c r="C222" s="9">
        <v>1927</v>
      </c>
      <c r="D222" s="10">
        <v>45729</v>
      </c>
      <c r="E222" s="11" t="str">
        <f>+HYPERLINK("http://trademark.i-assist.jp/data/china/image_1927th/79317921.pdf","79317921")</f>
        <v>79317921</v>
      </c>
      <c r="F222" s="9" t="s">
        <v>835</v>
      </c>
      <c r="G222" s="9" t="s">
        <v>836</v>
      </c>
      <c r="H222" s="9" t="s">
        <v>837</v>
      </c>
      <c r="I222" s="10">
        <v>45462</v>
      </c>
    </row>
    <row r="223" spans="1:9" x14ac:dyDescent="0.15">
      <c r="A223" s="9">
        <v>222</v>
      </c>
      <c r="B223" s="9" t="s">
        <v>9</v>
      </c>
      <c r="C223" s="9">
        <v>1927</v>
      </c>
      <c r="D223" s="10">
        <v>45729</v>
      </c>
      <c r="E223" s="11" t="str">
        <f>+HYPERLINK("http://trademark.i-assist.jp/data/china/image_1927th/79345140.pdf","79345140")</f>
        <v>79345140</v>
      </c>
      <c r="F223" s="9" t="s">
        <v>838</v>
      </c>
      <c r="G223" s="9" t="s">
        <v>839</v>
      </c>
      <c r="H223" s="9" t="s">
        <v>840</v>
      </c>
      <c r="I223" s="10">
        <v>45463</v>
      </c>
    </row>
    <row r="224" spans="1:9" x14ac:dyDescent="0.15">
      <c r="A224" s="9">
        <v>223</v>
      </c>
      <c r="B224" s="9" t="s">
        <v>9</v>
      </c>
      <c r="C224" s="9">
        <v>1927</v>
      </c>
      <c r="D224" s="10">
        <v>45729</v>
      </c>
      <c r="E224" s="11" t="str">
        <f>+HYPERLINK("http://trademark.i-assist.jp/data/china/image_1927th/79876997.pdf","79876997")</f>
        <v>79876997</v>
      </c>
      <c r="F224" s="9" t="s">
        <v>841</v>
      </c>
      <c r="G224" s="9" t="s">
        <v>842</v>
      </c>
      <c r="H224" s="9" t="s">
        <v>843</v>
      </c>
      <c r="I224" s="10">
        <v>45491</v>
      </c>
    </row>
    <row r="225" spans="1:9" x14ac:dyDescent="0.15">
      <c r="A225" s="9">
        <v>224</v>
      </c>
      <c r="B225" s="9" t="s">
        <v>9</v>
      </c>
      <c r="C225" s="9">
        <v>1927</v>
      </c>
      <c r="D225" s="10">
        <v>45729</v>
      </c>
      <c r="E225" s="11" t="str">
        <f>+HYPERLINK("http://trademark.i-assist.jp/data/china/image_1927th/80063684.pdf","80063684")</f>
        <v>80063684</v>
      </c>
      <c r="F225" s="9" t="s">
        <v>844</v>
      </c>
      <c r="G225" s="9" t="s">
        <v>845</v>
      </c>
      <c r="H225" s="9" t="s">
        <v>846</v>
      </c>
      <c r="I225" s="10">
        <v>45502</v>
      </c>
    </row>
    <row r="226" spans="1:9" x14ac:dyDescent="0.15">
      <c r="A226" s="9">
        <v>225</v>
      </c>
      <c r="B226" s="9" t="s">
        <v>9</v>
      </c>
      <c r="C226" s="9">
        <v>1927</v>
      </c>
      <c r="D226" s="10">
        <v>45729</v>
      </c>
      <c r="E226" s="11" t="str">
        <f>+HYPERLINK("http://trademark.i-assist.jp/data/china/image_1927th/80070260.pdf","80070260")</f>
        <v>80070260</v>
      </c>
      <c r="F226" s="9" t="s">
        <v>847</v>
      </c>
      <c r="G226" s="9" t="s">
        <v>845</v>
      </c>
      <c r="H226" s="9" t="s">
        <v>848</v>
      </c>
      <c r="I226" s="10">
        <v>45502</v>
      </c>
    </row>
    <row r="227" spans="1:9" x14ac:dyDescent="0.15">
      <c r="A227" s="9">
        <v>226</v>
      </c>
      <c r="B227" s="9" t="s">
        <v>9</v>
      </c>
      <c r="C227" s="9">
        <v>1927</v>
      </c>
      <c r="D227" s="10">
        <v>45729</v>
      </c>
      <c r="E227" s="11" t="str">
        <f>+HYPERLINK("http://trademark.i-assist.jp/data/china/image_1927th/80098008.pdf","80098008")</f>
        <v>80098008</v>
      </c>
      <c r="F227" s="9" t="s">
        <v>849</v>
      </c>
      <c r="G227" s="12" t="s">
        <v>850</v>
      </c>
      <c r="H227" s="9" t="s">
        <v>851</v>
      </c>
      <c r="I227" s="10">
        <v>45504</v>
      </c>
    </row>
    <row r="228" spans="1:9" x14ac:dyDescent="0.15">
      <c r="A228" s="9">
        <v>227</v>
      </c>
      <c r="B228" s="9" t="s">
        <v>9</v>
      </c>
      <c r="C228" s="9">
        <v>1927</v>
      </c>
      <c r="D228" s="10">
        <v>45729</v>
      </c>
      <c r="E228" s="11" t="str">
        <f>+HYPERLINK("http://trademark.i-assist.jp/data/china/image_1927th/80098124.pdf","80098124")</f>
        <v>80098124</v>
      </c>
      <c r="F228" s="9" t="s">
        <v>852</v>
      </c>
      <c r="G228" s="12" t="s">
        <v>850</v>
      </c>
      <c r="H228" s="12" t="s">
        <v>853</v>
      </c>
      <c r="I228" s="10">
        <v>45504</v>
      </c>
    </row>
    <row r="229" spans="1:9" x14ac:dyDescent="0.15">
      <c r="A229" s="9">
        <v>228</v>
      </c>
      <c r="B229" s="9" t="s">
        <v>9</v>
      </c>
      <c r="C229" s="9">
        <v>1927</v>
      </c>
      <c r="D229" s="10">
        <v>45729</v>
      </c>
      <c r="E229" s="11" t="str">
        <f>+HYPERLINK("http://trademark.i-assist.jp/data/china/image_1927th/80117757.pdf","80117757")</f>
        <v>80117757</v>
      </c>
      <c r="F229" s="9" t="s">
        <v>854</v>
      </c>
      <c r="G229" s="12" t="s">
        <v>850</v>
      </c>
      <c r="H229" s="12" t="s">
        <v>855</v>
      </c>
      <c r="I229" s="10">
        <v>45504</v>
      </c>
    </row>
    <row r="230" spans="1:9" x14ac:dyDescent="0.15">
      <c r="A230" s="9">
        <v>229</v>
      </c>
      <c r="B230" s="9" t="s">
        <v>9</v>
      </c>
      <c r="C230" s="9">
        <v>1927</v>
      </c>
      <c r="D230" s="10">
        <v>45729</v>
      </c>
      <c r="E230" s="11" t="str">
        <f>+HYPERLINK("http://trademark.i-assist.jp/data/china/image_1927th/80323866.pdf","80323866")</f>
        <v>80323866</v>
      </c>
      <c r="F230" s="9" t="s">
        <v>856</v>
      </c>
      <c r="G230" s="9" t="s">
        <v>857</v>
      </c>
      <c r="H230" s="9" t="s">
        <v>858</v>
      </c>
      <c r="I230" s="10">
        <v>45517</v>
      </c>
    </row>
    <row r="231" spans="1:9" x14ac:dyDescent="0.15">
      <c r="A231" s="9">
        <v>230</v>
      </c>
      <c r="B231" s="9" t="s">
        <v>9</v>
      </c>
      <c r="C231" s="9">
        <v>1927</v>
      </c>
      <c r="D231" s="10">
        <v>45729</v>
      </c>
      <c r="E231" s="11" t="str">
        <f>+HYPERLINK("http://trademark.i-assist.jp/data/china/image_1927th/80373908.pdf","80373908")</f>
        <v>80373908</v>
      </c>
      <c r="F231" s="9" t="s">
        <v>859</v>
      </c>
      <c r="G231" s="9" t="s">
        <v>860</v>
      </c>
      <c r="H231" s="9" t="s">
        <v>861</v>
      </c>
      <c r="I231" s="10">
        <v>45519</v>
      </c>
    </row>
    <row r="232" spans="1:9" x14ac:dyDescent="0.15">
      <c r="A232" s="9">
        <v>231</v>
      </c>
      <c r="B232" s="9" t="s">
        <v>9</v>
      </c>
      <c r="C232" s="9">
        <v>1927</v>
      </c>
      <c r="D232" s="10">
        <v>45729</v>
      </c>
      <c r="E232" s="11" t="str">
        <f>+HYPERLINK("http://trademark.i-assist.jp/data/china/image_1927th/80618971.pdf","80618971")</f>
        <v>80618971</v>
      </c>
      <c r="F232" s="9" t="s">
        <v>862</v>
      </c>
      <c r="G232" s="9" t="s">
        <v>863</v>
      </c>
      <c r="H232" s="9" t="s">
        <v>864</v>
      </c>
      <c r="I232" s="10">
        <v>45532</v>
      </c>
    </row>
    <row r="233" spans="1:9" x14ac:dyDescent="0.15">
      <c r="A233" s="9">
        <v>232</v>
      </c>
      <c r="B233" s="9" t="s">
        <v>9</v>
      </c>
      <c r="C233" s="9">
        <v>1927</v>
      </c>
      <c r="D233" s="10">
        <v>45729</v>
      </c>
      <c r="E233" s="11" t="str">
        <f>+HYPERLINK("http://trademark.i-assist.jp/data/china/image_1927th/80619769.pdf","80619769")</f>
        <v>80619769</v>
      </c>
      <c r="F233" s="9" t="s">
        <v>865</v>
      </c>
      <c r="G233" s="9" t="s">
        <v>863</v>
      </c>
      <c r="H233" s="9" t="s">
        <v>866</v>
      </c>
      <c r="I233" s="10">
        <v>45532</v>
      </c>
    </row>
    <row r="234" spans="1:9" x14ac:dyDescent="0.15">
      <c r="A234" s="9">
        <v>233</v>
      </c>
      <c r="B234" s="9" t="s">
        <v>9</v>
      </c>
      <c r="C234" s="9">
        <v>1927</v>
      </c>
      <c r="D234" s="10">
        <v>45729</v>
      </c>
      <c r="E234" s="11" t="str">
        <f>+HYPERLINK("http://trademark.i-assist.jp/data/china/image_1927th/80637656.pdf","80637656")</f>
        <v>80637656</v>
      </c>
      <c r="F234" s="9" t="s">
        <v>867</v>
      </c>
      <c r="G234" s="9" t="s">
        <v>868</v>
      </c>
      <c r="H234" s="9" t="s">
        <v>869</v>
      </c>
      <c r="I234" s="10">
        <v>45533</v>
      </c>
    </row>
    <row r="235" spans="1:9" x14ac:dyDescent="0.15">
      <c r="A235" s="9">
        <v>234</v>
      </c>
      <c r="B235" s="9" t="s">
        <v>9</v>
      </c>
      <c r="C235" s="9">
        <v>1927</v>
      </c>
      <c r="D235" s="10">
        <v>45729</v>
      </c>
      <c r="E235" s="11" t="str">
        <f>+HYPERLINK("http://trademark.i-assist.jp/data/china/image_1927th/80694956.pdf","80694956")</f>
        <v>80694956</v>
      </c>
      <c r="F235" s="9" t="s">
        <v>870</v>
      </c>
      <c r="G235" s="9" t="s">
        <v>871</v>
      </c>
      <c r="H235" s="9" t="s">
        <v>872</v>
      </c>
      <c r="I235" s="10">
        <v>45537</v>
      </c>
    </row>
    <row r="236" spans="1:9" x14ac:dyDescent="0.15">
      <c r="A236" s="9">
        <v>235</v>
      </c>
      <c r="B236" s="9" t="s">
        <v>9</v>
      </c>
      <c r="C236" s="9">
        <v>1927</v>
      </c>
      <c r="D236" s="10">
        <v>45729</v>
      </c>
      <c r="E236" s="11" t="str">
        <f>+HYPERLINK("http://trademark.i-assist.jp/data/china/image_1927th/80771435.pdf","80771435")</f>
        <v>80771435</v>
      </c>
      <c r="F236" s="9" t="s">
        <v>873</v>
      </c>
      <c r="G236" s="9" t="s">
        <v>874</v>
      </c>
      <c r="H236" s="12" t="s">
        <v>875</v>
      </c>
      <c r="I236" s="10">
        <v>45540</v>
      </c>
    </row>
    <row r="237" spans="1:9" x14ac:dyDescent="0.15">
      <c r="A237" s="9">
        <v>236</v>
      </c>
      <c r="B237" s="9" t="s">
        <v>9</v>
      </c>
      <c r="C237" s="9">
        <v>1927</v>
      </c>
      <c r="D237" s="10">
        <v>45729</v>
      </c>
      <c r="E237" s="11" t="str">
        <f>+HYPERLINK("http://trademark.i-assist.jp/data/china/image_1927th/80829268.pdf","80829268")</f>
        <v>80829268</v>
      </c>
      <c r="F237" s="9" t="s">
        <v>876</v>
      </c>
      <c r="G237" s="12" t="s">
        <v>86</v>
      </c>
      <c r="H237" s="9" t="s">
        <v>877</v>
      </c>
      <c r="I237" s="10">
        <v>45544</v>
      </c>
    </row>
    <row r="238" spans="1:9" x14ac:dyDescent="0.15">
      <c r="A238" s="9">
        <v>237</v>
      </c>
      <c r="B238" s="9" t="s">
        <v>9</v>
      </c>
      <c r="C238" s="9">
        <v>1927</v>
      </c>
      <c r="D238" s="10">
        <v>45729</v>
      </c>
      <c r="E238" s="11" t="str">
        <f>+HYPERLINK("http://trademark.i-assist.jp/data/china/image_1927th/80903038.pdf","80903038")</f>
        <v>80903038</v>
      </c>
      <c r="F238" s="9" t="s">
        <v>878</v>
      </c>
      <c r="G238" s="9" t="s">
        <v>879</v>
      </c>
      <c r="H238" s="9" t="s">
        <v>880</v>
      </c>
      <c r="I238" s="10">
        <v>45548</v>
      </c>
    </row>
    <row r="239" spans="1:9" x14ac:dyDescent="0.15">
      <c r="A239" s="9">
        <v>238</v>
      </c>
      <c r="B239" s="9" t="s">
        <v>9</v>
      </c>
      <c r="C239" s="9">
        <v>1927</v>
      </c>
      <c r="D239" s="10">
        <v>45729</v>
      </c>
      <c r="E239" s="11" t="str">
        <f>+HYPERLINK("http://trademark.i-assist.jp/data/china/image_1927th/80931588.pdf","80931588")</f>
        <v>80931588</v>
      </c>
      <c r="F239" s="9" t="s">
        <v>881</v>
      </c>
      <c r="G239" s="12" t="s">
        <v>882</v>
      </c>
      <c r="H239" s="9" t="s">
        <v>883</v>
      </c>
      <c r="I239" s="10">
        <v>45549</v>
      </c>
    </row>
    <row r="240" spans="1:9" x14ac:dyDescent="0.15">
      <c r="A240" s="9">
        <v>239</v>
      </c>
      <c r="B240" s="9" t="s">
        <v>9</v>
      </c>
      <c r="C240" s="9">
        <v>1927</v>
      </c>
      <c r="D240" s="10">
        <v>45729</v>
      </c>
      <c r="E240" s="11" t="str">
        <f>+HYPERLINK("http://trademark.i-assist.jp/data/china/image_1927th/80952425.pdf","80952425")</f>
        <v>80952425</v>
      </c>
      <c r="F240" s="12" t="s">
        <v>16</v>
      </c>
      <c r="G240" s="9" t="s">
        <v>884</v>
      </c>
      <c r="H240" s="9" t="s">
        <v>885</v>
      </c>
      <c r="I240" s="10">
        <v>45549</v>
      </c>
    </row>
    <row r="241" spans="1:9" x14ac:dyDescent="0.15">
      <c r="A241" s="9">
        <v>240</v>
      </c>
      <c r="B241" s="9" t="s">
        <v>9</v>
      </c>
      <c r="C241" s="9">
        <v>1927</v>
      </c>
      <c r="D241" s="10">
        <v>45729</v>
      </c>
      <c r="E241" s="11" t="str">
        <f>+HYPERLINK("http://trademark.i-assist.jp/data/china/image_1927th/80955492.pdf","80955492")</f>
        <v>80955492</v>
      </c>
      <c r="F241" s="12" t="s">
        <v>16</v>
      </c>
      <c r="G241" s="9" t="s">
        <v>886</v>
      </c>
      <c r="H241" s="9" t="s">
        <v>887</v>
      </c>
      <c r="I241" s="10">
        <v>45550</v>
      </c>
    </row>
    <row r="242" spans="1:9" x14ac:dyDescent="0.15">
      <c r="A242" s="9">
        <v>241</v>
      </c>
      <c r="B242" s="9" t="s">
        <v>9</v>
      </c>
      <c r="C242" s="9">
        <v>1927</v>
      </c>
      <c r="D242" s="10">
        <v>45729</v>
      </c>
      <c r="E242" s="11" t="str">
        <f>+HYPERLINK("http://trademark.i-assist.jp/data/china/image_1927th/80979341.pdf","80979341")</f>
        <v>80979341</v>
      </c>
      <c r="F242" s="9" t="s">
        <v>888</v>
      </c>
      <c r="G242" s="9" t="s">
        <v>889</v>
      </c>
      <c r="H242" s="9" t="s">
        <v>890</v>
      </c>
      <c r="I242" s="10">
        <v>45553</v>
      </c>
    </row>
    <row r="243" spans="1:9" x14ac:dyDescent="0.15">
      <c r="A243" s="9">
        <v>242</v>
      </c>
      <c r="B243" s="9" t="s">
        <v>9</v>
      </c>
      <c r="C243" s="9">
        <v>1927</v>
      </c>
      <c r="D243" s="10">
        <v>45729</v>
      </c>
      <c r="E243" s="11" t="str">
        <f>+HYPERLINK("http://trademark.i-assist.jp/data/china/image_1927th/80997644.pdf","80997644")</f>
        <v>80997644</v>
      </c>
      <c r="F243" s="12" t="s">
        <v>891</v>
      </c>
      <c r="G243" s="9" t="s">
        <v>892</v>
      </c>
      <c r="H243" s="9" t="s">
        <v>893</v>
      </c>
      <c r="I243" s="10">
        <v>45554</v>
      </c>
    </row>
    <row r="244" spans="1:9" x14ac:dyDescent="0.15">
      <c r="A244" s="9">
        <v>243</v>
      </c>
      <c r="B244" s="9" t="s">
        <v>9</v>
      </c>
      <c r="C244" s="9">
        <v>1927</v>
      </c>
      <c r="D244" s="10">
        <v>45729</v>
      </c>
      <c r="E244" s="11" t="str">
        <f>+HYPERLINK("http://trademark.i-assist.jp/data/china/image_1927th/81006246.pdf","81006246")</f>
        <v>81006246</v>
      </c>
      <c r="F244" s="9" t="s">
        <v>894</v>
      </c>
      <c r="G244" s="9" t="s">
        <v>895</v>
      </c>
      <c r="H244" s="9" t="s">
        <v>896</v>
      </c>
      <c r="I244" s="10">
        <v>45555</v>
      </c>
    </row>
    <row r="245" spans="1:9" x14ac:dyDescent="0.15">
      <c r="A245" s="9">
        <v>244</v>
      </c>
      <c r="B245" s="9" t="s">
        <v>9</v>
      </c>
      <c r="C245" s="9">
        <v>1927</v>
      </c>
      <c r="D245" s="10">
        <v>45729</v>
      </c>
      <c r="E245" s="11" t="str">
        <f>+HYPERLINK("http://trademark.i-assist.jp/data/china/image_1927th/81014503.pdf","81014503")</f>
        <v>81014503</v>
      </c>
      <c r="F245" s="12" t="s">
        <v>16</v>
      </c>
      <c r="G245" s="9" t="s">
        <v>897</v>
      </c>
      <c r="H245" s="9" t="s">
        <v>898</v>
      </c>
      <c r="I245" s="10">
        <v>45555</v>
      </c>
    </row>
    <row r="246" spans="1:9" x14ac:dyDescent="0.15">
      <c r="A246" s="9">
        <v>245</v>
      </c>
      <c r="B246" s="9" t="s">
        <v>9</v>
      </c>
      <c r="C246" s="9">
        <v>1927</v>
      </c>
      <c r="D246" s="10">
        <v>45729</v>
      </c>
      <c r="E246" s="11" t="str">
        <f>+HYPERLINK("http://trademark.i-assist.jp/data/china/image_1927th/81102402.pdf","81102402")</f>
        <v>81102402</v>
      </c>
      <c r="F246" s="9" t="s">
        <v>899</v>
      </c>
      <c r="G246" s="9" t="s">
        <v>900</v>
      </c>
      <c r="H246" s="9" t="s">
        <v>901</v>
      </c>
      <c r="I246" s="10">
        <v>45560</v>
      </c>
    </row>
    <row r="247" spans="1:9" x14ac:dyDescent="0.15">
      <c r="A247" s="9">
        <v>246</v>
      </c>
      <c r="B247" s="9" t="s">
        <v>9</v>
      </c>
      <c r="C247" s="9">
        <v>1927</v>
      </c>
      <c r="D247" s="10">
        <v>45729</v>
      </c>
      <c r="E247" s="11" t="str">
        <f>+HYPERLINK("http://trademark.i-assist.jp/data/china/image_1927th/81113969.pdf","81113969")</f>
        <v>81113969</v>
      </c>
      <c r="F247" s="9" t="s">
        <v>902</v>
      </c>
      <c r="G247" s="12" t="s">
        <v>903</v>
      </c>
      <c r="H247" s="9" t="s">
        <v>904</v>
      </c>
      <c r="I247" s="10">
        <v>45560</v>
      </c>
    </row>
    <row r="248" spans="1:9" x14ac:dyDescent="0.15">
      <c r="A248" s="9">
        <v>247</v>
      </c>
      <c r="B248" s="9" t="s">
        <v>9</v>
      </c>
      <c r="C248" s="9">
        <v>1927</v>
      </c>
      <c r="D248" s="10">
        <v>45729</v>
      </c>
      <c r="E248" s="11" t="str">
        <f>+HYPERLINK("http://trademark.i-assist.jp/data/china/image_1927th/81124203.pdf","81124203")</f>
        <v>81124203</v>
      </c>
      <c r="F248" s="9" t="s">
        <v>905</v>
      </c>
      <c r="G248" s="9" t="s">
        <v>906</v>
      </c>
      <c r="H248" s="9" t="s">
        <v>907</v>
      </c>
      <c r="I248" s="10">
        <v>45561</v>
      </c>
    </row>
    <row r="249" spans="1:9" x14ac:dyDescent="0.15">
      <c r="A249" s="9">
        <v>248</v>
      </c>
      <c r="B249" s="9" t="s">
        <v>9</v>
      </c>
      <c r="C249" s="9">
        <v>1927</v>
      </c>
      <c r="D249" s="10">
        <v>45729</v>
      </c>
      <c r="E249" s="11" t="str">
        <f>+HYPERLINK("http://trademark.i-assist.jp/data/china/image_1927th/81134606.pdf","81134606")</f>
        <v>81134606</v>
      </c>
      <c r="F249" s="12" t="s">
        <v>908</v>
      </c>
      <c r="G249" s="9" t="s">
        <v>909</v>
      </c>
      <c r="H249" s="9" t="s">
        <v>910</v>
      </c>
      <c r="I249" s="10">
        <v>45561</v>
      </c>
    </row>
    <row r="250" spans="1:9" x14ac:dyDescent="0.15">
      <c r="A250" s="9">
        <v>249</v>
      </c>
      <c r="B250" s="9" t="s">
        <v>9</v>
      </c>
      <c r="C250" s="9">
        <v>1927</v>
      </c>
      <c r="D250" s="10">
        <v>45729</v>
      </c>
      <c r="E250" s="11" t="str">
        <f>+HYPERLINK("http://trademark.i-assist.jp/data/china/image_1927th/81148192.pdf","81148192")</f>
        <v>81148192</v>
      </c>
      <c r="F250" s="9" t="s">
        <v>911</v>
      </c>
      <c r="G250" s="12" t="s">
        <v>912</v>
      </c>
      <c r="H250" s="12" t="s">
        <v>913</v>
      </c>
      <c r="I250" s="10">
        <v>45562</v>
      </c>
    </row>
    <row r="251" spans="1:9" x14ac:dyDescent="0.15">
      <c r="A251" s="9">
        <v>250</v>
      </c>
      <c r="B251" s="9" t="s">
        <v>9</v>
      </c>
      <c r="C251" s="9">
        <v>1927</v>
      </c>
      <c r="D251" s="10">
        <v>45729</v>
      </c>
      <c r="E251" s="11" t="str">
        <f>+HYPERLINK("http://trademark.i-assist.jp/data/china/image_1927th/81155915.pdf","81155915")</f>
        <v>81155915</v>
      </c>
      <c r="F251" s="12" t="s">
        <v>914</v>
      </c>
      <c r="G251" s="12" t="s">
        <v>915</v>
      </c>
      <c r="H251" s="9" t="s">
        <v>916</v>
      </c>
      <c r="I251" s="10">
        <v>45562</v>
      </c>
    </row>
    <row r="252" spans="1:9" x14ac:dyDescent="0.15">
      <c r="A252" s="9">
        <v>251</v>
      </c>
      <c r="B252" s="9" t="s">
        <v>9</v>
      </c>
      <c r="C252" s="9">
        <v>1927</v>
      </c>
      <c r="D252" s="10">
        <v>45729</v>
      </c>
      <c r="E252" s="11" t="str">
        <f>+HYPERLINK("http://trademark.i-assist.jp/data/china/image_1927th/81208318.pdf","81208318")</f>
        <v>81208318</v>
      </c>
      <c r="F252" s="9" t="s">
        <v>917</v>
      </c>
      <c r="G252" s="9" t="s">
        <v>918</v>
      </c>
      <c r="H252" s="9" t="s">
        <v>919</v>
      </c>
      <c r="I252" s="10">
        <v>45565</v>
      </c>
    </row>
    <row r="253" spans="1:9" x14ac:dyDescent="0.15">
      <c r="A253" s="9">
        <v>252</v>
      </c>
      <c r="B253" s="9" t="s">
        <v>9</v>
      </c>
      <c r="C253" s="9">
        <v>1927</v>
      </c>
      <c r="D253" s="10">
        <v>45729</v>
      </c>
      <c r="E253" s="11" t="str">
        <f>+HYPERLINK("http://trademark.i-assist.jp/data/china/image_1927th/81209748.pdf","81209748")</f>
        <v>81209748</v>
      </c>
      <c r="F253" s="12" t="s">
        <v>920</v>
      </c>
      <c r="G253" s="9" t="s">
        <v>921</v>
      </c>
      <c r="H253" s="9" t="s">
        <v>922</v>
      </c>
      <c r="I253" s="10">
        <v>45565</v>
      </c>
    </row>
    <row r="254" spans="1:9" x14ac:dyDescent="0.15">
      <c r="A254" s="9">
        <v>253</v>
      </c>
      <c r="B254" s="9" t="s">
        <v>9</v>
      </c>
      <c r="C254" s="9">
        <v>1927</v>
      </c>
      <c r="D254" s="10">
        <v>45729</v>
      </c>
      <c r="E254" s="11" t="str">
        <f>+HYPERLINK("http://trademark.i-assist.jp/data/china/image_1927th/81274313.pdf","81274313")</f>
        <v>81274313</v>
      </c>
      <c r="F254" s="9" t="s">
        <v>923</v>
      </c>
      <c r="G254" s="9" t="s">
        <v>924</v>
      </c>
      <c r="H254" s="9" t="s">
        <v>925</v>
      </c>
      <c r="I254" s="10">
        <v>45574</v>
      </c>
    </row>
    <row r="255" spans="1:9" x14ac:dyDescent="0.15">
      <c r="A255" s="9">
        <v>254</v>
      </c>
      <c r="B255" s="9" t="s">
        <v>9</v>
      </c>
      <c r="C255" s="9">
        <v>1927</v>
      </c>
      <c r="D255" s="10">
        <v>45729</v>
      </c>
      <c r="E255" s="11" t="str">
        <f>+HYPERLINK("http://trademark.i-assist.jp/data/china/image_1927th/81279478.pdf","81279478")</f>
        <v>81279478</v>
      </c>
      <c r="F255" s="9" t="s">
        <v>926</v>
      </c>
      <c r="G255" s="9" t="s">
        <v>927</v>
      </c>
      <c r="H255" s="9" t="s">
        <v>928</v>
      </c>
      <c r="I255" s="10">
        <v>45574</v>
      </c>
    </row>
    <row r="256" spans="1:9" x14ac:dyDescent="0.15">
      <c r="A256" s="9">
        <v>255</v>
      </c>
      <c r="B256" s="9" t="s">
        <v>9</v>
      </c>
      <c r="C256" s="9">
        <v>1927</v>
      </c>
      <c r="D256" s="10">
        <v>45729</v>
      </c>
      <c r="E256" s="11" t="str">
        <f>+HYPERLINK("http://trademark.i-assist.jp/data/china/image_1927th/81282345.pdf","81282345")</f>
        <v>81282345</v>
      </c>
      <c r="F256" s="9" t="s">
        <v>929</v>
      </c>
      <c r="G256" s="9" t="s">
        <v>930</v>
      </c>
      <c r="H256" s="9" t="s">
        <v>931</v>
      </c>
      <c r="I256" s="10">
        <v>45574</v>
      </c>
    </row>
    <row r="257" spans="1:9" x14ac:dyDescent="0.15">
      <c r="A257" s="9">
        <v>256</v>
      </c>
      <c r="B257" s="9" t="s">
        <v>9</v>
      </c>
      <c r="C257" s="9">
        <v>1927</v>
      </c>
      <c r="D257" s="10">
        <v>45729</v>
      </c>
      <c r="E257" s="11" t="str">
        <f>+HYPERLINK("http://trademark.i-assist.jp/data/china/image_1927th/81296044.pdf","81296044")</f>
        <v>81296044</v>
      </c>
      <c r="F257" s="9" t="s">
        <v>932</v>
      </c>
      <c r="G257" s="9" t="s">
        <v>933</v>
      </c>
      <c r="H257" s="9" t="s">
        <v>934</v>
      </c>
      <c r="I257" s="10">
        <v>45575</v>
      </c>
    </row>
    <row r="258" spans="1:9" x14ac:dyDescent="0.15">
      <c r="A258" s="9">
        <v>257</v>
      </c>
      <c r="B258" s="9" t="s">
        <v>9</v>
      </c>
      <c r="C258" s="9">
        <v>1927</v>
      </c>
      <c r="D258" s="10">
        <v>45729</v>
      </c>
      <c r="E258" s="11" t="str">
        <f>+HYPERLINK("http://trademark.i-assist.jp/data/china/image_1927th/81314998.pdf","81314998")</f>
        <v>81314998</v>
      </c>
      <c r="F258" s="9" t="s">
        <v>935</v>
      </c>
      <c r="G258" s="9" t="s">
        <v>936</v>
      </c>
      <c r="H258" s="9" t="s">
        <v>937</v>
      </c>
      <c r="I258" s="10">
        <v>45576</v>
      </c>
    </row>
    <row r="259" spans="1:9" x14ac:dyDescent="0.15">
      <c r="A259" s="9">
        <v>258</v>
      </c>
      <c r="B259" s="9" t="s">
        <v>9</v>
      </c>
      <c r="C259" s="9">
        <v>1927</v>
      </c>
      <c r="D259" s="10">
        <v>45729</v>
      </c>
      <c r="E259" s="11" t="str">
        <f>+HYPERLINK("http://trademark.i-assist.jp/data/china/image_1927th/81321248.pdf","81321248")</f>
        <v>81321248</v>
      </c>
      <c r="F259" s="9" t="s">
        <v>938</v>
      </c>
      <c r="G259" s="12" t="s">
        <v>939</v>
      </c>
      <c r="H259" s="9" t="s">
        <v>940</v>
      </c>
      <c r="I259" s="10">
        <v>45576</v>
      </c>
    </row>
    <row r="260" spans="1:9" x14ac:dyDescent="0.15">
      <c r="A260" s="9">
        <v>259</v>
      </c>
      <c r="B260" s="9" t="s">
        <v>9</v>
      </c>
      <c r="C260" s="9">
        <v>1927</v>
      </c>
      <c r="D260" s="10">
        <v>45729</v>
      </c>
      <c r="E260" s="11" t="str">
        <f>+HYPERLINK("http://trademark.i-assist.jp/data/china/image_1927th/81338477.pdf","81338477")</f>
        <v>81338477</v>
      </c>
      <c r="F260" s="9" t="s">
        <v>941</v>
      </c>
      <c r="G260" s="9" t="s">
        <v>18</v>
      </c>
      <c r="H260" s="12" t="s">
        <v>942</v>
      </c>
      <c r="I260" s="10">
        <v>45577</v>
      </c>
    </row>
    <row r="261" spans="1:9" x14ac:dyDescent="0.15">
      <c r="A261" s="9">
        <v>260</v>
      </c>
      <c r="B261" s="9" t="s">
        <v>9</v>
      </c>
      <c r="C261" s="9">
        <v>1927</v>
      </c>
      <c r="D261" s="10">
        <v>45729</v>
      </c>
      <c r="E261" s="11" t="str">
        <f>+HYPERLINK("http://trademark.i-assist.jp/data/china/image_1927th/81387915.pdf","81387915")</f>
        <v>81387915</v>
      </c>
      <c r="F261" s="9" t="s">
        <v>943</v>
      </c>
      <c r="G261" s="9" t="s">
        <v>944</v>
      </c>
      <c r="H261" s="9" t="s">
        <v>945</v>
      </c>
      <c r="I261" s="10">
        <v>45580</v>
      </c>
    </row>
    <row r="262" spans="1:9" x14ac:dyDescent="0.15">
      <c r="A262" s="9">
        <v>261</v>
      </c>
      <c r="B262" s="9" t="s">
        <v>9</v>
      </c>
      <c r="C262" s="9">
        <v>1927</v>
      </c>
      <c r="D262" s="10">
        <v>45729</v>
      </c>
      <c r="E262" s="11" t="str">
        <f>+HYPERLINK("http://trademark.i-assist.jp/data/china/image_1927th/81396505.pdf","81396505")</f>
        <v>81396505</v>
      </c>
      <c r="F262" s="9" t="s">
        <v>946</v>
      </c>
      <c r="G262" s="9" t="s">
        <v>947</v>
      </c>
      <c r="H262" s="9" t="s">
        <v>948</v>
      </c>
      <c r="I262" s="10">
        <v>45580</v>
      </c>
    </row>
    <row r="263" spans="1:9" x14ac:dyDescent="0.15">
      <c r="A263" s="9">
        <v>262</v>
      </c>
      <c r="B263" s="9" t="s">
        <v>9</v>
      </c>
      <c r="C263" s="9">
        <v>1927</v>
      </c>
      <c r="D263" s="10">
        <v>45729</v>
      </c>
      <c r="E263" s="11" t="str">
        <f>+HYPERLINK("http://trademark.i-assist.jp/data/china/image_1927th/81399895.pdf","81399895")</f>
        <v>81399895</v>
      </c>
      <c r="F263" s="9" t="s">
        <v>949</v>
      </c>
      <c r="G263" s="9" t="s">
        <v>944</v>
      </c>
      <c r="H263" s="9" t="s">
        <v>950</v>
      </c>
      <c r="I263" s="10">
        <v>45580</v>
      </c>
    </row>
    <row r="264" spans="1:9" x14ac:dyDescent="0.15">
      <c r="A264" s="9">
        <v>263</v>
      </c>
      <c r="B264" s="9" t="s">
        <v>9</v>
      </c>
      <c r="C264" s="9">
        <v>1927</v>
      </c>
      <c r="D264" s="10">
        <v>45729</v>
      </c>
      <c r="E264" s="11" t="str">
        <f>+HYPERLINK("http://trademark.i-assist.jp/data/china/image_1927th/81400347.pdf","81400347")</f>
        <v>81400347</v>
      </c>
      <c r="F264" s="9" t="s">
        <v>943</v>
      </c>
      <c r="G264" s="9" t="s">
        <v>944</v>
      </c>
      <c r="H264" s="9" t="s">
        <v>951</v>
      </c>
      <c r="I264" s="10">
        <v>45580</v>
      </c>
    </row>
    <row r="265" spans="1:9" x14ac:dyDescent="0.15">
      <c r="A265" s="9">
        <v>264</v>
      </c>
      <c r="B265" s="9" t="s">
        <v>9</v>
      </c>
      <c r="C265" s="9">
        <v>1927</v>
      </c>
      <c r="D265" s="10">
        <v>45729</v>
      </c>
      <c r="E265" s="11" t="str">
        <f>+HYPERLINK("http://trademark.i-assist.jp/data/china/image_1927th/81400356.pdf","81400356")</f>
        <v>81400356</v>
      </c>
      <c r="F265" s="9" t="s">
        <v>949</v>
      </c>
      <c r="G265" s="9" t="s">
        <v>944</v>
      </c>
      <c r="H265" s="9" t="s">
        <v>952</v>
      </c>
      <c r="I265" s="10">
        <v>45580</v>
      </c>
    </row>
    <row r="266" spans="1:9" x14ac:dyDescent="0.15">
      <c r="A266" s="9">
        <v>265</v>
      </c>
      <c r="B266" s="9" t="s">
        <v>9</v>
      </c>
      <c r="C266" s="9">
        <v>1927</v>
      </c>
      <c r="D266" s="10">
        <v>45729</v>
      </c>
      <c r="E266" s="11" t="str">
        <f>+HYPERLINK("http://trademark.i-assist.jp/data/china/image_1927th/81401098.pdf","81401098")</f>
        <v>81401098</v>
      </c>
      <c r="F266" s="9" t="s">
        <v>953</v>
      </c>
      <c r="G266" s="9" t="s">
        <v>954</v>
      </c>
      <c r="H266" s="9" t="s">
        <v>955</v>
      </c>
      <c r="I266" s="10">
        <v>45580</v>
      </c>
    </row>
    <row r="267" spans="1:9" x14ac:dyDescent="0.15">
      <c r="A267" s="9">
        <v>266</v>
      </c>
      <c r="B267" s="9" t="s">
        <v>9</v>
      </c>
      <c r="C267" s="9">
        <v>1927</v>
      </c>
      <c r="D267" s="10">
        <v>45729</v>
      </c>
      <c r="E267" s="11" t="str">
        <f>+HYPERLINK("http://trademark.i-assist.jp/data/china/image_1927th/81401815.pdf","81401815")</f>
        <v>81401815</v>
      </c>
      <c r="F267" s="9" t="s">
        <v>956</v>
      </c>
      <c r="G267" s="9" t="s">
        <v>957</v>
      </c>
      <c r="H267" s="9" t="s">
        <v>958</v>
      </c>
      <c r="I267" s="10">
        <v>45580</v>
      </c>
    </row>
    <row r="268" spans="1:9" x14ac:dyDescent="0.15">
      <c r="A268" s="9">
        <v>267</v>
      </c>
      <c r="B268" s="9" t="s">
        <v>9</v>
      </c>
      <c r="C268" s="9">
        <v>1927</v>
      </c>
      <c r="D268" s="10">
        <v>45729</v>
      </c>
      <c r="E268" s="11" t="str">
        <f>+HYPERLINK("http://trademark.i-assist.jp/data/china/image_1927th/81403738.pdf","81403738")</f>
        <v>81403738</v>
      </c>
      <c r="F268" s="9" t="s">
        <v>943</v>
      </c>
      <c r="G268" s="9" t="s">
        <v>944</v>
      </c>
      <c r="H268" s="9" t="s">
        <v>959</v>
      </c>
      <c r="I268" s="10">
        <v>45580</v>
      </c>
    </row>
    <row r="269" spans="1:9" x14ac:dyDescent="0.15">
      <c r="A269" s="9">
        <v>268</v>
      </c>
      <c r="B269" s="9" t="s">
        <v>9</v>
      </c>
      <c r="C269" s="9">
        <v>1927</v>
      </c>
      <c r="D269" s="10">
        <v>45729</v>
      </c>
      <c r="E269" s="11" t="str">
        <f>+HYPERLINK("http://trademark.i-assist.jp/data/china/image_1927th/81403748.pdf","81403748")</f>
        <v>81403748</v>
      </c>
      <c r="F269" s="9" t="s">
        <v>949</v>
      </c>
      <c r="G269" s="9" t="s">
        <v>944</v>
      </c>
      <c r="H269" s="9" t="s">
        <v>960</v>
      </c>
      <c r="I269" s="10">
        <v>45580</v>
      </c>
    </row>
    <row r="270" spans="1:9" x14ac:dyDescent="0.15">
      <c r="A270" s="9">
        <v>269</v>
      </c>
      <c r="B270" s="9" t="s">
        <v>9</v>
      </c>
      <c r="C270" s="9">
        <v>1927</v>
      </c>
      <c r="D270" s="10">
        <v>45729</v>
      </c>
      <c r="E270" s="11" t="str">
        <f>+HYPERLINK("http://trademark.i-assist.jp/data/china/image_1927th/81418012.pdf","81418012")</f>
        <v>81418012</v>
      </c>
      <c r="F270" s="9" t="s">
        <v>961</v>
      </c>
      <c r="G270" s="9" t="s">
        <v>962</v>
      </c>
      <c r="H270" s="9" t="s">
        <v>963</v>
      </c>
      <c r="I270" s="10">
        <v>45581</v>
      </c>
    </row>
    <row r="271" spans="1:9" x14ac:dyDescent="0.15">
      <c r="A271" s="9">
        <v>270</v>
      </c>
      <c r="B271" s="9" t="s">
        <v>9</v>
      </c>
      <c r="C271" s="9">
        <v>1927</v>
      </c>
      <c r="D271" s="10">
        <v>45729</v>
      </c>
      <c r="E271" s="11" t="str">
        <f>+HYPERLINK("http://trademark.i-assist.jp/data/china/image_1927th/81425861.pdf","81425861")</f>
        <v>81425861</v>
      </c>
      <c r="F271" s="9" t="s">
        <v>964</v>
      </c>
      <c r="G271" s="9" t="s">
        <v>965</v>
      </c>
      <c r="H271" s="9" t="s">
        <v>966</v>
      </c>
      <c r="I271" s="10">
        <v>45581</v>
      </c>
    </row>
    <row r="272" spans="1:9" x14ac:dyDescent="0.15">
      <c r="A272" s="9">
        <v>271</v>
      </c>
      <c r="B272" s="9" t="s">
        <v>9</v>
      </c>
      <c r="C272" s="9">
        <v>1927</v>
      </c>
      <c r="D272" s="10">
        <v>45729</v>
      </c>
      <c r="E272" s="11" t="str">
        <f>+HYPERLINK("http://trademark.i-assist.jp/data/china/image_1927th/81427856.pdf","81427856")</f>
        <v>81427856</v>
      </c>
      <c r="F272" s="9" t="s">
        <v>967</v>
      </c>
      <c r="G272" s="12" t="s">
        <v>968</v>
      </c>
      <c r="H272" s="9" t="s">
        <v>969</v>
      </c>
      <c r="I272" s="10">
        <v>45581</v>
      </c>
    </row>
    <row r="273" spans="1:9" x14ac:dyDescent="0.15">
      <c r="A273" s="9">
        <v>272</v>
      </c>
      <c r="B273" s="9" t="s">
        <v>9</v>
      </c>
      <c r="C273" s="9">
        <v>1927</v>
      </c>
      <c r="D273" s="10">
        <v>45729</v>
      </c>
      <c r="E273" s="11" t="str">
        <f>+HYPERLINK("http://trademark.i-assist.jp/data/china/image_1927th/81479786.pdf","81479786")</f>
        <v>81479786</v>
      </c>
      <c r="F273" s="9" t="s">
        <v>970</v>
      </c>
      <c r="G273" s="9" t="s">
        <v>971</v>
      </c>
      <c r="H273" s="9" t="s">
        <v>972</v>
      </c>
      <c r="I273" s="10">
        <v>45584</v>
      </c>
    </row>
    <row r="274" spans="1:9" x14ac:dyDescent="0.15">
      <c r="A274" s="9">
        <v>273</v>
      </c>
      <c r="B274" s="9" t="s">
        <v>9</v>
      </c>
      <c r="C274" s="9">
        <v>1927</v>
      </c>
      <c r="D274" s="10">
        <v>45729</v>
      </c>
      <c r="E274" s="11" t="str">
        <f>+HYPERLINK("http://trademark.i-assist.jp/data/china/image_1927th/81482556.pdf","81482556")</f>
        <v>81482556</v>
      </c>
      <c r="F274" s="12" t="s">
        <v>973</v>
      </c>
      <c r="G274" s="9" t="s">
        <v>974</v>
      </c>
      <c r="H274" s="9" t="s">
        <v>975</v>
      </c>
      <c r="I274" s="10">
        <v>45585</v>
      </c>
    </row>
    <row r="275" spans="1:9" x14ac:dyDescent="0.15">
      <c r="A275" s="9">
        <v>274</v>
      </c>
      <c r="B275" s="9" t="s">
        <v>9</v>
      </c>
      <c r="C275" s="9">
        <v>1927</v>
      </c>
      <c r="D275" s="10">
        <v>45729</v>
      </c>
      <c r="E275" s="11" t="str">
        <f>+HYPERLINK("http://trademark.i-assist.jp/data/china/image_1927th/81488379.pdf","81488379")</f>
        <v>81488379</v>
      </c>
      <c r="F275" s="12" t="s">
        <v>16</v>
      </c>
      <c r="G275" s="9" t="s">
        <v>976</v>
      </c>
      <c r="H275" s="9" t="s">
        <v>977</v>
      </c>
      <c r="I275" s="10">
        <v>45586</v>
      </c>
    </row>
    <row r="276" spans="1:9" x14ac:dyDescent="0.15">
      <c r="A276" s="9">
        <v>275</v>
      </c>
      <c r="B276" s="9" t="s">
        <v>9</v>
      </c>
      <c r="C276" s="9">
        <v>1927</v>
      </c>
      <c r="D276" s="10">
        <v>45729</v>
      </c>
      <c r="E276" s="11" t="str">
        <f>+HYPERLINK("http://trademark.i-assist.jp/data/china/image_1927th/81494613.pdf","81494613")</f>
        <v>81494613</v>
      </c>
      <c r="F276" s="9" t="s">
        <v>978</v>
      </c>
      <c r="G276" s="9" t="s">
        <v>979</v>
      </c>
      <c r="H276" s="9" t="s">
        <v>980</v>
      </c>
      <c r="I276" s="10">
        <v>45586</v>
      </c>
    </row>
    <row r="277" spans="1:9" x14ac:dyDescent="0.15">
      <c r="A277" s="9">
        <v>276</v>
      </c>
      <c r="B277" s="9" t="s">
        <v>9</v>
      </c>
      <c r="C277" s="9">
        <v>1927</v>
      </c>
      <c r="D277" s="10">
        <v>45729</v>
      </c>
      <c r="E277" s="11" t="str">
        <f>+HYPERLINK("http://trademark.i-assist.jp/data/china/image_1927th/81497246.pdf","81497246")</f>
        <v>81497246</v>
      </c>
      <c r="F277" s="9" t="s">
        <v>981</v>
      </c>
      <c r="G277" s="12" t="s">
        <v>982</v>
      </c>
      <c r="H277" s="9" t="s">
        <v>983</v>
      </c>
      <c r="I277" s="10">
        <v>45586</v>
      </c>
    </row>
    <row r="278" spans="1:9" x14ac:dyDescent="0.15">
      <c r="A278" s="9">
        <v>277</v>
      </c>
      <c r="B278" s="9" t="s">
        <v>9</v>
      </c>
      <c r="C278" s="9">
        <v>1927</v>
      </c>
      <c r="D278" s="10">
        <v>45729</v>
      </c>
      <c r="E278" s="11" t="str">
        <f>+HYPERLINK("http://trademark.i-assist.jp/data/china/image_1927th/81499742.pdf","81499742")</f>
        <v>81499742</v>
      </c>
      <c r="F278" s="9" t="s">
        <v>984</v>
      </c>
      <c r="G278" s="9" t="s">
        <v>985</v>
      </c>
      <c r="H278" s="9" t="s">
        <v>986</v>
      </c>
      <c r="I278" s="10">
        <v>45586</v>
      </c>
    </row>
    <row r="279" spans="1:9" x14ac:dyDescent="0.15">
      <c r="A279" s="9">
        <v>278</v>
      </c>
      <c r="B279" s="9" t="s">
        <v>9</v>
      </c>
      <c r="C279" s="9">
        <v>1927</v>
      </c>
      <c r="D279" s="10">
        <v>45729</v>
      </c>
      <c r="E279" s="11" t="str">
        <f>+HYPERLINK("http://trademark.i-assist.jp/data/china/image_1927th/81512530.pdf","81512530")</f>
        <v>81512530</v>
      </c>
      <c r="F279" s="9" t="s">
        <v>987</v>
      </c>
      <c r="G279" s="9" t="s">
        <v>988</v>
      </c>
      <c r="H279" s="9" t="s">
        <v>989</v>
      </c>
      <c r="I279" s="10">
        <v>45587</v>
      </c>
    </row>
    <row r="280" spans="1:9" x14ac:dyDescent="0.15">
      <c r="A280" s="9">
        <v>279</v>
      </c>
      <c r="B280" s="9" t="s">
        <v>9</v>
      </c>
      <c r="C280" s="9">
        <v>1927</v>
      </c>
      <c r="D280" s="10">
        <v>45729</v>
      </c>
      <c r="E280" s="11" t="str">
        <f>+HYPERLINK("http://trademark.i-assist.jp/data/china/image_1927th/81522307.pdf","81522307")</f>
        <v>81522307</v>
      </c>
      <c r="F280" s="9" t="s">
        <v>990</v>
      </c>
      <c r="G280" s="9" t="s">
        <v>991</v>
      </c>
      <c r="H280" s="9" t="s">
        <v>992</v>
      </c>
      <c r="I280" s="10">
        <v>45587</v>
      </c>
    </row>
    <row r="281" spans="1:9" x14ac:dyDescent="0.15">
      <c r="A281" s="9">
        <v>280</v>
      </c>
      <c r="B281" s="9" t="s">
        <v>9</v>
      </c>
      <c r="C281" s="9">
        <v>1927</v>
      </c>
      <c r="D281" s="10">
        <v>45729</v>
      </c>
      <c r="E281" s="11" t="str">
        <f>+HYPERLINK("http://trademark.i-assist.jp/data/china/image_1927th/81555338.pdf","81555338")</f>
        <v>81555338</v>
      </c>
      <c r="F281" s="12" t="s">
        <v>993</v>
      </c>
      <c r="G281" s="12" t="s">
        <v>994</v>
      </c>
      <c r="H281" s="9" t="s">
        <v>995</v>
      </c>
      <c r="I281" s="10">
        <v>45589</v>
      </c>
    </row>
    <row r="282" spans="1:9" x14ac:dyDescent="0.15">
      <c r="A282" s="9">
        <v>281</v>
      </c>
      <c r="B282" s="9" t="s">
        <v>9</v>
      </c>
      <c r="C282" s="9">
        <v>1927</v>
      </c>
      <c r="D282" s="10">
        <v>45729</v>
      </c>
      <c r="E282" s="11" t="str">
        <f>+HYPERLINK("http://trademark.i-assist.jp/data/china/image_1927th/81570891.pdf","81570891")</f>
        <v>81570891</v>
      </c>
      <c r="F282" s="9" t="s">
        <v>996</v>
      </c>
      <c r="G282" s="9" t="s">
        <v>997</v>
      </c>
      <c r="H282" s="9" t="s">
        <v>998</v>
      </c>
      <c r="I282" s="10">
        <v>45589</v>
      </c>
    </row>
    <row r="283" spans="1:9" x14ac:dyDescent="0.15">
      <c r="A283" s="9">
        <v>282</v>
      </c>
      <c r="B283" s="9" t="s">
        <v>9</v>
      </c>
      <c r="C283" s="9">
        <v>1927</v>
      </c>
      <c r="D283" s="10">
        <v>45729</v>
      </c>
      <c r="E283" s="11" t="str">
        <f>+HYPERLINK("http://trademark.i-assist.jp/data/china/image_1927th/81572920.pdf","81572920")</f>
        <v>81572920</v>
      </c>
      <c r="F283" s="9" t="s">
        <v>999</v>
      </c>
      <c r="G283" s="9" t="s">
        <v>1000</v>
      </c>
      <c r="H283" s="9" t="s">
        <v>1001</v>
      </c>
      <c r="I283" s="10">
        <v>45589</v>
      </c>
    </row>
    <row r="284" spans="1:9" x14ac:dyDescent="0.15">
      <c r="A284" s="9">
        <v>283</v>
      </c>
      <c r="B284" s="9" t="s">
        <v>9</v>
      </c>
      <c r="C284" s="9">
        <v>1927</v>
      </c>
      <c r="D284" s="10">
        <v>45729</v>
      </c>
      <c r="E284" s="11" t="str">
        <f>+HYPERLINK("http://trademark.i-assist.jp/data/china/image_1927th/81573246.pdf","81573246")</f>
        <v>81573246</v>
      </c>
      <c r="F284" s="9" t="s">
        <v>1002</v>
      </c>
      <c r="G284" s="9" t="s">
        <v>87</v>
      </c>
      <c r="H284" s="9" t="s">
        <v>1003</v>
      </c>
      <c r="I284" s="10">
        <v>45589</v>
      </c>
    </row>
    <row r="285" spans="1:9" x14ac:dyDescent="0.15">
      <c r="A285" s="9">
        <v>284</v>
      </c>
      <c r="B285" s="9" t="s">
        <v>9</v>
      </c>
      <c r="C285" s="9">
        <v>1927</v>
      </c>
      <c r="D285" s="10">
        <v>45729</v>
      </c>
      <c r="E285" s="11" t="str">
        <f>+HYPERLINK("http://trademark.i-assist.jp/data/china/image_1927th/81579153.pdf","81579153")</f>
        <v>81579153</v>
      </c>
      <c r="F285" s="9" t="s">
        <v>1004</v>
      </c>
      <c r="G285" s="9" t="s">
        <v>1005</v>
      </c>
      <c r="H285" s="9" t="s">
        <v>1006</v>
      </c>
      <c r="I285" s="10">
        <v>45590</v>
      </c>
    </row>
    <row r="286" spans="1:9" x14ac:dyDescent="0.15">
      <c r="A286" s="9">
        <v>285</v>
      </c>
      <c r="B286" s="9" t="s">
        <v>9</v>
      </c>
      <c r="C286" s="9">
        <v>1927</v>
      </c>
      <c r="D286" s="10">
        <v>45729</v>
      </c>
      <c r="E286" s="11" t="str">
        <f>+HYPERLINK("http://trademark.i-assist.jp/data/china/image_1927th/81604226.pdf","81604226")</f>
        <v>81604226</v>
      </c>
      <c r="F286" s="9" t="s">
        <v>1007</v>
      </c>
      <c r="G286" s="9" t="s">
        <v>1008</v>
      </c>
      <c r="H286" s="9" t="s">
        <v>1009</v>
      </c>
      <c r="I286" s="10">
        <v>45591</v>
      </c>
    </row>
    <row r="287" spans="1:9" x14ac:dyDescent="0.15">
      <c r="A287" s="9">
        <v>286</v>
      </c>
      <c r="B287" s="9" t="s">
        <v>9</v>
      </c>
      <c r="C287" s="9">
        <v>1927</v>
      </c>
      <c r="D287" s="10">
        <v>45729</v>
      </c>
      <c r="E287" s="11" t="str">
        <f>+HYPERLINK("http://trademark.i-assist.jp/data/china/image_1927th/81607786.pdf","81607786")</f>
        <v>81607786</v>
      </c>
      <c r="F287" s="9" t="s">
        <v>1010</v>
      </c>
      <c r="G287" s="9" t="s">
        <v>1008</v>
      </c>
      <c r="H287" s="9" t="s">
        <v>1011</v>
      </c>
      <c r="I287" s="10">
        <v>45591</v>
      </c>
    </row>
    <row r="288" spans="1:9" x14ac:dyDescent="0.15">
      <c r="A288" s="9">
        <v>287</v>
      </c>
      <c r="B288" s="9" t="s">
        <v>9</v>
      </c>
      <c r="C288" s="9">
        <v>1927</v>
      </c>
      <c r="D288" s="10">
        <v>45729</v>
      </c>
      <c r="E288" s="11" t="str">
        <f>+HYPERLINK("http://trademark.i-assist.jp/data/china/image_1927th/81610997.pdf","81610997")</f>
        <v>81610997</v>
      </c>
      <c r="F288" s="9" t="s">
        <v>1012</v>
      </c>
      <c r="G288" s="9" t="s">
        <v>1013</v>
      </c>
      <c r="H288" s="9" t="s">
        <v>1014</v>
      </c>
      <c r="I288" s="10">
        <v>45592</v>
      </c>
    </row>
    <row r="289" spans="1:9" x14ac:dyDescent="0.15">
      <c r="A289" s="9">
        <v>288</v>
      </c>
      <c r="B289" s="9" t="s">
        <v>9</v>
      </c>
      <c r="C289" s="9">
        <v>1927</v>
      </c>
      <c r="D289" s="10">
        <v>45729</v>
      </c>
      <c r="E289" s="11" t="str">
        <f>+HYPERLINK("http://trademark.i-assist.jp/data/china/image_1927th/81613832.pdf","81613832")</f>
        <v>81613832</v>
      </c>
      <c r="F289" s="9" t="s">
        <v>1015</v>
      </c>
      <c r="G289" s="9" t="s">
        <v>1016</v>
      </c>
      <c r="H289" s="9" t="s">
        <v>1017</v>
      </c>
      <c r="I289" s="10">
        <v>45593</v>
      </c>
    </row>
    <row r="290" spans="1:9" x14ac:dyDescent="0.15">
      <c r="A290" s="9">
        <v>289</v>
      </c>
      <c r="B290" s="9" t="s">
        <v>9</v>
      </c>
      <c r="C290" s="9">
        <v>1927</v>
      </c>
      <c r="D290" s="10">
        <v>45729</v>
      </c>
      <c r="E290" s="11" t="str">
        <f>+HYPERLINK("http://trademark.i-assist.jp/data/china/image_1927th/81617853.pdf","81617853")</f>
        <v>81617853</v>
      </c>
      <c r="F290" s="9" t="s">
        <v>1018</v>
      </c>
      <c r="G290" s="9" t="s">
        <v>1016</v>
      </c>
      <c r="H290" s="9" t="s">
        <v>1019</v>
      </c>
      <c r="I290" s="10">
        <v>45593</v>
      </c>
    </row>
    <row r="291" spans="1:9" x14ac:dyDescent="0.15">
      <c r="A291" s="9">
        <v>290</v>
      </c>
      <c r="B291" s="9" t="s">
        <v>9</v>
      </c>
      <c r="C291" s="9">
        <v>1927</v>
      </c>
      <c r="D291" s="10">
        <v>45729</v>
      </c>
      <c r="E291" s="11" t="str">
        <f>+HYPERLINK("http://trademark.i-assist.jp/data/china/image_1927th/81623180.pdf","81623180")</f>
        <v>81623180</v>
      </c>
      <c r="F291" s="12" t="s">
        <v>1020</v>
      </c>
      <c r="G291" s="9" t="s">
        <v>1016</v>
      </c>
      <c r="H291" s="9" t="s">
        <v>1021</v>
      </c>
      <c r="I291" s="10">
        <v>45593</v>
      </c>
    </row>
    <row r="292" spans="1:9" x14ac:dyDescent="0.15">
      <c r="A292" s="9">
        <v>291</v>
      </c>
      <c r="B292" s="9" t="s">
        <v>9</v>
      </c>
      <c r="C292" s="9">
        <v>1927</v>
      </c>
      <c r="D292" s="10">
        <v>45729</v>
      </c>
      <c r="E292" s="11" t="str">
        <f>+HYPERLINK("http://trademark.i-assist.jp/data/china/image_1927th/81630649.pdf","81630649")</f>
        <v>81630649</v>
      </c>
      <c r="F292" s="9" t="s">
        <v>1022</v>
      </c>
      <c r="G292" s="9" t="s">
        <v>1023</v>
      </c>
      <c r="H292" s="9" t="s">
        <v>1024</v>
      </c>
      <c r="I292" s="10">
        <v>45593</v>
      </c>
    </row>
    <row r="293" spans="1:9" x14ac:dyDescent="0.15">
      <c r="A293" s="9">
        <v>292</v>
      </c>
      <c r="B293" s="9" t="s">
        <v>9</v>
      </c>
      <c r="C293" s="9">
        <v>1927</v>
      </c>
      <c r="D293" s="10">
        <v>45729</v>
      </c>
      <c r="E293" s="11" t="str">
        <f>+HYPERLINK("http://trademark.i-assist.jp/data/china/image_1927th/81630990.pdf","81630990")</f>
        <v>81630990</v>
      </c>
      <c r="F293" s="9" t="s">
        <v>1025</v>
      </c>
      <c r="G293" s="9" t="s">
        <v>1026</v>
      </c>
      <c r="H293" s="9" t="s">
        <v>1027</v>
      </c>
      <c r="I293" s="10">
        <v>45593</v>
      </c>
    </row>
    <row r="294" spans="1:9" x14ac:dyDescent="0.15">
      <c r="A294" s="9">
        <v>293</v>
      </c>
      <c r="B294" s="9" t="s">
        <v>9</v>
      </c>
      <c r="C294" s="9">
        <v>1927</v>
      </c>
      <c r="D294" s="10">
        <v>45729</v>
      </c>
      <c r="E294" s="11" t="str">
        <f>+HYPERLINK("http://trademark.i-assist.jp/data/china/image_1927th/81634572.pdf","81634572")</f>
        <v>81634572</v>
      </c>
      <c r="F294" s="9" t="s">
        <v>1028</v>
      </c>
      <c r="G294" s="9" t="s">
        <v>1016</v>
      </c>
      <c r="H294" s="12" t="s">
        <v>1029</v>
      </c>
      <c r="I294" s="10">
        <v>45593</v>
      </c>
    </row>
    <row r="295" spans="1:9" x14ac:dyDescent="0.15">
      <c r="A295" s="9">
        <v>294</v>
      </c>
      <c r="B295" s="9" t="s">
        <v>9</v>
      </c>
      <c r="C295" s="9">
        <v>1927</v>
      </c>
      <c r="D295" s="10">
        <v>45729</v>
      </c>
      <c r="E295" s="11" t="str">
        <f>+HYPERLINK("http://trademark.i-assist.jp/data/china/image_1927th/81664274.pdf","81664274")</f>
        <v>81664274</v>
      </c>
      <c r="F295" s="9" t="s">
        <v>1030</v>
      </c>
      <c r="G295" s="9" t="s">
        <v>1031</v>
      </c>
      <c r="H295" s="9" t="s">
        <v>1032</v>
      </c>
      <c r="I295" s="10">
        <v>45595</v>
      </c>
    </row>
    <row r="296" spans="1:9" x14ac:dyDescent="0.15">
      <c r="A296" s="9">
        <v>295</v>
      </c>
      <c r="B296" s="9" t="s">
        <v>9</v>
      </c>
      <c r="C296" s="9">
        <v>1927</v>
      </c>
      <c r="D296" s="10">
        <v>45729</v>
      </c>
      <c r="E296" s="11" t="str">
        <f>+HYPERLINK("http://trademark.i-assist.jp/data/china/image_1927th/81664788.pdf","81664788")</f>
        <v>81664788</v>
      </c>
      <c r="F296" s="9" t="s">
        <v>1033</v>
      </c>
      <c r="G296" s="9" t="s">
        <v>1034</v>
      </c>
      <c r="H296" s="9" t="s">
        <v>1035</v>
      </c>
      <c r="I296" s="10">
        <v>45595</v>
      </c>
    </row>
    <row r="297" spans="1:9" x14ac:dyDescent="0.15">
      <c r="A297" s="9">
        <v>296</v>
      </c>
      <c r="B297" s="9" t="s">
        <v>9</v>
      </c>
      <c r="C297" s="9">
        <v>1927</v>
      </c>
      <c r="D297" s="10">
        <v>45729</v>
      </c>
      <c r="E297" s="11" t="str">
        <f>+HYPERLINK("http://trademark.i-assist.jp/data/china/image_1927th/81667141.pdf","81667141")</f>
        <v>81667141</v>
      </c>
      <c r="F297" s="9" t="s">
        <v>1036</v>
      </c>
      <c r="G297" s="9" t="s">
        <v>1031</v>
      </c>
      <c r="H297" s="9" t="s">
        <v>1037</v>
      </c>
      <c r="I297" s="10">
        <v>45595</v>
      </c>
    </row>
    <row r="298" spans="1:9" x14ac:dyDescent="0.15">
      <c r="A298" s="9">
        <v>297</v>
      </c>
      <c r="B298" s="9" t="s">
        <v>9</v>
      </c>
      <c r="C298" s="9">
        <v>1927</v>
      </c>
      <c r="D298" s="10">
        <v>45729</v>
      </c>
      <c r="E298" s="11" t="str">
        <f>+HYPERLINK("http://trademark.i-assist.jp/data/china/image_1927th/81668385.pdf","81668385")</f>
        <v>81668385</v>
      </c>
      <c r="F298" s="9" t="s">
        <v>1038</v>
      </c>
      <c r="G298" s="12" t="s">
        <v>1039</v>
      </c>
      <c r="H298" s="9" t="s">
        <v>1040</v>
      </c>
      <c r="I298" s="10">
        <v>45595</v>
      </c>
    </row>
    <row r="299" spans="1:9" x14ac:dyDescent="0.15">
      <c r="A299" s="9">
        <v>298</v>
      </c>
      <c r="B299" s="9" t="s">
        <v>9</v>
      </c>
      <c r="C299" s="9">
        <v>1927</v>
      </c>
      <c r="D299" s="10">
        <v>45729</v>
      </c>
      <c r="E299" s="11" t="str">
        <f>+HYPERLINK("http://trademark.i-assist.jp/data/china/image_1927th/81669943.pdf","81669943")</f>
        <v>81669943</v>
      </c>
      <c r="F299" s="12" t="s">
        <v>1041</v>
      </c>
      <c r="G299" s="9" t="s">
        <v>1042</v>
      </c>
      <c r="H299" s="9" t="s">
        <v>1043</v>
      </c>
      <c r="I299" s="10">
        <v>45595</v>
      </c>
    </row>
    <row r="300" spans="1:9" x14ac:dyDescent="0.15">
      <c r="A300" s="9">
        <v>299</v>
      </c>
      <c r="B300" s="9" t="s">
        <v>9</v>
      </c>
      <c r="C300" s="9">
        <v>1927</v>
      </c>
      <c r="D300" s="10">
        <v>45729</v>
      </c>
      <c r="E300" s="11" t="str">
        <f>+HYPERLINK("http://trademark.i-assist.jp/data/china/image_1927th/81676977.pdf","81676977")</f>
        <v>81676977</v>
      </c>
      <c r="F300" s="9" t="s">
        <v>1044</v>
      </c>
      <c r="G300" s="9" t="s">
        <v>1045</v>
      </c>
      <c r="H300" s="9" t="s">
        <v>1046</v>
      </c>
      <c r="I300" s="10">
        <v>45595</v>
      </c>
    </row>
    <row r="301" spans="1:9" x14ac:dyDescent="0.15">
      <c r="A301" s="9">
        <v>300</v>
      </c>
      <c r="B301" s="9" t="s">
        <v>9</v>
      </c>
      <c r="C301" s="9">
        <v>1927</v>
      </c>
      <c r="D301" s="10">
        <v>45729</v>
      </c>
      <c r="E301" s="11" t="str">
        <f>+HYPERLINK("http://trademark.i-assist.jp/data/china/image_1927th/81679026.pdf","81679026")</f>
        <v>81679026</v>
      </c>
      <c r="F301" s="9" t="s">
        <v>1047</v>
      </c>
      <c r="G301" s="9" t="s">
        <v>1034</v>
      </c>
      <c r="H301" s="9" t="s">
        <v>1048</v>
      </c>
      <c r="I301" s="10">
        <v>45595</v>
      </c>
    </row>
    <row r="302" spans="1:9" x14ac:dyDescent="0.15">
      <c r="A302" s="9">
        <v>301</v>
      </c>
      <c r="B302" s="9" t="s">
        <v>9</v>
      </c>
      <c r="C302" s="9">
        <v>1927</v>
      </c>
      <c r="D302" s="10">
        <v>45729</v>
      </c>
      <c r="E302" s="11" t="str">
        <f>+HYPERLINK("http://trademark.i-assist.jp/data/china/image_1927th/81681717.pdf","81681717")</f>
        <v>81681717</v>
      </c>
      <c r="F302" s="9" t="s">
        <v>1049</v>
      </c>
      <c r="G302" s="9" t="s">
        <v>1050</v>
      </c>
      <c r="H302" s="9" t="s">
        <v>1051</v>
      </c>
      <c r="I302" s="10">
        <v>45595</v>
      </c>
    </row>
    <row r="303" spans="1:9" x14ac:dyDescent="0.15">
      <c r="A303" s="9">
        <v>302</v>
      </c>
      <c r="B303" s="9" t="s">
        <v>9</v>
      </c>
      <c r="C303" s="9">
        <v>1927</v>
      </c>
      <c r="D303" s="10">
        <v>45729</v>
      </c>
      <c r="E303" s="11" t="str">
        <f>+HYPERLINK("http://trademark.i-assist.jp/data/china/image_1927th/81682553.pdf","81682553")</f>
        <v>81682553</v>
      </c>
      <c r="F303" s="9" t="s">
        <v>1052</v>
      </c>
      <c r="G303" s="9" t="s">
        <v>1034</v>
      </c>
      <c r="H303" s="9" t="s">
        <v>1053</v>
      </c>
      <c r="I303" s="10">
        <v>45595</v>
      </c>
    </row>
    <row r="304" spans="1:9" x14ac:dyDescent="0.15">
      <c r="A304" s="9">
        <v>303</v>
      </c>
      <c r="B304" s="9" t="s">
        <v>9</v>
      </c>
      <c r="C304" s="9">
        <v>1927</v>
      </c>
      <c r="D304" s="10">
        <v>45729</v>
      </c>
      <c r="E304" s="11" t="str">
        <f>+HYPERLINK("http://trademark.i-assist.jp/data/china/image_1927th/81687071.pdf","81687071")</f>
        <v>81687071</v>
      </c>
      <c r="F304" s="9" t="s">
        <v>1054</v>
      </c>
      <c r="G304" s="9" t="s">
        <v>1045</v>
      </c>
      <c r="H304" s="9" t="s">
        <v>1055</v>
      </c>
      <c r="I304" s="10">
        <v>45595</v>
      </c>
    </row>
    <row r="305" spans="1:9" x14ac:dyDescent="0.15">
      <c r="A305" s="9">
        <v>304</v>
      </c>
      <c r="B305" s="9" t="s">
        <v>9</v>
      </c>
      <c r="C305" s="9">
        <v>1927</v>
      </c>
      <c r="D305" s="10">
        <v>45729</v>
      </c>
      <c r="E305" s="11" t="str">
        <f>+HYPERLINK("http://trademark.i-assist.jp/data/china/image_1927th/81690774.pdf","81690774")</f>
        <v>81690774</v>
      </c>
      <c r="F305" s="9" t="s">
        <v>1056</v>
      </c>
      <c r="G305" s="12" t="s">
        <v>1057</v>
      </c>
      <c r="H305" s="9" t="s">
        <v>1058</v>
      </c>
      <c r="I305" s="10">
        <v>45596</v>
      </c>
    </row>
    <row r="306" spans="1:9" x14ac:dyDescent="0.15">
      <c r="A306" s="9">
        <v>305</v>
      </c>
      <c r="B306" s="9" t="s">
        <v>9</v>
      </c>
      <c r="C306" s="9">
        <v>1927</v>
      </c>
      <c r="D306" s="10">
        <v>45729</v>
      </c>
      <c r="E306" s="11" t="str">
        <f>+HYPERLINK("http://trademark.i-assist.jp/data/china/image_1927th/81702116.pdf","81702116")</f>
        <v>81702116</v>
      </c>
      <c r="F306" s="9" t="s">
        <v>1059</v>
      </c>
      <c r="G306" s="9" t="s">
        <v>1031</v>
      </c>
      <c r="H306" s="9" t="s">
        <v>1060</v>
      </c>
      <c r="I306" s="10">
        <v>45596</v>
      </c>
    </row>
    <row r="307" spans="1:9" x14ac:dyDescent="0.15">
      <c r="A307" s="9">
        <v>306</v>
      </c>
      <c r="B307" s="9" t="s">
        <v>9</v>
      </c>
      <c r="C307" s="9">
        <v>1927</v>
      </c>
      <c r="D307" s="10">
        <v>45729</v>
      </c>
      <c r="E307" s="11" t="str">
        <f>+HYPERLINK("http://trademark.i-assist.jp/data/china/image_1927th/81707987.pdf","81707987")</f>
        <v>81707987</v>
      </c>
      <c r="F307" s="9" t="s">
        <v>1061</v>
      </c>
      <c r="G307" s="9" t="s">
        <v>90</v>
      </c>
      <c r="H307" s="12" t="s">
        <v>1062</v>
      </c>
      <c r="I307" s="10">
        <v>45596</v>
      </c>
    </row>
    <row r="308" spans="1:9" x14ac:dyDescent="0.15">
      <c r="A308" s="9">
        <v>307</v>
      </c>
      <c r="B308" s="9" t="s">
        <v>9</v>
      </c>
      <c r="C308" s="9">
        <v>1927</v>
      </c>
      <c r="D308" s="10">
        <v>45729</v>
      </c>
      <c r="E308" s="11" t="str">
        <f>+HYPERLINK("http://trademark.i-assist.jp/data/china/image_1927th/81709308.pdf","81709308")</f>
        <v>81709308</v>
      </c>
      <c r="F308" s="9" t="s">
        <v>1063</v>
      </c>
      <c r="G308" s="9" t="s">
        <v>1031</v>
      </c>
      <c r="H308" s="9" t="s">
        <v>1064</v>
      </c>
      <c r="I308" s="10">
        <v>45596</v>
      </c>
    </row>
    <row r="309" spans="1:9" x14ac:dyDescent="0.15">
      <c r="A309" s="9">
        <v>308</v>
      </c>
      <c r="B309" s="9" t="s">
        <v>9</v>
      </c>
      <c r="C309" s="9">
        <v>1927</v>
      </c>
      <c r="D309" s="10">
        <v>45729</v>
      </c>
      <c r="E309" s="11" t="str">
        <f>+HYPERLINK("http://trademark.i-assist.jp/data/china/image_1927th/81719669.pdf","81719669")</f>
        <v>81719669</v>
      </c>
      <c r="F309" s="9" t="s">
        <v>1065</v>
      </c>
      <c r="G309" s="9" t="s">
        <v>24</v>
      </c>
      <c r="H309" s="9" t="s">
        <v>1066</v>
      </c>
      <c r="I309" s="10">
        <v>45597</v>
      </c>
    </row>
    <row r="310" spans="1:9" x14ac:dyDescent="0.15">
      <c r="A310" s="9">
        <v>309</v>
      </c>
      <c r="B310" s="9" t="s">
        <v>9</v>
      </c>
      <c r="C310" s="9">
        <v>1927</v>
      </c>
      <c r="D310" s="10">
        <v>45729</v>
      </c>
      <c r="E310" s="11" t="str">
        <f>+HYPERLINK("http://trademark.i-assist.jp/data/china/image_1927th/81729807.pdf","81729807")</f>
        <v>81729807</v>
      </c>
      <c r="F310" s="9" t="s">
        <v>1067</v>
      </c>
      <c r="G310" s="12" t="s">
        <v>1068</v>
      </c>
      <c r="H310" s="9" t="s">
        <v>1069</v>
      </c>
      <c r="I310" s="10">
        <v>45597</v>
      </c>
    </row>
    <row r="311" spans="1:9" x14ac:dyDescent="0.15">
      <c r="A311" s="9">
        <v>310</v>
      </c>
      <c r="B311" s="9" t="s">
        <v>9</v>
      </c>
      <c r="C311" s="9">
        <v>1927</v>
      </c>
      <c r="D311" s="10">
        <v>45729</v>
      </c>
      <c r="E311" s="11" t="str">
        <f>+HYPERLINK("http://trademark.i-assist.jp/data/china/image_1927th/81730455.pdf","81730455")</f>
        <v>81730455</v>
      </c>
      <c r="F311" s="12" t="s">
        <v>1070</v>
      </c>
      <c r="G311" s="9" t="s">
        <v>1071</v>
      </c>
      <c r="H311" s="9" t="s">
        <v>1072</v>
      </c>
      <c r="I311" s="10">
        <v>45597</v>
      </c>
    </row>
    <row r="312" spans="1:9" x14ac:dyDescent="0.15">
      <c r="A312" s="9">
        <v>311</v>
      </c>
      <c r="B312" s="9" t="s">
        <v>9</v>
      </c>
      <c r="C312" s="9">
        <v>1927</v>
      </c>
      <c r="D312" s="10">
        <v>45729</v>
      </c>
      <c r="E312" s="11" t="str">
        <f>+HYPERLINK("http://trademark.i-assist.jp/data/china/image_1927th/81730719.pdf","81730719")</f>
        <v>81730719</v>
      </c>
      <c r="F312" s="12" t="s">
        <v>1073</v>
      </c>
      <c r="G312" s="9" t="s">
        <v>1074</v>
      </c>
      <c r="H312" s="9" t="s">
        <v>1075</v>
      </c>
      <c r="I312" s="10">
        <v>45597</v>
      </c>
    </row>
    <row r="313" spans="1:9" x14ac:dyDescent="0.15">
      <c r="A313" s="9">
        <v>312</v>
      </c>
      <c r="B313" s="9" t="s">
        <v>9</v>
      </c>
      <c r="C313" s="9">
        <v>1927</v>
      </c>
      <c r="D313" s="10">
        <v>45729</v>
      </c>
      <c r="E313" s="11" t="str">
        <f>+HYPERLINK("http://trademark.i-assist.jp/data/china/image_1927th/81733033.pdf","81733033")</f>
        <v>81733033</v>
      </c>
      <c r="F313" s="9" t="s">
        <v>1076</v>
      </c>
      <c r="G313" s="9" t="s">
        <v>1071</v>
      </c>
      <c r="H313" s="9" t="s">
        <v>1077</v>
      </c>
      <c r="I313" s="10">
        <v>45597</v>
      </c>
    </row>
    <row r="314" spans="1:9" x14ac:dyDescent="0.15">
      <c r="A314" s="9">
        <v>313</v>
      </c>
      <c r="B314" s="9" t="s">
        <v>9</v>
      </c>
      <c r="C314" s="9">
        <v>1927</v>
      </c>
      <c r="D314" s="10">
        <v>45729</v>
      </c>
      <c r="E314" s="11" t="str">
        <f>+HYPERLINK("http://trademark.i-assist.jp/data/china/image_1927th/81735529.pdf","81735529")</f>
        <v>81735529</v>
      </c>
      <c r="F314" s="9" t="s">
        <v>1078</v>
      </c>
      <c r="G314" s="9" t="s">
        <v>1079</v>
      </c>
      <c r="H314" s="9" t="s">
        <v>1080</v>
      </c>
      <c r="I314" s="10">
        <v>45597</v>
      </c>
    </row>
    <row r="315" spans="1:9" x14ac:dyDescent="0.15">
      <c r="A315" s="9">
        <v>314</v>
      </c>
      <c r="B315" s="9" t="s">
        <v>9</v>
      </c>
      <c r="C315" s="9">
        <v>1927</v>
      </c>
      <c r="D315" s="10">
        <v>45729</v>
      </c>
      <c r="E315" s="11" t="str">
        <f>+HYPERLINK("http://trademark.i-assist.jp/data/china/image_1927th/81738714.pdf","81738714")</f>
        <v>81738714</v>
      </c>
      <c r="F315" s="13" t="s">
        <v>1081</v>
      </c>
      <c r="G315" s="9" t="s">
        <v>1082</v>
      </c>
      <c r="H315" s="12" t="s">
        <v>1083</v>
      </c>
      <c r="I315" s="10">
        <v>45598</v>
      </c>
    </row>
    <row r="316" spans="1:9" x14ac:dyDescent="0.15">
      <c r="A316" s="9">
        <v>315</v>
      </c>
      <c r="B316" s="9" t="s">
        <v>9</v>
      </c>
      <c r="C316" s="9">
        <v>1927</v>
      </c>
      <c r="D316" s="10">
        <v>45729</v>
      </c>
      <c r="E316" s="11" t="str">
        <f>+HYPERLINK("http://trademark.i-assist.jp/data/china/image_1927th/81746645.pdf","81746645")</f>
        <v>81746645</v>
      </c>
      <c r="F316" s="9" t="s">
        <v>1084</v>
      </c>
      <c r="G316" s="9" t="s">
        <v>1085</v>
      </c>
      <c r="H316" s="9" t="s">
        <v>1086</v>
      </c>
      <c r="I316" s="10">
        <v>45600</v>
      </c>
    </row>
    <row r="317" spans="1:9" x14ac:dyDescent="0.15">
      <c r="A317" s="9">
        <v>316</v>
      </c>
      <c r="B317" s="9" t="s">
        <v>9</v>
      </c>
      <c r="C317" s="9">
        <v>1927</v>
      </c>
      <c r="D317" s="10">
        <v>45729</v>
      </c>
      <c r="E317" s="11" t="str">
        <f>+HYPERLINK("http://trademark.i-assist.jp/data/china/image_1927th/81753122.pdf","81753122")</f>
        <v>81753122</v>
      </c>
      <c r="F317" s="9" t="s">
        <v>1087</v>
      </c>
      <c r="G317" s="9" t="s">
        <v>1088</v>
      </c>
      <c r="H317" s="9" t="s">
        <v>1089</v>
      </c>
      <c r="I317" s="10">
        <v>45600</v>
      </c>
    </row>
    <row r="318" spans="1:9" x14ac:dyDescent="0.15">
      <c r="A318" s="9">
        <v>317</v>
      </c>
      <c r="B318" s="9" t="s">
        <v>9</v>
      </c>
      <c r="C318" s="9">
        <v>1927</v>
      </c>
      <c r="D318" s="10">
        <v>45729</v>
      </c>
      <c r="E318" s="11" t="str">
        <f>+HYPERLINK("http://trademark.i-assist.jp/data/china/image_1927th/81754685.pdf","81754685")</f>
        <v>81754685</v>
      </c>
      <c r="F318" s="12" t="s">
        <v>1090</v>
      </c>
      <c r="G318" s="12" t="s">
        <v>1091</v>
      </c>
      <c r="H318" s="9" t="s">
        <v>1092</v>
      </c>
      <c r="I318" s="10">
        <v>45601</v>
      </c>
    </row>
    <row r="319" spans="1:9" x14ac:dyDescent="0.15">
      <c r="A319" s="9">
        <v>318</v>
      </c>
      <c r="B319" s="9" t="s">
        <v>9</v>
      </c>
      <c r="C319" s="9">
        <v>1927</v>
      </c>
      <c r="D319" s="10">
        <v>45729</v>
      </c>
      <c r="E319" s="11" t="str">
        <f>+HYPERLINK("http://trademark.i-assist.jp/data/china/image_1927th/81764601.pdf","81764601")</f>
        <v>81764601</v>
      </c>
      <c r="F319" s="9" t="s">
        <v>1093</v>
      </c>
      <c r="G319" s="9" t="s">
        <v>1094</v>
      </c>
      <c r="H319" s="9" t="s">
        <v>1095</v>
      </c>
      <c r="I319" s="10">
        <v>45601</v>
      </c>
    </row>
    <row r="320" spans="1:9" x14ac:dyDescent="0.15">
      <c r="A320" s="9">
        <v>319</v>
      </c>
      <c r="B320" s="9" t="s">
        <v>9</v>
      </c>
      <c r="C320" s="9">
        <v>1927</v>
      </c>
      <c r="D320" s="10">
        <v>45729</v>
      </c>
      <c r="E320" s="11" t="str">
        <f>+HYPERLINK("http://trademark.i-assist.jp/data/china/image_1927th/81775784.pdf","81775784")</f>
        <v>81775784</v>
      </c>
      <c r="F320" s="9" t="s">
        <v>1096</v>
      </c>
      <c r="G320" s="9" t="s">
        <v>1097</v>
      </c>
      <c r="H320" s="9" t="s">
        <v>1098</v>
      </c>
      <c r="I320" s="10">
        <v>45601</v>
      </c>
    </row>
    <row r="321" spans="1:9" x14ac:dyDescent="0.15">
      <c r="A321" s="9">
        <v>320</v>
      </c>
      <c r="B321" s="9" t="s">
        <v>9</v>
      </c>
      <c r="C321" s="9">
        <v>1927</v>
      </c>
      <c r="D321" s="10">
        <v>45729</v>
      </c>
      <c r="E321" s="11" t="str">
        <f>+HYPERLINK("http://trademark.i-assist.jp/data/china/image_1927th/81778840A.pdf","81778840A")</f>
        <v>81778840A</v>
      </c>
      <c r="F321" s="12" t="s">
        <v>1099</v>
      </c>
      <c r="G321" s="9" t="s">
        <v>1100</v>
      </c>
      <c r="H321" s="9" t="s">
        <v>1101</v>
      </c>
      <c r="I321" s="10">
        <v>45601</v>
      </c>
    </row>
    <row r="322" spans="1:9" x14ac:dyDescent="0.15">
      <c r="A322" s="9">
        <v>321</v>
      </c>
      <c r="B322" s="9" t="s">
        <v>9</v>
      </c>
      <c r="C322" s="9">
        <v>1927</v>
      </c>
      <c r="D322" s="10">
        <v>45729</v>
      </c>
      <c r="E322" s="11" t="str">
        <f>+HYPERLINK("http://trademark.i-assist.jp/data/china/image_1927th/81781055.pdf","81781055")</f>
        <v>81781055</v>
      </c>
      <c r="F322" s="9" t="s">
        <v>1102</v>
      </c>
      <c r="G322" s="9" t="s">
        <v>1103</v>
      </c>
      <c r="H322" s="9" t="s">
        <v>1104</v>
      </c>
      <c r="I322" s="10">
        <v>45601</v>
      </c>
    </row>
    <row r="323" spans="1:9" x14ac:dyDescent="0.15">
      <c r="A323" s="9">
        <v>322</v>
      </c>
      <c r="B323" s="9" t="s">
        <v>9</v>
      </c>
      <c r="C323" s="9">
        <v>1927</v>
      </c>
      <c r="D323" s="10">
        <v>45729</v>
      </c>
      <c r="E323" s="11" t="str">
        <f>+HYPERLINK("http://trademark.i-assist.jp/data/china/image_1927th/81781136.pdf","81781136")</f>
        <v>81781136</v>
      </c>
      <c r="F323" s="9" t="s">
        <v>1105</v>
      </c>
      <c r="G323" s="12" t="s">
        <v>1106</v>
      </c>
      <c r="H323" s="9" t="s">
        <v>1107</v>
      </c>
      <c r="I323" s="10">
        <v>45600</v>
      </c>
    </row>
    <row r="324" spans="1:9" x14ac:dyDescent="0.15">
      <c r="A324" s="9">
        <v>323</v>
      </c>
      <c r="B324" s="9" t="s">
        <v>9</v>
      </c>
      <c r="C324" s="9">
        <v>1927</v>
      </c>
      <c r="D324" s="10">
        <v>45729</v>
      </c>
      <c r="E324" s="11" t="str">
        <f>+HYPERLINK("http://trademark.i-assist.jp/data/china/image_1927th/81781702.pdf","81781702")</f>
        <v>81781702</v>
      </c>
      <c r="F324" s="9" t="s">
        <v>1108</v>
      </c>
      <c r="G324" s="9" t="s">
        <v>1109</v>
      </c>
      <c r="H324" s="9" t="s">
        <v>1110</v>
      </c>
      <c r="I324" s="10">
        <v>45600</v>
      </c>
    </row>
    <row r="325" spans="1:9" x14ac:dyDescent="0.15">
      <c r="A325" s="9">
        <v>324</v>
      </c>
      <c r="B325" s="9" t="s">
        <v>9</v>
      </c>
      <c r="C325" s="9">
        <v>1927</v>
      </c>
      <c r="D325" s="10">
        <v>45729</v>
      </c>
      <c r="E325" s="11" t="str">
        <f>+HYPERLINK("http://trademark.i-assist.jp/data/china/image_1927th/81793468.pdf","81793468")</f>
        <v>81793468</v>
      </c>
      <c r="F325" s="9" t="s">
        <v>1111</v>
      </c>
      <c r="G325" s="9" t="s">
        <v>1112</v>
      </c>
      <c r="H325" s="9" t="s">
        <v>1113</v>
      </c>
      <c r="I325" s="10">
        <v>45602</v>
      </c>
    </row>
    <row r="326" spans="1:9" x14ac:dyDescent="0.15">
      <c r="A326" s="9">
        <v>325</v>
      </c>
      <c r="B326" s="9" t="s">
        <v>9</v>
      </c>
      <c r="C326" s="9">
        <v>1927</v>
      </c>
      <c r="D326" s="10">
        <v>45729</v>
      </c>
      <c r="E326" s="11" t="str">
        <f>+HYPERLINK("http://trademark.i-assist.jp/data/china/image_1927th/81801021.pdf","81801021")</f>
        <v>81801021</v>
      </c>
      <c r="F326" s="9" t="s">
        <v>1114</v>
      </c>
      <c r="G326" s="9" t="s">
        <v>1112</v>
      </c>
      <c r="H326" s="9" t="s">
        <v>1115</v>
      </c>
      <c r="I326" s="10">
        <v>45602</v>
      </c>
    </row>
    <row r="327" spans="1:9" x14ac:dyDescent="0.15">
      <c r="A327" s="9">
        <v>326</v>
      </c>
      <c r="B327" s="9" t="s">
        <v>9</v>
      </c>
      <c r="C327" s="9">
        <v>1927</v>
      </c>
      <c r="D327" s="10">
        <v>45729</v>
      </c>
      <c r="E327" s="11" t="str">
        <f>+HYPERLINK("http://trademark.i-assist.jp/data/china/image_1927th/81801528.pdf","81801528")</f>
        <v>81801528</v>
      </c>
      <c r="F327" s="13" t="s">
        <v>1116</v>
      </c>
      <c r="G327" s="9" t="s">
        <v>1117</v>
      </c>
      <c r="H327" s="9" t="s">
        <v>1118</v>
      </c>
      <c r="I327" s="10">
        <v>45602</v>
      </c>
    </row>
    <row r="328" spans="1:9" x14ac:dyDescent="0.15">
      <c r="A328" s="9">
        <v>327</v>
      </c>
      <c r="B328" s="9" t="s">
        <v>9</v>
      </c>
      <c r="C328" s="9">
        <v>1927</v>
      </c>
      <c r="D328" s="10">
        <v>45729</v>
      </c>
      <c r="E328" s="11" t="str">
        <f>+HYPERLINK("http://trademark.i-assist.jp/data/china/image_1927th/81802794.pdf","81802794")</f>
        <v>81802794</v>
      </c>
      <c r="F328" s="9" t="s">
        <v>1119</v>
      </c>
      <c r="G328" s="9" t="s">
        <v>1120</v>
      </c>
      <c r="H328" s="9" t="s">
        <v>1121</v>
      </c>
      <c r="I328" s="10">
        <v>45602</v>
      </c>
    </row>
    <row r="329" spans="1:9" x14ac:dyDescent="0.15">
      <c r="A329" s="9">
        <v>328</v>
      </c>
      <c r="B329" s="9" t="s">
        <v>9</v>
      </c>
      <c r="C329" s="9">
        <v>1927</v>
      </c>
      <c r="D329" s="10">
        <v>45729</v>
      </c>
      <c r="E329" s="11" t="str">
        <f>+HYPERLINK("http://trademark.i-assist.jp/data/china/image_1927th/81806099.pdf","81806099")</f>
        <v>81806099</v>
      </c>
      <c r="F329" s="9" t="s">
        <v>1122</v>
      </c>
      <c r="G329" s="12" t="s">
        <v>1123</v>
      </c>
      <c r="H329" s="12" t="s">
        <v>1124</v>
      </c>
      <c r="I329" s="10">
        <v>45602</v>
      </c>
    </row>
    <row r="330" spans="1:9" x14ac:dyDescent="0.15">
      <c r="A330" s="9">
        <v>329</v>
      </c>
      <c r="B330" s="9" t="s">
        <v>9</v>
      </c>
      <c r="C330" s="9">
        <v>1927</v>
      </c>
      <c r="D330" s="10">
        <v>45729</v>
      </c>
      <c r="E330" s="11" t="str">
        <f>+HYPERLINK("http://trademark.i-assist.jp/data/china/image_1927th/81806761.pdf","81806761")</f>
        <v>81806761</v>
      </c>
      <c r="F330" s="12" t="s">
        <v>1125</v>
      </c>
      <c r="G330" s="9" t="s">
        <v>1126</v>
      </c>
      <c r="H330" s="9" t="s">
        <v>1127</v>
      </c>
      <c r="I330" s="10">
        <v>45602</v>
      </c>
    </row>
    <row r="331" spans="1:9" x14ac:dyDescent="0.15">
      <c r="A331" s="9">
        <v>330</v>
      </c>
      <c r="B331" s="9" t="s">
        <v>9</v>
      </c>
      <c r="C331" s="9">
        <v>1927</v>
      </c>
      <c r="D331" s="10">
        <v>45729</v>
      </c>
      <c r="E331" s="11" t="str">
        <f>+HYPERLINK("http://trademark.i-assist.jp/data/china/image_1927th/81807636.pdf","81807636")</f>
        <v>81807636</v>
      </c>
      <c r="F331" s="9" t="s">
        <v>1128</v>
      </c>
      <c r="G331" s="9" t="s">
        <v>1129</v>
      </c>
      <c r="H331" s="9" t="s">
        <v>1130</v>
      </c>
      <c r="I331" s="10">
        <v>45602</v>
      </c>
    </row>
    <row r="332" spans="1:9" x14ac:dyDescent="0.15">
      <c r="A332" s="9">
        <v>331</v>
      </c>
      <c r="B332" s="9" t="s">
        <v>9</v>
      </c>
      <c r="C332" s="9">
        <v>1927</v>
      </c>
      <c r="D332" s="10">
        <v>45729</v>
      </c>
      <c r="E332" s="11" t="str">
        <f>+HYPERLINK("http://trademark.i-assist.jp/data/china/image_1927th/81814038.pdf","81814038")</f>
        <v>81814038</v>
      </c>
      <c r="F332" s="9" t="s">
        <v>1131</v>
      </c>
      <c r="G332" s="9" t="s">
        <v>1132</v>
      </c>
      <c r="H332" s="9" t="s">
        <v>1133</v>
      </c>
      <c r="I332" s="10">
        <v>45602</v>
      </c>
    </row>
    <row r="333" spans="1:9" x14ac:dyDescent="0.15">
      <c r="A333" s="9">
        <v>332</v>
      </c>
      <c r="B333" s="9" t="s">
        <v>9</v>
      </c>
      <c r="C333" s="9">
        <v>1927</v>
      </c>
      <c r="D333" s="10">
        <v>45729</v>
      </c>
      <c r="E333" s="11" t="str">
        <f>+HYPERLINK("http://trademark.i-assist.jp/data/china/image_1927th/81822109.pdf","81822109")</f>
        <v>81822109</v>
      </c>
      <c r="F333" s="12" t="s">
        <v>16</v>
      </c>
      <c r="G333" s="9" t="s">
        <v>1134</v>
      </c>
      <c r="H333" s="9" t="s">
        <v>1135</v>
      </c>
      <c r="I333" s="10">
        <v>45603</v>
      </c>
    </row>
    <row r="334" spans="1:9" x14ac:dyDescent="0.15">
      <c r="A334" s="9">
        <v>333</v>
      </c>
      <c r="B334" s="9" t="s">
        <v>9</v>
      </c>
      <c r="C334" s="9">
        <v>1927</v>
      </c>
      <c r="D334" s="10">
        <v>45729</v>
      </c>
      <c r="E334" s="11" t="str">
        <f>+HYPERLINK("http://trademark.i-assist.jp/data/china/image_1927th/81825660.pdf","81825660")</f>
        <v>81825660</v>
      </c>
      <c r="F334" s="9" t="s">
        <v>1136</v>
      </c>
      <c r="G334" s="9" t="s">
        <v>1137</v>
      </c>
      <c r="H334" s="9" t="s">
        <v>1138</v>
      </c>
      <c r="I334" s="10">
        <v>45603</v>
      </c>
    </row>
    <row r="335" spans="1:9" x14ac:dyDescent="0.15">
      <c r="A335" s="9">
        <v>334</v>
      </c>
      <c r="B335" s="9" t="s">
        <v>9</v>
      </c>
      <c r="C335" s="9">
        <v>1927</v>
      </c>
      <c r="D335" s="10">
        <v>45729</v>
      </c>
      <c r="E335" s="11" t="str">
        <f>+HYPERLINK("http://trademark.i-assist.jp/data/china/image_1927th/81826557.pdf","81826557")</f>
        <v>81826557</v>
      </c>
      <c r="F335" s="12" t="s">
        <v>16</v>
      </c>
      <c r="G335" s="9" t="s">
        <v>1139</v>
      </c>
      <c r="H335" s="9" t="s">
        <v>1140</v>
      </c>
      <c r="I335" s="10">
        <v>45603</v>
      </c>
    </row>
    <row r="336" spans="1:9" x14ac:dyDescent="0.15">
      <c r="A336" s="9">
        <v>335</v>
      </c>
      <c r="B336" s="9" t="s">
        <v>9</v>
      </c>
      <c r="C336" s="9">
        <v>1927</v>
      </c>
      <c r="D336" s="10">
        <v>45729</v>
      </c>
      <c r="E336" s="11" t="str">
        <f>+HYPERLINK("http://trademark.i-assist.jp/data/china/image_1927th/81827382.pdf","81827382")</f>
        <v>81827382</v>
      </c>
      <c r="F336" s="9" t="s">
        <v>1141</v>
      </c>
      <c r="G336" s="9" t="s">
        <v>1142</v>
      </c>
      <c r="H336" s="9" t="s">
        <v>1143</v>
      </c>
      <c r="I336" s="10">
        <v>45603</v>
      </c>
    </row>
    <row r="337" spans="1:9" x14ac:dyDescent="0.15">
      <c r="A337" s="9">
        <v>336</v>
      </c>
      <c r="B337" s="9" t="s">
        <v>9</v>
      </c>
      <c r="C337" s="9">
        <v>1927</v>
      </c>
      <c r="D337" s="10">
        <v>45729</v>
      </c>
      <c r="E337" s="11" t="str">
        <f>+HYPERLINK("http://trademark.i-assist.jp/data/china/image_1927th/81829604.pdf","81829604")</f>
        <v>81829604</v>
      </c>
      <c r="F337" s="9" t="s">
        <v>1144</v>
      </c>
      <c r="G337" s="9" t="s">
        <v>1145</v>
      </c>
      <c r="H337" s="9" t="s">
        <v>1146</v>
      </c>
      <c r="I337" s="10">
        <v>45603</v>
      </c>
    </row>
    <row r="338" spans="1:9" x14ac:dyDescent="0.15">
      <c r="A338" s="9">
        <v>337</v>
      </c>
      <c r="B338" s="9" t="s">
        <v>9</v>
      </c>
      <c r="C338" s="9">
        <v>1927</v>
      </c>
      <c r="D338" s="10">
        <v>45729</v>
      </c>
      <c r="E338" s="11" t="str">
        <f>+HYPERLINK("http://trademark.i-assist.jp/data/china/image_1927th/81835038.pdf","81835038")</f>
        <v>81835038</v>
      </c>
      <c r="F338" s="9" t="s">
        <v>1147</v>
      </c>
      <c r="G338" s="9" t="s">
        <v>96</v>
      </c>
      <c r="H338" s="9" t="s">
        <v>1148</v>
      </c>
      <c r="I338" s="10">
        <v>45603</v>
      </c>
    </row>
    <row r="339" spans="1:9" x14ac:dyDescent="0.15">
      <c r="A339" s="9">
        <v>338</v>
      </c>
      <c r="B339" s="9" t="s">
        <v>9</v>
      </c>
      <c r="C339" s="9">
        <v>1927</v>
      </c>
      <c r="D339" s="10">
        <v>45729</v>
      </c>
      <c r="E339" s="11" t="str">
        <f>+HYPERLINK("http://trademark.i-assist.jp/data/china/image_1927th/81837010.pdf","81837010")</f>
        <v>81837010</v>
      </c>
      <c r="F339" s="9" t="s">
        <v>1149</v>
      </c>
      <c r="G339" s="12" t="s">
        <v>1150</v>
      </c>
      <c r="H339" s="9" t="s">
        <v>1151</v>
      </c>
      <c r="I339" s="10">
        <v>45603</v>
      </c>
    </row>
    <row r="340" spans="1:9" x14ac:dyDescent="0.15">
      <c r="A340" s="9">
        <v>339</v>
      </c>
      <c r="B340" s="9" t="s">
        <v>9</v>
      </c>
      <c r="C340" s="9">
        <v>1927</v>
      </c>
      <c r="D340" s="10">
        <v>45729</v>
      </c>
      <c r="E340" s="11" t="str">
        <f>+HYPERLINK("http://trademark.i-assist.jp/data/china/image_1927th/81838815.pdf","81838815")</f>
        <v>81838815</v>
      </c>
      <c r="F340" s="12" t="s">
        <v>1152</v>
      </c>
      <c r="G340" s="9" t="s">
        <v>1153</v>
      </c>
      <c r="H340" s="9" t="s">
        <v>1154</v>
      </c>
      <c r="I340" s="10">
        <v>45603</v>
      </c>
    </row>
    <row r="341" spans="1:9" x14ac:dyDescent="0.15">
      <c r="A341" s="9">
        <v>340</v>
      </c>
      <c r="B341" s="9" t="s">
        <v>9</v>
      </c>
      <c r="C341" s="9">
        <v>1927</v>
      </c>
      <c r="D341" s="10">
        <v>45729</v>
      </c>
      <c r="E341" s="11" t="str">
        <f>+HYPERLINK("http://trademark.i-assist.jp/data/china/image_1927th/81854209.pdf","81854209")</f>
        <v>81854209</v>
      </c>
      <c r="F341" s="9" t="s">
        <v>1155</v>
      </c>
      <c r="G341" s="12" t="s">
        <v>1156</v>
      </c>
      <c r="H341" s="9" t="s">
        <v>1157</v>
      </c>
      <c r="I341" s="10">
        <v>45604</v>
      </c>
    </row>
    <row r="342" spans="1:9" x14ac:dyDescent="0.15">
      <c r="A342" s="9">
        <v>341</v>
      </c>
      <c r="B342" s="9" t="s">
        <v>9</v>
      </c>
      <c r="C342" s="9">
        <v>1927</v>
      </c>
      <c r="D342" s="10">
        <v>45729</v>
      </c>
      <c r="E342" s="11" t="str">
        <f>+HYPERLINK("http://trademark.i-assist.jp/data/china/image_1927th/81861714.pdf","81861714")</f>
        <v>81861714</v>
      </c>
      <c r="F342" s="9" t="s">
        <v>1158</v>
      </c>
      <c r="G342" s="9" t="s">
        <v>1159</v>
      </c>
      <c r="H342" s="9" t="s">
        <v>1160</v>
      </c>
      <c r="I342" s="10">
        <v>45604</v>
      </c>
    </row>
    <row r="343" spans="1:9" x14ac:dyDescent="0.15">
      <c r="A343" s="9">
        <v>342</v>
      </c>
      <c r="B343" s="9" t="s">
        <v>9</v>
      </c>
      <c r="C343" s="9">
        <v>1927</v>
      </c>
      <c r="D343" s="10">
        <v>45729</v>
      </c>
      <c r="E343" s="11" t="str">
        <f>+HYPERLINK("http://trademark.i-assist.jp/data/china/image_1927th/81862817.pdf","81862817")</f>
        <v>81862817</v>
      </c>
      <c r="F343" s="12" t="s">
        <v>16</v>
      </c>
      <c r="G343" s="9" t="s">
        <v>1161</v>
      </c>
      <c r="H343" s="9" t="s">
        <v>1162</v>
      </c>
      <c r="I343" s="10">
        <v>45604</v>
      </c>
    </row>
    <row r="344" spans="1:9" x14ac:dyDescent="0.15">
      <c r="A344" s="9">
        <v>343</v>
      </c>
      <c r="B344" s="9" t="s">
        <v>9</v>
      </c>
      <c r="C344" s="9">
        <v>1927</v>
      </c>
      <c r="D344" s="10">
        <v>45729</v>
      </c>
      <c r="E344" s="11" t="str">
        <f>+HYPERLINK("http://trademark.i-assist.jp/data/china/image_1927th/81875710.pdf","81875710")</f>
        <v>81875710</v>
      </c>
      <c r="F344" s="9" t="s">
        <v>1163</v>
      </c>
      <c r="G344" s="9" t="s">
        <v>1164</v>
      </c>
      <c r="H344" s="9" t="s">
        <v>1165</v>
      </c>
      <c r="I344" s="10">
        <v>45606</v>
      </c>
    </row>
    <row r="345" spans="1:9" x14ac:dyDescent="0.15">
      <c r="A345" s="9">
        <v>344</v>
      </c>
      <c r="B345" s="9" t="s">
        <v>9</v>
      </c>
      <c r="C345" s="9">
        <v>1927</v>
      </c>
      <c r="D345" s="10">
        <v>45729</v>
      </c>
      <c r="E345" s="11" t="str">
        <f>+HYPERLINK("http://trademark.i-assist.jp/data/china/image_1927th/81876686.pdf","81876686")</f>
        <v>81876686</v>
      </c>
      <c r="F345" s="9" t="s">
        <v>1166</v>
      </c>
      <c r="G345" s="9" t="s">
        <v>1167</v>
      </c>
      <c r="H345" s="9" t="s">
        <v>1168</v>
      </c>
      <c r="I345" s="10">
        <v>45607</v>
      </c>
    </row>
    <row r="346" spans="1:9" x14ac:dyDescent="0.15">
      <c r="A346" s="9">
        <v>345</v>
      </c>
      <c r="B346" s="9" t="s">
        <v>9</v>
      </c>
      <c r="C346" s="9">
        <v>1927</v>
      </c>
      <c r="D346" s="10">
        <v>45729</v>
      </c>
      <c r="E346" s="11" t="str">
        <f>+HYPERLINK("http://trademark.i-assist.jp/data/china/image_1927th/81877992.pdf","81877992")</f>
        <v>81877992</v>
      </c>
      <c r="F346" s="9" t="s">
        <v>1169</v>
      </c>
      <c r="G346" s="9" t="s">
        <v>12</v>
      </c>
      <c r="H346" s="9" t="s">
        <v>1170</v>
      </c>
      <c r="I346" s="10">
        <v>45607</v>
      </c>
    </row>
    <row r="347" spans="1:9" x14ac:dyDescent="0.15">
      <c r="A347" s="9">
        <v>346</v>
      </c>
      <c r="B347" s="9" t="s">
        <v>9</v>
      </c>
      <c r="C347" s="9">
        <v>1927</v>
      </c>
      <c r="D347" s="10">
        <v>45729</v>
      </c>
      <c r="E347" s="11" t="str">
        <f>+HYPERLINK("http://trademark.i-assist.jp/data/china/image_1927th/81885394.pdf","81885394")</f>
        <v>81885394</v>
      </c>
      <c r="F347" s="9" t="s">
        <v>1171</v>
      </c>
      <c r="G347" s="9" t="s">
        <v>97</v>
      </c>
      <c r="H347" s="9" t="s">
        <v>1172</v>
      </c>
      <c r="I347" s="10">
        <v>45607</v>
      </c>
    </row>
    <row r="348" spans="1:9" x14ac:dyDescent="0.15">
      <c r="A348" s="9">
        <v>347</v>
      </c>
      <c r="B348" s="9" t="s">
        <v>9</v>
      </c>
      <c r="C348" s="9">
        <v>1927</v>
      </c>
      <c r="D348" s="10">
        <v>45729</v>
      </c>
      <c r="E348" s="11" t="str">
        <f>+HYPERLINK("http://trademark.i-assist.jp/data/china/image_1927th/81885478.pdf","81885478")</f>
        <v>81885478</v>
      </c>
      <c r="F348" s="9" t="s">
        <v>1173</v>
      </c>
      <c r="G348" s="12" t="s">
        <v>1174</v>
      </c>
      <c r="H348" s="9" t="s">
        <v>1175</v>
      </c>
      <c r="I348" s="10">
        <v>45607</v>
      </c>
    </row>
    <row r="349" spans="1:9" x14ac:dyDescent="0.15">
      <c r="A349" s="9">
        <v>348</v>
      </c>
      <c r="B349" s="9" t="s">
        <v>9</v>
      </c>
      <c r="C349" s="9">
        <v>1927</v>
      </c>
      <c r="D349" s="10">
        <v>45729</v>
      </c>
      <c r="E349" s="11" t="str">
        <f>+HYPERLINK("http://trademark.i-assist.jp/data/china/image_1927th/81885778.pdf","81885778")</f>
        <v>81885778</v>
      </c>
      <c r="F349" s="9" t="s">
        <v>1176</v>
      </c>
      <c r="G349" s="9" t="s">
        <v>1177</v>
      </c>
      <c r="H349" s="9" t="s">
        <v>1178</v>
      </c>
      <c r="I349" s="10">
        <v>45607</v>
      </c>
    </row>
    <row r="350" spans="1:9" x14ac:dyDescent="0.15">
      <c r="A350" s="9">
        <v>349</v>
      </c>
      <c r="B350" s="9" t="s">
        <v>9</v>
      </c>
      <c r="C350" s="9">
        <v>1927</v>
      </c>
      <c r="D350" s="10">
        <v>45729</v>
      </c>
      <c r="E350" s="11" t="str">
        <f>+HYPERLINK("http://trademark.i-assist.jp/data/china/image_1927th/81886344.pdf","81886344")</f>
        <v>81886344</v>
      </c>
      <c r="F350" s="9" t="s">
        <v>1179</v>
      </c>
      <c r="G350" s="9" t="s">
        <v>1180</v>
      </c>
      <c r="H350" s="9" t="s">
        <v>1181</v>
      </c>
      <c r="I350" s="10">
        <v>45607</v>
      </c>
    </row>
    <row r="351" spans="1:9" x14ac:dyDescent="0.15">
      <c r="A351" s="9">
        <v>350</v>
      </c>
      <c r="B351" s="9" t="s">
        <v>9</v>
      </c>
      <c r="C351" s="9">
        <v>1927</v>
      </c>
      <c r="D351" s="10">
        <v>45729</v>
      </c>
      <c r="E351" s="11" t="str">
        <f>+HYPERLINK("http://trademark.i-assist.jp/data/china/image_1927th/81887329.pdf","81887329")</f>
        <v>81887329</v>
      </c>
      <c r="F351" s="9" t="s">
        <v>1182</v>
      </c>
      <c r="G351" s="9" t="s">
        <v>1183</v>
      </c>
      <c r="H351" s="9" t="s">
        <v>1184</v>
      </c>
      <c r="I351" s="10">
        <v>45607</v>
      </c>
    </row>
    <row r="352" spans="1:9" x14ac:dyDescent="0.15">
      <c r="A352" s="9">
        <v>351</v>
      </c>
      <c r="B352" s="9" t="s">
        <v>9</v>
      </c>
      <c r="C352" s="9">
        <v>1927</v>
      </c>
      <c r="D352" s="10">
        <v>45729</v>
      </c>
      <c r="E352" s="11" t="str">
        <f>+HYPERLINK("http://trademark.i-assist.jp/data/china/image_1927th/81892947.pdf","81892947")</f>
        <v>81892947</v>
      </c>
      <c r="F352" s="9" t="s">
        <v>1185</v>
      </c>
      <c r="G352" s="12" t="s">
        <v>98</v>
      </c>
      <c r="H352" s="9" t="s">
        <v>1186</v>
      </c>
      <c r="I352" s="10">
        <v>45607</v>
      </c>
    </row>
    <row r="353" spans="1:9" x14ac:dyDescent="0.15">
      <c r="A353" s="9">
        <v>352</v>
      </c>
      <c r="B353" s="9" t="s">
        <v>9</v>
      </c>
      <c r="C353" s="9">
        <v>1927</v>
      </c>
      <c r="D353" s="10">
        <v>45729</v>
      </c>
      <c r="E353" s="11" t="str">
        <f>+HYPERLINK("http://trademark.i-assist.jp/data/china/image_1927th/81893762.pdf","81893762")</f>
        <v>81893762</v>
      </c>
      <c r="F353" s="9" t="s">
        <v>1187</v>
      </c>
      <c r="G353" s="9" t="s">
        <v>1188</v>
      </c>
      <c r="H353" s="9" t="s">
        <v>1189</v>
      </c>
      <c r="I353" s="10">
        <v>45607</v>
      </c>
    </row>
    <row r="354" spans="1:9" x14ac:dyDescent="0.15">
      <c r="A354" s="9">
        <v>353</v>
      </c>
      <c r="B354" s="9" t="s">
        <v>9</v>
      </c>
      <c r="C354" s="9">
        <v>1927</v>
      </c>
      <c r="D354" s="10">
        <v>45729</v>
      </c>
      <c r="E354" s="11" t="str">
        <f>+HYPERLINK("http://trademark.i-assist.jp/data/china/image_1927th/81895892.pdf","81895892")</f>
        <v>81895892</v>
      </c>
      <c r="F354" s="9" t="s">
        <v>1190</v>
      </c>
      <c r="G354" s="9" t="s">
        <v>1183</v>
      </c>
      <c r="H354" s="9" t="s">
        <v>1191</v>
      </c>
      <c r="I354" s="10">
        <v>45607</v>
      </c>
    </row>
    <row r="355" spans="1:9" x14ac:dyDescent="0.15">
      <c r="A355" s="9">
        <v>354</v>
      </c>
      <c r="B355" s="9" t="s">
        <v>9</v>
      </c>
      <c r="C355" s="9">
        <v>1927</v>
      </c>
      <c r="D355" s="10">
        <v>45729</v>
      </c>
      <c r="E355" s="11" t="str">
        <f>+HYPERLINK("http://trademark.i-assist.jp/data/china/image_1927th/81898681.pdf","81898681")</f>
        <v>81898681</v>
      </c>
      <c r="F355" s="9" t="s">
        <v>1192</v>
      </c>
      <c r="G355" s="9" t="s">
        <v>1193</v>
      </c>
      <c r="H355" s="9" t="s">
        <v>1194</v>
      </c>
      <c r="I355" s="10">
        <v>45607</v>
      </c>
    </row>
    <row r="356" spans="1:9" x14ac:dyDescent="0.15">
      <c r="A356" s="9">
        <v>355</v>
      </c>
      <c r="B356" s="9" t="s">
        <v>9</v>
      </c>
      <c r="C356" s="9">
        <v>1927</v>
      </c>
      <c r="D356" s="10">
        <v>45729</v>
      </c>
      <c r="E356" s="11" t="str">
        <f>+HYPERLINK("http://trademark.i-assist.jp/data/china/image_1927th/81899479.pdf","81899479")</f>
        <v>81899479</v>
      </c>
      <c r="F356" s="9" t="s">
        <v>1195</v>
      </c>
      <c r="G356" s="9" t="s">
        <v>1196</v>
      </c>
      <c r="H356" s="9" t="s">
        <v>1197</v>
      </c>
      <c r="I356" s="10">
        <v>45607</v>
      </c>
    </row>
    <row r="357" spans="1:9" x14ac:dyDescent="0.15">
      <c r="A357" s="9">
        <v>356</v>
      </c>
      <c r="B357" s="9" t="s">
        <v>9</v>
      </c>
      <c r="C357" s="9">
        <v>1927</v>
      </c>
      <c r="D357" s="10">
        <v>45729</v>
      </c>
      <c r="E357" s="11" t="str">
        <f>+HYPERLINK("http://trademark.i-assist.jp/data/china/image_1927th/81899500.pdf","81899500")</f>
        <v>81899500</v>
      </c>
      <c r="F357" s="9" t="s">
        <v>1198</v>
      </c>
      <c r="G357" s="9" t="s">
        <v>1196</v>
      </c>
      <c r="H357" s="9" t="s">
        <v>1199</v>
      </c>
      <c r="I357" s="10">
        <v>45607</v>
      </c>
    </row>
    <row r="358" spans="1:9" x14ac:dyDescent="0.15">
      <c r="A358" s="9">
        <v>357</v>
      </c>
      <c r="B358" s="9" t="s">
        <v>9</v>
      </c>
      <c r="C358" s="9">
        <v>1927</v>
      </c>
      <c r="D358" s="10">
        <v>45729</v>
      </c>
      <c r="E358" s="11" t="str">
        <f>+HYPERLINK("http://trademark.i-assist.jp/data/china/image_1927th/81901633.pdf","81901633")</f>
        <v>81901633</v>
      </c>
      <c r="F358" s="12" t="s">
        <v>1200</v>
      </c>
      <c r="G358" s="12" t="s">
        <v>1201</v>
      </c>
      <c r="H358" s="9" t="s">
        <v>1202</v>
      </c>
      <c r="I358" s="10">
        <v>45607</v>
      </c>
    </row>
    <row r="359" spans="1:9" x14ac:dyDescent="0.15">
      <c r="A359" s="9">
        <v>358</v>
      </c>
      <c r="B359" s="9" t="s">
        <v>9</v>
      </c>
      <c r="C359" s="9">
        <v>1927</v>
      </c>
      <c r="D359" s="10">
        <v>45729</v>
      </c>
      <c r="E359" s="11" t="str">
        <f>+HYPERLINK("http://trademark.i-assist.jp/data/china/image_1927th/81904545.pdf","81904545")</f>
        <v>81904545</v>
      </c>
      <c r="F359" s="9" t="s">
        <v>1203</v>
      </c>
      <c r="G359" s="12" t="s">
        <v>1204</v>
      </c>
      <c r="H359" s="12" t="s">
        <v>1205</v>
      </c>
      <c r="I359" s="10">
        <v>45608</v>
      </c>
    </row>
    <row r="360" spans="1:9" x14ac:dyDescent="0.15">
      <c r="A360" s="9">
        <v>359</v>
      </c>
      <c r="B360" s="9" t="s">
        <v>9</v>
      </c>
      <c r="C360" s="9">
        <v>1927</v>
      </c>
      <c r="D360" s="10">
        <v>45729</v>
      </c>
      <c r="E360" s="11" t="str">
        <f>+HYPERLINK("http://trademark.i-assist.jp/data/china/image_1927th/81905156.pdf","81905156")</f>
        <v>81905156</v>
      </c>
      <c r="F360" s="9" t="s">
        <v>1206</v>
      </c>
      <c r="G360" s="9" t="s">
        <v>1207</v>
      </c>
      <c r="H360" s="9" t="s">
        <v>1208</v>
      </c>
      <c r="I360" s="10">
        <v>45608</v>
      </c>
    </row>
    <row r="361" spans="1:9" x14ac:dyDescent="0.15">
      <c r="A361" s="9">
        <v>360</v>
      </c>
      <c r="B361" s="9" t="s">
        <v>9</v>
      </c>
      <c r="C361" s="9">
        <v>1927</v>
      </c>
      <c r="D361" s="10">
        <v>45729</v>
      </c>
      <c r="E361" s="11" t="str">
        <f>+HYPERLINK("http://trademark.i-assist.jp/data/china/image_1927th/81906322.pdf","81906322")</f>
        <v>81906322</v>
      </c>
      <c r="F361" s="12" t="s">
        <v>1209</v>
      </c>
      <c r="G361" s="9" t="s">
        <v>1210</v>
      </c>
      <c r="H361" s="9" t="s">
        <v>1211</v>
      </c>
      <c r="I361" s="10">
        <v>45608</v>
      </c>
    </row>
    <row r="362" spans="1:9" x14ac:dyDescent="0.15">
      <c r="A362" s="9">
        <v>361</v>
      </c>
      <c r="B362" s="9" t="s">
        <v>9</v>
      </c>
      <c r="C362" s="9">
        <v>1927</v>
      </c>
      <c r="D362" s="10">
        <v>45729</v>
      </c>
      <c r="E362" s="11" t="str">
        <f>+HYPERLINK("http://trademark.i-assist.jp/data/china/image_1927th/81907595.pdf","81907595")</f>
        <v>81907595</v>
      </c>
      <c r="F362" s="12" t="s">
        <v>1212</v>
      </c>
      <c r="G362" s="9" t="s">
        <v>1213</v>
      </c>
      <c r="H362" s="9" t="s">
        <v>1214</v>
      </c>
      <c r="I362" s="10">
        <v>45608</v>
      </c>
    </row>
    <row r="363" spans="1:9" x14ac:dyDescent="0.15">
      <c r="A363" s="9">
        <v>362</v>
      </c>
      <c r="B363" s="9" t="s">
        <v>9</v>
      </c>
      <c r="C363" s="9">
        <v>1927</v>
      </c>
      <c r="D363" s="10">
        <v>45729</v>
      </c>
      <c r="E363" s="11" t="str">
        <f>+HYPERLINK("http://trademark.i-assist.jp/data/china/image_1927th/81907955.pdf","81907955")</f>
        <v>81907955</v>
      </c>
      <c r="F363" s="9" t="s">
        <v>1215</v>
      </c>
      <c r="G363" s="9" t="s">
        <v>1216</v>
      </c>
      <c r="H363" s="9" t="s">
        <v>1217</v>
      </c>
      <c r="I363" s="10">
        <v>45608</v>
      </c>
    </row>
    <row r="364" spans="1:9" x14ac:dyDescent="0.15">
      <c r="A364" s="9">
        <v>363</v>
      </c>
      <c r="B364" s="9" t="s">
        <v>9</v>
      </c>
      <c r="C364" s="9">
        <v>1927</v>
      </c>
      <c r="D364" s="10">
        <v>45729</v>
      </c>
      <c r="E364" s="11" t="str">
        <f>+HYPERLINK("http://trademark.i-assist.jp/data/china/image_1927th/81909046.pdf","81909046")</f>
        <v>81909046</v>
      </c>
      <c r="F364" s="9" t="s">
        <v>1218</v>
      </c>
      <c r="G364" s="9" t="s">
        <v>95</v>
      </c>
      <c r="H364" s="9" t="s">
        <v>1219</v>
      </c>
      <c r="I364" s="10">
        <v>45608</v>
      </c>
    </row>
    <row r="365" spans="1:9" x14ac:dyDescent="0.15">
      <c r="A365" s="9">
        <v>364</v>
      </c>
      <c r="B365" s="9" t="s">
        <v>9</v>
      </c>
      <c r="C365" s="9">
        <v>1927</v>
      </c>
      <c r="D365" s="10">
        <v>45729</v>
      </c>
      <c r="E365" s="11" t="str">
        <f>+HYPERLINK("http://trademark.i-assist.jp/data/china/image_1927th/81911724.pdf","81911724")</f>
        <v>81911724</v>
      </c>
      <c r="F365" s="9" t="s">
        <v>1220</v>
      </c>
      <c r="G365" s="9" t="s">
        <v>1221</v>
      </c>
      <c r="H365" s="9" t="s">
        <v>1222</v>
      </c>
      <c r="I365" s="10">
        <v>45608</v>
      </c>
    </row>
    <row r="366" spans="1:9" x14ac:dyDescent="0.15">
      <c r="A366" s="9">
        <v>365</v>
      </c>
      <c r="B366" s="9" t="s">
        <v>9</v>
      </c>
      <c r="C366" s="9">
        <v>1927</v>
      </c>
      <c r="D366" s="10">
        <v>45729</v>
      </c>
      <c r="E366" s="11" t="str">
        <f>+HYPERLINK("http://trademark.i-assist.jp/data/china/image_1927th/81912377.pdf","81912377")</f>
        <v>81912377</v>
      </c>
      <c r="F366" s="9" t="s">
        <v>1223</v>
      </c>
      <c r="G366" s="9" t="s">
        <v>1210</v>
      </c>
      <c r="H366" s="9" t="s">
        <v>1224</v>
      </c>
      <c r="I366" s="10">
        <v>45608</v>
      </c>
    </row>
    <row r="367" spans="1:9" x14ac:dyDescent="0.15">
      <c r="A367" s="9">
        <v>366</v>
      </c>
      <c r="B367" s="9" t="s">
        <v>9</v>
      </c>
      <c r="C367" s="9">
        <v>1927</v>
      </c>
      <c r="D367" s="10">
        <v>45729</v>
      </c>
      <c r="E367" s="11" t="str">
        <f>+HYPERLINK("http://trademark.i-assist.jp/data/china/image_1927th/81912484.pdf","81912484")</f>
        <v>81912484</v>
      </c>
      <c r="F367" s="9" t="s">
        <v>1225</v>
      </c>
      <c r="G367" s="12" t="s">
        <v>1204</v>
      </c>
      <c r="H367" s="9" t="s">
        <v>1226</v>
      </c>
      <c r="I367" s="10">
        <v>45608</v>
      </c>
    </row>
    <row r="368" spans="1:9" x14ac:dyDescent="0.15">
      <c r="A368" s="9">
        <v>367</v>
      </c>
      <c r="B368" s="9" t="s">
        <v>9</v>
      </c>
      <c r="C368" s="9">
        <v>1927</v>
      </c>
      <c r="D368" s="10">
        <v>45729</v>
      </c>
      <c r="E368" s="11" t="str">
        <f>+HYPERLINK("http://trademark.i-assist.jp/data/china/image_1927th/81916019.pdf","81916019")</f>
        <v>81916019</v>
      </c>
      <c r="F368" s="9" t="s">
        <v>1227</v>
      </c>
      <c r="G368" s="9" t="s">
        <v>1228</v>
      </c>
      <c r="H368" s="9" t="s">
        <v>1229</v>
      </c>
      <c r="I368" s="10">
        <v>45608</v>
      </c>
    </row>
    <row r="369" spans="1:9" x14ac:dyDescent="0.15">
      <c r="A369" s="9">
        <v>368</v>
      </c>
      <c r="B369" s="9" t="s">
        <v>9</v>
      </c>
      <c r="C369" s="9">
        <v>1927</v>
      </c>
      <c r="D369" s="10">
        <v>45729</v>
      </c>
      <c r="E369" s="11" t="str">
        <f>+HYPERLINK("http://trademark.i-assist.jp/data/china/image_1927th/81918033.pdf","81918033")</f>
        <v>81918033</v>
      </c>
      <c r="F369" s="9" t="s">
        <v>1230</v>
      </c>
      <c r="G369" s="9" t="s">
        <v>1231</v>
      </c>
      <c r="H369" s="9" t="s">
        <v>1232</v>
      </c>
      <c r="I369" s="10">
        <v>45608</v>
      </c>
    </row>
    <row r="370" spans="1:9" x14ac:dyDescent="0.15">
      <c r="A370" s="9">
        <v>369</v>
      </c>
      <c r="B370" s="9" t="s">
        <v>9</v>
      </c>
      <c r="C370" s="9">
        <v>1927</v>
      </c>
      <c r="D370" s="10">
        <v>45729</v>
      </c>
      <c r="E370" s="11" t="str">
        <f>+HYPERLINK("http://trademark.i-assist.jp/data/china/image_1927th/81923700.pdf","81923700")</f>
        <v>81923700</v>
      </c>
      <c r="F370" s="9" t="s">
        <v>1233</v>
      </c>
      <c r="G370" s="9" t="s">
        <v>18</v>
      </c>
      <c r="H370" s="9" t="s">
        <v>1234</v>
      </c>
      <c r="I370" s="10">
        <v>45608</v>
      </c>
    </row>
    <row r="371" spans="1:9" x14ac:dyDescent="0.15">
      <c r="A371" s="9">
        <v>370</v>
      </c>
      <c r="B371" s="9" t="s">
        <v>9</v>
      </c>
      <c r="C371" s="9">
        <v>1927</v>
      </c>
      <c r="D371" s="10">
        <v>45729</v>
      </c>
      <c r="E371" s="11" t="str">
        <f>+HYPERLINK("http://trademark.i-assist.jp/data/china/image_1927th/81943493.pdf","81943493")</f>
        <v>81943493</v>
      </c>
      <c r="F371" s="9" t="s">
        <v>1235</v>
      </c>
      <c r="G371" s="9" t="s">
        <v>1236</v>
      </c>
      <c r="H371" s="9" t="s">
        <v>1237</v>
      </c>
      <c r="I371" s="10">
        <v>45609</v>
      </c>
    </row>
    <row r="372" spans="1:9" x14ac:dyDescent="0.15">
      <c r="A372" s="9">
        <v>371</v>
      </c>
      <c r="B372" s="9" t="s">
        <v>9</v>
      </c>
      <c r="C372" s="9">
        <v>1927</v>
      </c>
      <c r="D372" s="10">
        <v>45729</v>
      </c>
      <c r="E372" s="11" t="str">
        <f>+HYPERLINK("http://trademark.i-assist.jp/data/china/image_1927th/81943772.pdf","81943772")</f>
        <v>81943772</v>
      </c>
      <c r="F372" s="9" t="s">
        <v>1238</v>
      </c>
      <c r="G372" s="9" t="s">
        <v>1239</v>
      </c>
      <c r="H372" s="9" t="s">
        <v>1240</v>
      </c>
      <c r="I372" s="10">
        <v>45609</v>
      </c>
    </row>
    <row r="373" spans="1:9" x14ac:dyDescent="0.15">
      <c r="A373" s="9">
        <v>372</v>
      </c>
      <c r="B373" s="9" t="s">
        <v>9</v>
      </c>
      <c r="C373" s="9">
        <v>1927</v>
      </c>
      <c r="D373" s="10">
        <v>45729</v>
      </c>
      <c r="E373" s="11" t="str">
        <f>+HYPERLINK("http://trademark.i-assist.jp/data/china/image_1927th/81947424.pdf","81947424")</f>
        <v>81947424</v>
      </c>
      <c r="F373" s="12" t="s">
        <v>1241</v>
      </c>
      <c r="G373" s="9" t="s">
        <v>1242</v>
      </c>
      <c r="H373" s="12" t="s">
        <v>1243</v>
      </c>
      <c r="I373" s="10">
        <v>45609</v>
      </c>
    </row>
    <row r="374" spans="1:9" x14ac:dyDescent="0.15">
      <c r="A374" s="9">
        <v>373</v>
      </c>
      <c r="B374" s="9" t="s">
        <v>9</v>
      </c>
      <c r="C374" s="9">
        <v>1927</v>
      </c>
      <c r="D374" s="10">
        <v>45729</v>
      </c>
      <c r="E374" s="11" t="str">
        <f>+HYPERLINK("http://trademark.i-assist.jp/data/china/image_1927th/81956335.pdf","81956335")</f>
        <v>81956335</v>
      </c>
      <c r="F374" s="9" t="s">
        <v>1244</v>
      </c>
      <c r="G374" s="9" t="s">
        <v>1245</v>
      </c>
      <c r="H374" s="9" t="s">
        <v>1246</v>
      </c>
      <c r="I374" s="10">
        <v>45610</v>
      </c>
    </row>
    <row r="375" spans="1:9" x14ac:dyDescent="0.15">
      <c r="A375" s="9">
        <v>374</v>
      </c>
      <c r="B375" s="9" t="s">
        <v>9</v>
      </c>
      <c r="C375" s="9">
        <v>1927</v>
      </c>
      <c r="D375" s="10">
        <v>45729</v>
      </c>
      <c r="E375" s="11" t="str">
        <f>+HYPERLINK("http://trademark.i-assist.jp/data/china/image_1927th/81963608.pdf","81963608")</f>
        <v>81963608</v>
      </c>
      <c r="F375" s="12" t="s">
        <v>1247</v>
      </c>
      <c r="G375" s="12" t="s">
        <v>1248</v>
      </c>
      <c r="H375" s="9" t="s">
        <v>1249</v>
      </c>
      <c r="I375" s="10">
        <v>45610</v>
      </c>
    </row>
    <row r="376" spans="1:9" x14ac:dyDescent="0.15">
      <c r="A376" s="9">
        <v>375</v>
      </c>
      <c r="B376" s="9" t="s">
        <v>9</v>
      </c>
      <c r="C376" s="9">
        <v>1927</v>
      </c>
      <c r="D376" s="10">
        <v>45729</v>
      </c>
      <c r="E376" s="11" t="str">
        <f>+HYPERLINK("http://trademark.i-assist.jp/data/china/image_1927th/81970990.pdf","81970990")</f>
        <v>81970990</v>
      </c>
      <c r="F376" s="9" t="s">
        <v>1250</v>
      </c>
      <c r="G376" s="9" t="s">
        <v>1251</v>
      </c>
      <c r="H376" s="9" t="s">
        <v>1252</v>
      </c>
      <c r="I376" s="10">
        <v>45610</v>
      </c>
    </row>
    <row r="377" spans="1:9" x14ac:dyDescent="0.15">
      <c r="A377" s="9">
        <v>376</v>
      </c>
      <c r="B377" s="9" t="s">
        <v>9</v>
      </c>
      <c r="C377" s="9">
        <v>1927</v>
      </c>
      <c r="D377" s="10">
        <v>45729</v>
      </c>
      <c r="E377" s="11" t="str">
        <f>+HYPERLINK("http://trademark.i-assist.jp/data/china/image_1927th/81973542.pdf","81973542")</f>
        <v>81973542</v>
      </c>
      <c r="F377" s="9" t="s">
        <v>1253</v>
      </c>
      <c r="G377" s="9" t="s">
        <v>1254</v>
      </c>
      <c r="H377" s="9" t="s">
        <v>1255</v>
      </c>
      <c r="I377" s="10">
        <v>45610</v>
      </c>
    </row>
    <row r="378" spans="1:9" x14ac:dyDescent="0.15">
      <c r="A378" s="9">
        <v>377</v>
      </c>
      <c r="B378" s="9" t="s">
        <v>9</v>
      </c>
      <c r="C378" s="9">
        <v>1927</v>
      </c>
      <c r="D378" s="10">
        <v>45729</v>
      </c>
      <c r="E378" s="11" t="str">
        <f>+HYPERLINK("http://trademark.i-assist.jp/data/china/image_1927th/81974473.pdf","81974473")</f>
        <v>81974473</v>
      </c>
      <c r="F378" s="9" t="s">
        <v>1256</v>
      </c>
      <c r="G378" s="9" t="s">
        <v>1257</v>
      </c>
      <c r="H378" s="9" t="s">
        <v>1258</v>
      </c>
      <c r="I378" s="10">
        <v>45610</v>
      </c>
    </row>
    <row r="379" spans="1:9" x14ac:dyDescent="0.15">
      <c r="A379" s="9">
        <v>378</v>
      </c>
      <c r="B379" s="9" t="s">
        <v>9</v>
      </c>
      <c r="C379" s="9">
        <v>1927</v>
      </c>
      <c r="D379" s="10">
        <v>45729</v>
      </c>
      <c r="E379" s="11" t="str">
        <f>+HYPERLINK("http://trademark.i-assist.jp/data/china/image_1927th/81974846.pdf","81974846")</f>
        <v>81974846</v>
      </c>
      <c r="F379" s="9" t="s">
        <v>1259</v>
      </c>
      <c r="G379" s="9" t="s">
        <v>1260</v>
      </c>
      <c r="H379" s="9" t="s">
        <v>1261</v>
      </c>
      <c r="I379" s="10">
        <v>45610</v>
      </c>
    </row>
    <row r="380" spans="1:9" x14ac:dyDescent="0.15">
      <c r="A380" s="9">
        <v>379</v>
      </c>
      <c r="B380" s="9" t="s">
        <v>9</v>
      </c>
      <c r="C380" s="9">
        <v>1927</v>
      </c>
      <c r="D380" s="10">
        <v>45729</v>
      </c>
      <c r="E380" s="11" t="str">
        <f>+HYPERLINK("http://trademark.i-assist.jp/data/china/image_1927th/81983320.pdf","81983320")</f>
        <v>81983320</v>
      </c>
      <c r="F380" s="9" t="s">
        <v>1262</v>
      </c>
      <c r="G380" s="9" t="s">
        <v>1263</v>
      </c>
      <c r="H380" s="9" t="s">
        <v>1264</v>
      </c>
      <c r="I380" s="10">
        <v>45611</v>
      </c>
    </row>
    <row r="381" spans="1:9" x14ac:dyDescent="0.15">
      <c r="A381" s="9">
        <v>380</v>
      </c>
      <c r="B381" s="9" t="s">
        <v>9</v>
      </c>
      <c r="C381" s="9">
        <v>1927</v>
      </c>
      <c r="D381" s="10">
        <v>45729</v>
      </c>
      <c r="E381" s="11" t="str">
        <f>+HYPERLINK("http://trademark.i-assist.jp/data/china/image_1927th/81988637.pdf","81988637")</f>
        <v>81988637</v>
      </c>
      <c r="F381" s="9" t="s">
        <v>1265</v>
      </c>
      <c r="G381" s="9" t="s">
        <v>99</v>
      </c>
      <c r="H381" s="9" t="s">
        <v>1266</v>
      </c>
      <c r="I381" s="10">
        <v>45611</v>
      </c>
    </row>
    <row r="382" spans="1:9" x14ac:dyDescent="0.15">
      <c r="A382" s="9">
        <v>381</v>
      </c>
      <c r="B382" s="9" t="s">
        <v>9</v>
      </c>
      <c r="C382" s="9">
        <v>1927</v>
      </c>
      <c r="D382" s="10">
        <v>45729</v>
      </c>
      <c r="E382" s="11" t="str">
        <f>+HYPERLINK("http://trademark.i-assist.jp/data/china/image_1927th/81990084.pdf","81990084")</f>
        <v>81990084</v>
      </c>
      <c r="F382" s="9" t="s">
        <v>1267</v>
      </c>
      <c r="G382" s="9" t="s">
        <v>1268</v>
      </c>
      <c r="H382" s="9" t="s">
        <v>1269</v>
      </c>
      <c r="I382" s="10">
        <v>45611</v>
      </c>
    </row>
    <row r="383" spans="1:9" x14ac:dyDescent="0.15">
      <c r="A383" s="9">
        <v>382</v>
      </c>
      <c r="B383" s="9" t="s">
        <v>9</v>
      </c>
      <c r="C383" s="9">
        <v>1927</v>
      </c>
      <c r="D383" s="10">
        <v>45729</v>
      </c>
      <c r="E383" s="11" t="str">
        <f>+HYPERLINK("http://trademark.i-assist.jp/data/china/image_1927th/81990384.pdf","81990384")</f>
        <v>81990384</v>
      </c>
      <c r="F383" s="9" t="s">
        <v>1270</v>
      </c>
      <c r="G383" s="9" t="s">
        <v>1271</v>
      </c>
      <c r="H383" s="9" t="s">
        <v>1272</v>
      </c>
      <c r="I383" s="10">
        <v>45611</v>
      </c>
    </row>
    <row r="384" spans="1:9" x14ac:dyDescent="0.15">
      <c r="A384" s="9">
        <v>383</v>
      </c>
      <c r="B384" s="9" t="s">
        <v>9</v>
      </c>
      <c r="C384" s="9">
        <v>1927</v>
      </c>
      <c r="D384" s="10">
        <v>45729</v>
      </c>
      <c r="E384" s="11" t="str">
        <f>+HYPERLINK("http://trademark.i-assist.jp/data/china/image_1927th/81991751.pdf","81991751")</f>
        <v>81991751</v>
      </c>
      <c r="F384" s="9" t="s">
        <v>1273</v>
      </c>
      <c r="G384" s="12" t="s">
        <v>1274</v>
      </c>
      <c r="H384" s="9" t="s">
        <v>1275</v>
      </c>
      <c r="I384" s="10">
        <v>45611</v>
      </c>
    </row>
    <row r="385" spans="1:9" x14ac:dyDescent="0.15">
      <c r="A385" s="9">
        <v>384</v>
      </c>
      <c r="B385" s="9" t="s">
        <v>9</v>
      </c>
      <c r="C385" s="9">
        <v>1927</v>
      </c>
      <c r="D385" s="10">
        <v>45729</v>
      </c>
      <c r="E385" s="11" t="str">
        <f>+HYPERLINK("http://trademark.i-assist.jp/data/china/image_1927th/81993616.pdf","81993616")</f>
        <v>81993616</v>
      </c>
      <c r="F385" s="12" t="s">
        <v>1276</v>
      </c>
      <c r="G385" s="12" t="s">
        <v>1277</v>
      </c>
      <c r="H385" s="9" t="s">
        <v>1278</v>
      </c>
      <c r="I385" s="10">
        <v>45611</v>
      </c>
    </row>
    <row r="386" spans="1:9" x14ac:dyDescent="0.15">
      <c r="A386" s="9">
        <v>385</v>
      </c>
      <c r="B386" s="9" t="s">
        <v>9</v>
      </c>
      <c r="C386" s="9">
        <v>1927</v>
      </c>
      <c r="D386" s="10">
        <v>45729</v>
      </c>
      <c r="E386" s="11" t="str">
        <f>+HYPERLINK("http://trademark.i-assist.jp/data/china/image_1927th/81994765.pdf","81994765")</f>
        <v>81994765</v>
      </c>
      <c r="F386" s="9" t="s">
        <v>1279</v>
      </c>
      <c r="G386" s="9" t="s">
        <v>1280</v>
      </c>
      <c r="H386" s="9" t="s">
        <v>1281</v>
      </c>
      <c r="I386" s="10">
        <v>45611</v>
      </c>
    </row>
    <row r="387" spans="1:9" x14ac:dyDescent="0.15">
      <c r="A387" s="9">
        <v>386</v>
      </c>
      <c r="B387" s="9" t="s">
        <v>9</v>
      </c>
      <c r="C387" s="9">
        <v>1927</v>
      </c>
      <c r="D387" s="10">
        <v>45729</v>
      </c>
      <c r="E387" s="11" t="str">
        <f>+HYPERLINK("http://trademark.i-assist.jp/data/china/image_1927th/81994821.pdf","81994821")</f>
        <v>81994821</v>
      </c>
      <c r="F387" s="9" t="s">
        <v>1282</v>
      </c>
      <c r="G387" s="9" t="s">
        <v>1283</v>
      </c>
      <c r="H387" s="9" t="s">
        <v>1284</v>
      </c>
      <c r="I387" s="10">
        <v>45611</v>
      </c>
    </row>
    <row r="388" spans="1:9" x14ac:dyDescent="0.15">
      <c r="A388" s="9">
        <v>387</v>
      </c>
      <c r="B388" s="9" t="s">
        <v>9</v>
      </c>
      <c r="C388" s="9">
        <v>1927</v>
      </c>
      <c r="D388" s="10">
        <v>45729</v>
      </c>
      <c r="E388" s="11" t="str">
        <f>+HYPERLINK("http://trademark.i-assist.jp/data/china/image_1927th/82000338.pdf","82000338")</f>
        <v>82000338</v>
      </c>
      <c r="F388" s="9" t="s">
        <v>1285</v>
      </c>
      <c r="G388" s="9" t="s">
        <v>1286</v>
      </c>
      <c r="H388" s="9" t="s">
        <v>1287</v>
      </c>
      <c r="I388" s="10">
        <v>45611</v>
      </c>
    </row>
    <row r="389" spans="1:9" x14ac:dyDescent="0.15">
      <c r="A389" s="9">
        <v>388</v>
      </c>
      <c r="B389" s="9" t="s">
        <v>9</v>
      </c>
      <c r="C389" s="9">
        <v>1927</v>
      </c>
      <c r="D389" s="10">
        <v>45729</v>
      </c>
      <c r="E389" s="11" t="str">
        <f>+HYPERLINK("http://trademark.i-assist.jp/data/china/image_1927th/82002726.pdf","82002726")</f>
        <v>82002726</v>
      </c>
      <c r="F389" s="9" t="s">
        <v>1288</v>
      </c>
      <c r="G389" s="9" t="s">
        <v>1289</v>
      </c>
      <c r="H389" s="9" t="s">
        <v>1290</v>
      </c>
      <c r="I389" s="10">
        <v>45611</v>
      </c>
    </row>
    <row r="390" spans="1:9" x14ac:dyDescent="0.15">
      <c r="A390" s="9">
        <v>389</v>
      </c>
      <c r="B390" s="9" t="s">
        <v>9</v>
      </c>
      <c r="C390" s="9">
        <v>1927</v>
      </c>
      <c r="D390" s="10">
        <v>45729</v>
      </c>
      <c r="E390" s="11" t="str">
        <f>+HYPERLINK("http://trademark.i-assist.jp/data/china/image_1927th/82002951.pdf","82002951")</f>
        <v>82002951</v>
      </c>
      <c r="F390" s="9" t="s">
        <v>1291</v>
      </c>
      <c r="G390" s="9" t="s">
        <v>1292</v>
      </c>
      <c r="H390" s="9" t="s">
        <v>1293</v>
      </c>
      <c r="I390" s="10">
        <v>45611</v>
      </c>
    </row>
    <row r="391" spans="1:9" x14ac:dyDescent="0.15">
      <c r="A391" s="9">
        <v>390</v>
      </c>
      <c r="B391" s="9" t="s">
        <v>9</v>
      </c>
      <c r="C391" s="9">
        <v>1927</v>
      </c>
      <c r="D391" s="10">
        <v>45729</v>
      </c>
      <c r="E391" s="11" t="str">
        <f>+HYPERLINK("http://trademark.i-assist.jp/data/china/image_1927th/82002982.pdf","82002982")</f>
        <v>82002982</v>
      </c>
      <c r="F391" s="9" t="s">
        <v>1294</v>
      </c>
      <c r="G391" s="9" t="s">
        <v>1292</v>
      </c>
      <c r="H391" s="9" t="s">
        <v>1295</v>
      </c>
      <c r="I391" s="10">
        <v>45611</v>
      </c>
    </row>
    <row r="392" spans="1:9" x14ac:dyDescent="0.15">
      <c r="A392" s="9">
        <v>391</v>
      </c>
      <c r="B392" s="9" t="s">
        <v>9</v>
      </c>
      <c r="C392" s="9">
        <v>1927</v>
      </c>
      <c r="D392" s="10">
        <v>45729</v>
      </c>
      <c r="E392" s="11" t="str">
        <f>+HYPERLINK("http://trademark.i-assist.jp/data/china/image_1927th/82005333.pdf","82005333")</f>
        <v>82005333</v>
      </c>
      <c r="F392" s="9" t="s">
        <v>1296</v>
      </c>
      <c r="G392" s="9" t="s">
        <v>1271</v>
      </c>
      <c r="H392" s="9" t="s">
        <v>1297</v>
      </c>
      <c r="I392" s="10">
        <v>45611</v>
      </c>
    </row>
    <row r="393" spans="1:9" x14ac:dyDescent="0.15">
      <c r="A393" s="9">
        <v>392</v>
      </c>
      <c r="B393" s="9" t="s">
        <v>9</v>
      </c>
      <c r="C393" s="9">
        <v>1927</v>
      </c>
      <c r="D393" s="10">
        <v>45729</v>
      </c>
      <c r="E393" s="11" t="str">
        <f>+HYPERLINK("http://trademark.i-assist.jp/data/china/image_1927th/82005634.pdf","82005634")</f>
        <v>82005634</v>
      </c>
      <c r="F393" s="9" t="s">
        <v>1298</v>
      </c>
      <c r="G393" s="9" t="s">
        <v>1299</v>
      </c>
      <c r="H393" s="9" t="s">
        <v>1300</v>
      </c>
      <c r="I393" s="10">
        <v>45611</v>
      </c>
    </row>
    <row r="394" spans="1:9" x14ac:dyDescent="0.15">
      <c r="A394" s="9">
        <v>393</v>
      </c>
      <c r="B394" s="9" t="s">
        <v>9</v>
      </c>
      <c r="C394" s="9">
        <v>1927</v>
      </c>
      <c r="D394" s="10">
        <v>45729</v>
      </c>
      <c r="E394" s="11" t="str">
        <f>+HYPERLINK("http://trademark.i-assist.jp/data/china/image_1927th/82005989.pdf","82005989")</f>
        <v>82005989</v>
      </c>
      <c r="F394" s="9" t="s">
        <v>1301</v>
      </c>
      <c r="G394" s="9" t="s">
        <v>1302</v>
      </c>
      <c r="H394" s="9" t="s">
        <v>1303</v>
      </c>
      <c r="I394" s="10">
        <v>45612</v>
      </c>
    </row>
    <row r="395" spans="1:9" x14ac:dyDescent="0.15">
      <c r="A395" s="9">
        <v>394</v>
      </c>
      <c r="B395" s="9" t="s">
        <v>9</v>
      </c>
      <c r="C395" s="9">
        <v>1927</v>
      </c>
      <c r="D395" s="10">
        <v>45729</v>
      </c>
      <c r="E395" s="11" t="str">
        <f>+HYPERLINK("http://trademark.i-assist.jp/data/china/image_1927th/82008579.pdf","82008579")</f>
        <v>82008579</v>
      </c>
      <c r="F395" s="9" t="s">
        <v>1304</v>
      </c>
      <c r="G395" s="9" t="s">
        <v>1305</v>
      </c>
      <c r="H395" s="9" t="s">
        <v>1306</v>
      </c>
      <c r="I395" s="10">
        <v>45612</v>
      </c>
    </row>
    <row r="396" spans="1:9" x14ac:dyDescent="0.15">
      <c r="A396" s="9">
        <v>395</v>
      </c>
      <c r="B396" s="9" t="s">
        <v>9</v>
      </c>
      <c r="C396" s="9">
        <v>1927</v>
      </c>
      <c r="D396" s="10">
        <v>45729</v>
      </c>
      <c r="E396" s="11" t="str">
        <f>+HYPERLINK("http://trademark.i-assist.jp/data/china/image_1927th/82014570.pdf","82014570")</f>
        <v>82014570</v>
      </c>
      <c r="F396" s="9" t="s">
        <v>1307</v>
      </c>
      <c r="G396" s="9" t="s">
        <v>104</v>
      </c>
      <c r="H396" s="9" t="s">
        <v>1308</v>
      </c>
      <c r="I396" s="10">
        <v>45614</v>
      </c>
    </row>
    <row r="397" spans="1:9" x14ac:dyDescent="0.15">
      <c r="A397" s="9">
        <v>396</v>
      </c>
      <c r="B397" s="9" t="s">
        <v>9</v>
      </c>
      <c r="C397" s="9">
        <v>1927</v>
      </c>
      <c r="D397" s="10">
        <v>45729</v>
      </c>
      <c r="E397" s="11" t="str">
        <f>+HYPERLINK("http://trademark.i-assist.jp/data/china/image_1927th/82015724.pdf","82015724")</f>
        <v>82015724</v>
      </c>
      <c r="F397" s="9" t="s">
        <v>1309</v>
      </c>
      <c r="G397" s="12" t="s">
        <v>1310</v>
      </c>
      <c r="H397" s="9" t="s">
        <v>1311</v>
      </c>
      <c r="I397" s="10">
        <v>45614</v>
      </c>
    </row>
    <row r="398" spans="1:9" x14ac:dyDescent="0.15">
      <c r="A398" s="9">
        <v>397</v>
      </c>
      <c r="B398" s="9" t="s">
        <v>9</v>
      </c>
      <c r="C398" s="9">
        <v>1927</v>
      </c>
      <c r="D398" s="10">
        <v>45729</v>
      </c>
      <c r="E398" s="11" t="str">
        <f>+HYPERLINK("http://trademark.i-assist.jp/data/china/image_1927th/82016214.pdf","82016214")</f>
        <v>82016214</v>
      </c>
      <c r="F398" s="9" t="s">
        <v>1312</v>
      </c>
      <c r="G398" s="9" t="s">
        <v>1313</v>
      </c>
      <c r="H398" s="9" t="s">
        <v>1314</v>
      </c>
      <c r="I398" s="10">
        <v>45614</v>
      </c>
    </row>
    <row r="399" spans="1:9" x14ac:dyDescent="0.15">
      <c r="A399" s="9">
        <v>398</v>
      </c>
      <c r="B399" s="9" t="s">
        <v>9</v>
      </c>
      <c r="C399" s="9">
        <v>1927</v>
      </c>
      <c r="D399" s="10">
        <v>45729</v>
      </c>
      <c r="E399" s="11" t="str">
        <f>+HYPERLINK("http://trademark.i-assist.jp/data/china/image_1927th/82019129.pdf","82019129")</f>
        <v>82019129</v>
      </c>
      <c r="F399" s="12" t="s">
        <v>1315</v>
      </c>
      <c r="G399" s="12" t="s">
        <v>1316</v>
      </c>
      <c r="H399" s="9" t="s">
        <v>1317</v>
      </c>
      <c r="I399" s="10">
        <v>45614</v>
      </c>
    </row>
    <row r="400" spans="1:9" x14ac:dyDescent="0.15">
      <c r="A400" s="9">
        <v>399</v>
      </c>
      <c r="B400" s="9" t="s">
        <v>9</v>
      </c>
      <c r="C400" s="9">
        <v>1927</v>
      </c>
      <c r="D400" s="10">
        <v>45729</v>
      </c>
      <c r="E400" s="11" t="str">
        <f>+HYPERLINK("http://trademark.i-assist.jp/data/china/image_1927th/82019137.pdf","82019137")</f>
        <v>82019137</v>
      </c>
      <c r="F400" s="12" t="s">
        <v>1318</v>
      </c>
      <c r="G400" s="12" t="s">
        <v>1316</v>
      </c>
      <c r="H400" s="9" t="s">
        <v>1319</v>
      </c>
      <c r="I400" s="10">
        <v>45614</v>
      </c>
    </row>
    <row r="401" spans="1:9" x14ac:dyDescent="0.15">
      <c r="A401" s="9">
        <v>400</v>
      </c>
      <c r="B401" s="9" t="s">
        <v>9</v>
      </c>
      <c r="C401" s="9">
        <v>1927</v>
      </c>
      <c r="D401" s="10">
        <v>45729</v>
      </c>
      <c r="E401" s="11" t="str">
        <f>+HYPERLINK("http://trademark.i-assist.jp/data/china/image_1927th/82020909.pdf","82020909")</f>
        <v>82020909</v>
      </c>
      <c r="F401" s="9" t="s">
        <v>1320</v>
      </c>
      <c r="G401" s="9" t="s">
        <v>1321</v>
      </c>
      <c r="H401" s="9" t="s">
        <v>1322</v>
      </c>
      <c r="I401" s="10">
        <v>45614</v>
      </c>
    </row>
    <row r="402" spans="1:9" x14ac:dyDescent="0.15">
      <c r="A402" s="9">
        <v>401</v>
      </c>
      <c r="B402" s="9" t="s">
        <v>9</v>
      </c>
      <c r="C402" s="9">
        <v>1927</v>
      </c>
      <c r="D402" s="10">
        <v>45729</v>
      </c>
      <c r="E402" s="11" t="str">
        <f>+HYPERLINK("http://trademark.i-assist.jp/data/china/image_1927th/82022518.pdf","82022518")</f>
        <v>82022518</v>
      </c>
      <c r="F402" s="9" t="s">
        <v>1323</v>
      </c>
      <c r="G402" s="9" t="s">
        <v>1321</v>
      </c>
      <c r="H402" s="9" t="s">
        <v>1324</v>
      </c>
      <c r="I402" s="10">
        <v>45614</v>
      </c>
    </row>
    <row r="403" spans="1:9" x14ac:dyDescent="0.15">
      <c r="A403" s="9">
        <v>402</v>
      </c>
      <c r="B403" s="9" t="s">
        <v>9</v>
      </c>
      <c r="C403" s="9">
        <v>1927</v>
      </c>
      <c r="D403" s="10">
        <v>45729</v>
      </c>
      <c r="E403" s="11" t="str">
        <f>+HYPERLINK("http://trademark.i-assist.jp/data/china/image_1927th/82022836A.pdf","82022836A")</f>
        <v>82022836A</v>
      </c>
      <c r="F403" s="9" t="s">
        <v>1325</v>
      </c>
      <c r="G403" s="9" t="s">
        <v>102</v>
      </c>
      <c r="H403" s="9" t="s">
        <v>10</v>
      </c>
      <c r="I403" s="10">
        <v>45614</v>
      </c>
    </row>
    <row r="404" spans="1:9" x14ac:dyDescent="0.15">
      <c r="A404" s="9">
        <v>403</v>
      </c>
      <c r="B404" s="9" t="s">
        <v>9</v>
      </c>
      <c r="C404" s="9">
        <v>1927</v>
      </c>
      <c r="D404" s="10">
        <v>45729</v>
      </c>
      <c r="E404" s="11" t="str">
        <f>+HYPERLINK("http://trademark.i-assist.jp/data/china/image_1927th/82028795.pdf","82028795")</f>
        <v>82028795</v>
      </c>
      <c r="F404" s="9" t="s">
        <v>1326</v>
      </c>
      <c r="G404" s="9" t="s">
        <v>89</v>
      </c>
      <c r="H404" s="9" t="s">
        <v>1327</v>
      </c>
      <c r="I404" s="10">
        <v>45614</v>
      </c>
    </row>
    <row r="405" spans="1:9" x14ac:dyDescent="0.15">
      <c r="A405" s="9">
        <v>404</v>
      </c>
      <c r="B405" s="9" t="s">
        <v>9</v>
      </c>
      <c r="C405" s="9">
        <v>1927</v>
      </c>
      <c r="D405" s="10">
        <v>45729</v>
      </c>
      <c r="E405" s="11" t="str">
        <f>+HYPERLINK("http://trademark.i-assist.jp/data/china/image_1927th/82029769.pdf","82029769")</f>
        <v>82029769</v>
      </c>
      <c r="F405" s="9" t="s">
        <v>1328</v>
      </c>
      <c r="G405" s="9" t="s">
        <v>1329</v>
      </c>
      <c r="H405" s="9" t="s">
        <v>1330</v>
      </c>
      <c r="I405" s="10">
        <v>45614</v>
      </c>
    </row>
    <row r="406" spans="1:9" x14ac:dyDescent="0.15">
      <c r="A406" s="9">
        <v>405</v>
      </c>
      <c r="B406" s="9" t="s">
        <v>9</v>
      </c>
      <c r="C406" s="9">
        <v>1927</v>
      </c>
      <c r="D406" s="10">
        <v>45729</v>
      </c>
      <c r="E406" s="11" t="str">
        <f>+HYPERLINK("http://trademark.i-assist.jp/data/china/image_1927th/82032996.pdf","82032996")</f>
        <v>82032996</v>
      </c>
      <c r="F406" s="9" t="s">
        <v>1331</v>
      </c>
      <c r="G406" s="9" t="s">
        <v>1332</v>
      </c>
      <c r="H406" s="9" t="s">
        <v>1333</v>
      </c>
      <c r="I406" s="10">
        <v>45614</v>
      </c>
    </row>
    <row r="407" spans="1:9" x14ac:dyDescent="0.15">
      <c r="A407" s="9">
        <v>406</v>
      </c>
      <c r="B407" s="9" t="s">
        <v>9</v>
      </c>
      <c r="C407" s="9">
        <v>1927</v>
      </c>
      <c r="D407" s="10">
        <v>45729</v>
      </c>
      <c r="E407" s="11" t="str">
        <f>+HYPERLINK("http://trademark.i-assist.jp/data/china/image_1927th/82036992.pdf","82036992")</f>
        <v>82036992</v>
      </c>
      <c r="F407" s="9" t="s">
        <v>1334</v>
      </c>
      <c r="G407" s="9" t="s">
        <v>1335</v>
      </c>
      <c r="H407" s="9" t="s">
        <v>1336</v>
      </c>
      <c r="I407" s="10">
        <v>45614</v>
      </c>
    </row>
    <row r="408" spans="1:9" x14ac:dyDescent="0.15">
      <c r="A408" s="9">
        <v>407</v>
      </c>
      <c r="B408" s="9" t="s">
        <v>9</v>
      </c>
      <c r="C408" s="9">
        <v>1927</v>
      </c>
      <c r="D408" s="10">
        <v>45729</v>
      </c>
      <c r="E408" s="11" t="str">
        <f>+HYPERLINK("http://trademark.i-assist.jp/data/china/image_1927th/82037014.pdf","82037014")</f>
        <v>82037014</v>
      </c>
      <c r="F408" s="9" t="s">
        <v>1337</v>
      </c>
      <c r="G408" s="9" t="s">
        <v>1338</v>
      </c>
      <c r="H408" s="9" t="s">
        <v>1339</v>
      </c>
      <c r="I408" s="10">
        <v>45614</v>
      </c>
    </row>
    <row r="409" spans="1:9" x14ac:dyDescent="0.15">
      <c r="A409" s="9">
        <v>408</v>
      </c>
      <c r="B409" s="9" t="s">
        <v>9</v>
      </c>
      <c r="C409" s="9">
        <v>1927</v>
      </c>
      <c r="D409" s="10">
        <v>45729</v>
      </c>
      <c r="E409" s="11" t="str">
        <f>+HYPERLINK("http://trademark.i-assist.jp/data/china/image_1927th/82037941.pdf","82037941")</f>
        <v>82037941</v>
      </c>
      <c r="F409" s="9" t="s">
        <v>1340</v>
      </c>
      <c r="G409" s="9" t="s">
        <v>13</v>
      </c>
      <c r="H409" s="9" t="s">
        <v>1341</v>
      </c>
      <c r="I409" s="10">
        <v>45614</v>
      </c>
    </row>
    <row r="410" spans="1:9" x14ac:dyDescent="0.15">
      <c r="A410" s="9">
        <v>409</v>
      </c>
      <c r="B410" s="9" t="s">
        <v>9</v>
      </c>
      <c r="C410" s="9">
        <v>1927</v>
      </c>
      <c r="D410" s="10">
        <v>45729</v>
      </c>
      <c r="E410" s="11" t="str">
        <f>+HYPERLINK("http://trademark.i-assist.jp/data/china/image_1927th/82042044.pdf","82042044")</f>
        <v>82042044</v>
      </c>
      <c r="F410" s="9" t="s">
        <v>1342</v>
      </c>
      <c r="G410" s="9" t="s">
        <v>106</v>
      </c>
      <c r="H410" s="9" t="s">
        <v>1343</v>
      </c>
      <c r="I410" s="10">
        <v>45615</v>
      </c>
    </row>
    <row r="411" spans="1:9" x14ac:dyDescent="0.15">
      <c r="A411" s="9">
        <v>410</v>
      </c>
      <c r="B411" s="9" t="s">
        <v>9</v>
      </c>
      <c r="C411" s="9">
        <v>1927</v>
      </c>
      <c r="D411" s="10">
        <v>45729</v>
      </c>
      <c r="E411" s="11" t="str">
        <f>+HYPERLINK("http://trademark.i-assist.jp/data/china/image_1927th/82042511.pdf","82042511")</f>
        <v>82042511</v>
      </c>
      <c r="F411" s="12" t="s">
        <v>1344</v>
      </c>
      <c r="G411" s="9" t="s">
        <v>107</v>
      </c>
      <c r="H411" s="12" t="s">
        <v>1345</v>
      </c>
      <c r="I411" s="10">
        <v>45615</v>
      </c>
    </row>
    <row r="412" spans="1:9" x14ac:dyDescent="0.15">
      <c r="A412" s="9">
        <v>411</v>
      </c>
      <c r="B412" s="9" t="s">
        <v>9</v>
      </c>
      <c r="C412" s="9">
        <v>1927</v>
      </c>
      <c r="D412" s="10">
        <v>45729</v>
      </c>
      <c r="E412" s="11" t="str">
        <f>+HYPERLINK("http://trademark.i-assist.jp/data/china/image_1927th/82045035.pdf","82045035")</f>
        <v>82045035</v>
      </c>
      <c r="F412" s="9" t="s">
        <v>1346</v>
      </c>
      <c r="G412" s="9" t="s">
        <v>1347</v>
      </c>
      <c r="H412" s="9" t="s">
        <v>1348</v>
      </c>
      <c r="I412" s="10">
        <v>45615</v>
      </c>
    </row>
    <row r="413" spans="1:9" x14ac:dyDescent="0.15">
      <c r="A413" s="9">
        <v>412</v>
      </c>
      <c r="B413" s="9" t="s">
        <v>9</v>
      </c>
      <c r="C413" s="9">
        <v>1927</v>
      </c>
      <c r="D413" s="10">
        <v>45729</v>
      </c>
      <c r="E413" s="11" t="str">
        <f>+HYPERLINK("http://trademark.i-assist.jp/data/china/image_1927th/82045997.pdf","82045997")</f>
        <v>82045997</v>
      </c>
      <c r="F413" s="9" t="s">
        <v>1349</v>
      </c>
      <c r="G413" s="9" t="s">
        <v>1350</v>
      </c>
      <c r="H413" s="9" t="s">
        <v>1351</v>
      </c>
      <c r="I413" s="10">
        <v>45615</v>
      </c>
    </row>
    <row r="414" spans="1:9" x14ac:dyDescent="0.15">
      <c r="A414" s="9">
        <v>413</v>
      </c>
      <c r="B414" s="9" t="s">
        <v>9</v>
      </c>
      <c r="C414" s="9">
        <v>1927</v>
      </c>
      <c r="D414" s="10">
        <v>45729</v>
      </c>
      <c r="E414" s="11" t="str">
        <f>+HYPERLINK("http://trademark.i-assist.jp/data/china/image_1927th/82046318.pdf","82046318")</f>
        <v>82046318</v>
      </c>
      <c r="F414" s="9" t="s">
        <v>1352</v>
      </c>
      <c r="G414" s="12" t="s">
        <v>1353</v>
      </c>
      <c r="H414" s="12" t="s">
        <v>1354</v>
      </c>
      <c r="I414" s="10">
        <v>45615</v>
      </c>
    </row>
    <row r="415" spans="1:9" x14ac:dyDescent="0.15">
      <c r="A415" s="9">
        <v>414</v>
      </c>
      <c r="B415" s="9" t="s">
        <v>9</v>
      </c>
      <c r="C415" s="9">
        <v>1927</v>
      </c>
      <c r="D415" s="10">
        <v>45729</v>
      </c>
      <c r="E415" s="11" t="str">
        <f>+HYPERLINK("http://trademark.i-assist.jp/data/china/image_1927th/82046765.pdf","82046765")</f>
        <v>82046765</v>
      </c>
      <c r="F415" s="12" t="s">
        <v>1355</v>
      </c>
      <c r="G415" s="9" t="s">
        <v>1356</v>
      </c>
      <c r="H415" s="9" t="s">
        <v>1357</v>
      </c>
      <c r="I415" s="10">
        <v>45615</v>
      </c>
    </row>
    <row r="416" spans="1:9" x14ac:dyDescent="0.15">
      <c r="A416" s="9">
        <v>415</v>
      </c>
      <c r="B416" s="9" t="s">
        <v>9</v>
      </c>
      <c r="C416" s="9">
        <v>1927</v>
      </c>
      <c r="D416" s="10">
        <v>45729</v>
      </c>
      <c r="E416" s="11" t="str">
        <f>+HYPERLINK("http://trademark.i-assist.jp/data/china/image_1927th/82049782.pdf","82049782")</f>
        <v>82049782</v>
      </c>
      <c r="F416" s="9" t="s">
        <v>1358</v>
      </c>
      <c r="G416" s="9" t="s">
        <v>1359</v>
      </c>
      <c r="H416" s="9" t="s">
        <v>1360</v>
      </c>
      <c r="I416" s="10">
        <v>45615</v>
      </c>
    </row>
    <row r="417" spans="1:9" x14ac:dyDescent="0.15">
      <c r="A417" s="9">
        <v>416</v>
      </c>
      <c r="B417" s="9" t="s">
        <v>9</v>
      </c>
      <c r="C417" s="9">
        <v>1927</v>
      </c>
      <c r="D417" s="10">
        <v>45729</v>
      </c>
      <c r="E417" s="11" t="str">
        <f>+HYPERLINK("http://trademark.i-assist.jp/data/china/image_1927th/82053160.pdf","82053160")</f>
        <v>82053160</v>
      </c>
      <c r="F417" s="9" t="s">
        <v>1361</v>
      </c>
      <c r="G417" s="12" t="s">
        <v>1362</v>
      </c>
      <c r="H417" s="9" t="s">
        <v>1363</v>
      </c>
      <c r="I417" s="10">
        <v>45615</v>
      </c>
    </row>
    <row r="418" spans="1:9" x14ac:dyDescent="0.15">
      <c r="A418" s="9">
        <v>417</v>
      </c>
      <c r="B418" s="9" t="s">
        <v>9</v>
      </c>
      <c r="C418" s="9">
        <v>1927</v>
      </c>
      <c r="D418" s="10">
        <v>45729</v>
      </c>
      <c r="E418" s="11" t="str">
        <f>+HYPERLINK("http://trademark.i-assist.jp/data/china/image_1927th/82056619.pdf","82056619")</f>
        <v>82056619</v>
      </c>
      <c r="F418" s="9" t="s">
        <v>1364</v>
      </c>
      <c r="G418" s="9" t="s">
        <v>1365</v>
      </c>
      <c r="H418" s="9" t="s">
        <v>1366</v>
      </c>
      <c r="I418" s="10">
        <v>45615</v>
      </c>
    </row>
    <row r="419" spans="1:9" x14ac:dyDescent="0.15">
      <c r="A419" s="9">
        <v>418</v>
      </c>
      <c r="B419" s="9" t="s">
        <v>9</v>
      </c>
      <c r="C419" s="9">
        <v>1927</v>
      </c>
      <c r="D419" s="10">
        <v>45729</v>
      </c>
      <c r="E419" s="11" t="str">
        <f>+HYPERLINK("http://trademark.i-assist.jp/data/china/image_1927th/82056856.pdf","82056856")</f>
        <v>82056856</v>
      </c>
      <c r="F419" s="12" t="s">
        <v>1367</v>
      </c>
      <c r="G419" s="12" t="s">
        <v>1368</v>
      </c>
      <c r="H419" s="9" t="s">
        <v>1369</v>
      </c>
      <c r="I419" s="10">
        <v>45615</v>
      </c>
    </row>
    <row r="420" spans="1:9" x14ac:dyDescent="0.15">
      <c r="A420" s="9">
        <v>419</v>
      </c>
      <c r="B420" s="9" t="s">
        <v>9</v>
      </c>
      <c r="C420" s="9">
        <v>1927</v>
      </c>
      <c r="D420" s="10">
        <v>45729</v>
      </c>
      <c r="E420" s="11" t="str">
        <f>+HYPERLINK("http://trademark.i-assist.jp/data/china/image_1927th/82057172.pdf","82057172")</f>
        <v>82057172</v>
      </c>
      <c r="F420" s="9" t="s">
        <v>1370</v>
      </c>
      <c r="G420" s="9" t="s">
        <v>1371</v>
      </c>
      <c r="H420" s="9" t="s">
        <v>1372</v>
      </c>
      <c r="I420" s="10">
        <v>45615</v>
      </c>
    </row>
    <row r="421" spans="1:9" x14ac:dyDescent="0.15">
      <c r="A421" s="9">
        <v>420</v>
      </c>
      <c r="B421" s="9" t="s">
        <v>9</v>
      </c>
      <c r="C421" s="9">
        <v>1927</v>
      </c>
      <c r="D421" s="10">
        <v>45729</v>
      </c>
      <c r="E421" s="11" t="str">
        <f>+HYPERLINK("http://trademark.i-assist.jp/data/china/image_1927th/82058434.pdf","82058434")</f>
        <v>82058434</v>
      </c>
      <c r="F421" s="9" t="s">
        <v>1373</v>
      </c>
      <c r="G421" s="9" t="s">
        <v>1374</v>
      </c>
      <c r="H421" s="9" t="s">
        <v>1375</v>
      </c>
      <c r="I421" s="10">
        <v>45615</v>
      </c>
    </row>
    <row r="422" spans="1:9" x14ac:dyDescent="0.15">
      <c r="A422" s="9">
        <v>421</v>
      </c>
      <c r="B422" s="9" t="s">
        <v>9</v>
      </c>
      <c r="C422" s="9">
        <v>1927</v>
      </c>
      <c r="D422" s="10">
        <v>45729</v>
      </c>
      <c r="E422" s="11" t="str">
        <f>+HYPERLINK("http://trademark.i-assist.jp/data/china/image_1927th/82059461.pdf","82059461")</f>
        <v>82059461</v>
      </c>
      <c r="F422" s="12" t="s">
        <v>1355</v>
      </c>
      <c r="G422" s="9" t="s">
        <v>1356</v>
      </c>
      <c r="H422" s="9" t="s">
        <v>1376</v>
      </c>
      <c r="I422" s="10">
        <v>45615</v>
      </c>
    </row>
    <row r="423" spans="1:9" x14ac:dyDescent="0.15">
      <c r="A423" s="9">
        <v>422</v>
      </c>
      <c r="B423" s="9" t="s">
        <v>9</v>
      </c>
      <c r="C423" s="9">
        <v>1927</v>
      </c>
      <c r="D423" s="10">
        <v>45729</v>
      </c>
      <c r="E423" s="11" t="str">
        <f>+HYPERLINK("http://trademark.i-assist.jp/data/china/image_1927th/82061072.pdf","82061072")</f>
        <v>82061072</v>
      </c>
      <c r="F423" s="9" t="s">
        <v>1377</v>
      </c>
      <c r="G423" s="9" t="s">
        <v>1378</v>
      </c>
      <c r="H423" s="9" t="s">
        <v>1379</v>
      </c>
      <c r="I423" s="10">
        <v>45615</v>
      </c>
    </row>
    <row r="424" spans="1:9" x14ac:dyDescent="0.15">
      <c r="A424" s="9">
        <v>423</v>
      </c>
      <c r="B424" s="9" t="s">
        <v>9</v>
      </c>
      <c r="C424" s="9">
        <v>1927</v>
      </c>
      <c r="D424" s="10">
        <v>45729</v>
      </c>
      <c r="E424" s="11" t="str">
        <f>+HYPERLINK("http://trademark.i-assist.jp/data/china/image_1927th/82061090.pdf","82061090")</f>
        <v>82061090</v>
      </c>
      <c r="F424" s="9" t="s">
        <v>1380</v>
      </c>
      <c r="G424" s="9" t="s">
        <v>1381</v>
      </c>
      <c r="H424" s="9" t="s">
        <v>1382</v>
      </c>
      <c r="I424" s="10">
        <v>45615</v>
      </c>
    </row>
    <row r="425" spans="1:9" x14ac:dyDescent="0.15">
      <c r="A425" s="9">
        <v>424</v>
      </c>
      <c r="B425" s="9" t="s">
        <v>9</v>
      </c>
      <c r="C425" s="9">
        <v>1927</v>
      </c>
      <c r="D425" s="10">
        <v>45729</v>
      </c>
      <c r="E425" s="11" t="str">
        <f>+HYPERLINK("http://trademark.i-assist.jp/data/china/image_1927th/82061563.pdf","82061563")</f>
        <v>82061563</v>
      </c>
      <c r="F425" s="12" t="s">
        <v>1383</v>
      </c>
      <c r="G425" s="9" t="s">
        <v>1384</v>
      </c>
      <c r="H425" s="9" t="s">
        <v>1385</v>
      </c>
      <c r="I425" s="10">
        <v>45615</v>
      </c>
    </row>
    <row r="426" spans="1:9" x14ac:dyDescent="0.15">
      <c r="A426" s="9">
        <v>425</v>
      </c>
      <c r="B426" s="9" t="s">
        <v>9</v>
      </c>
      <c r="C426" s="9">
        <v>1927</v>
      </c>
      <c r="D426" s="10">
        <v>45729</v>
      </c>
      <c r="E426" s="11" t="str">
        <f>+HYPERLINK("http://trademark.i-assist.jp/data/china/image_1927th/82061843.pdf","82061843")</f>
        <v>82061843</v>
      </c>
      <c r="F426" s="9" t="s">
        <v>1386</v>
      </c>
      <c r="G426" s="9" t="s">
        <v>1387</v>
      </c>
      <c r="H426" s="9" t="s">
        <v>1388</v>
      </c>
      <c r="I426" s="10">
        <v>45615</v>
      </c>
    </row>
    <row r="427" spans="1:9" x14ac:dyDescent="0.15">
      <c r="A427" s="9">
        <v>426</v>
      </c>
      <c r="B427" s="9" t="s">
        <v>9</v>
      </c>
      <c r="C427" s="9">
        <v>1927</v>
      </c>
      <c r="D427" s="10">
        <v>45729</v>
      </c>
      <c r="E427" s="11" t="str">
        <f>+HYPERLINK("http://trademark.i-assist.jp/data/china/image_1927th/82064071.pdf","82064071")</f>
        <v>82064071</v>
      </c>
      <c r="F427" s="9" t="s">
        <v>1389</v>
      </c>
      <c r="G427" s="9" t="s">
        <v>173</v>
      </c>
      <c r="H427" s="9" t="s">
        <v>1390</v>
      </c>
      <c r="I427" s="10">
        <v>45615</v>
      </c>
    </row>
    <row r="428" spans="1:9" x14ac:dyDescent="0.15">
      <c r="A428" s="9">
        <v>427</v>
      </c>
      <c r="B428" s="9" t="s">
        <v>9</v>
      </c>
      <c r="C428" s="9">
        <v>1927</v>
      </c>
      <c r="D428" s="10">
        <v>45729</v>
      </c>
      <c r="E428" s="11" t="str">
        <f>+HYPERLINK("http://trademark.i-assist.jp/data/china/image_1927th/82064299.pdf","82064299")</f>
        <v>82064299</v>
      </c>
      <c r="F428" s="12" t="s">
        <v>1391</v>
      </c>
      <c r="G428" s="12" t="s">
        <v>1368</v>
      </c>
      <c r="H428" s="9" t="s">
        <v>1392</v>
      </c>
      <c r="I428" s="10">
        <v>45615</v>
      </c>
    </row>
    <row r="429" spans="1:9" x14ac:dyDescent="0.15">
      <c r="A429" s="9">
        <v>428</v>
      </c>
      <c r="B429" s="9" t="s">
        <v>9</v>
      </c>
      <c r="C429" s="9">
        <v>1927</v>
      </c>
      <c r="D429" s="10">
        <v>45729</v>
      </c>
      <c r="E429" s="11" t="str">
        <f>+HYPERLINK("http://trademark.i-assist.jp/data/china/image_1927th/82067122.pdf","82067122")</f>
        <v>82067122</v>
      </c>
      <c r="F429" s="12" t="s">
        <v>1393</v>
      </c>
      <c r="G429" s="9" t="s">
        <v>1394</v>
      </c>
      <c r="H429" s="9" t="s">
        <v>17</v>
      </c>
      <c r="I429" s="10">
        <v>45616</v>
      </c>
    </row>
    <row r="430" spans="1:9" x14ac:dyDescent="0.15">
      <c r="A430" s="9">
        <v>429</v>
      </c>
      <c r="B430" s="9" t="s">
        <v>9</v>
      </c>
      <c r="C430" s="9">
        <v>1927</v>
      </c>
      <c r="D430" s="10">
        <v>45729</v>
      </c>
      <c r="E430" s="11" t="str">
        <f>+HYPERLINK("http://trademark.i-assist.jp/data/china/image_1927th/82067643.pdf","82067643")</f>
        <v>82067643</v>
      </c>
      <c r="F430" s="9" t="s">
        <v>1395</v>
      </c>
      <c r="G430" s="9" t="s">
        <v>1396</v>
      </c>
      <c r="H430" s="9" t="s">
        <v>1397</v>
      </c>
      <c r="I430" s="10">
        <v>45616</v>
      </c>
    </row>
    <row r="431" spans="1:9" x14ac:dyDescent="0.15">
      <c r="A431" s="9">
        <v>430</v>
      </c>
      <c r="B431" s="9" t="s">
        <v>9</v>
      </c>
      <c r="C431" s="9">
        <v>1927</v>
      </c>
      <c r="D431" s="10">
        <v>45729</v>
      </c>
      <c r="E431" s="11" t="str">
        <f>+HYPERLINK("http://trademark.i-assist.jp/data/china/image_1927th/82068573.pdf","82068573")</f>
        <v>82068573</v>
      </c>
      <c r="F431" s="9" t="s">
        <v>1398</v>
      </c>
      <c r="G431" s="12" t="s">
        <v>1399</v>
      </c>
      <c r="H431" s="9" t="s">
        <v>1400</v>
      </c>
      <c r="I431" s="10">
        <v>45616</v>
      </c>
    </row>
    <row r="432" spans="1:9" x14ac:dyDescent="0.15">
      <c r="A432" s="9">
        <v>431</v>
      </c>
      <c r="B432" s="9" t="s">
        <v>9</v>
      </c>
      <c r="C432" s="9">
        <v>1927</v>
      </c>
      <c r="D432" s="10">
        <v>45729</v>
      </c>
      <c r="E432" s="11" t="str">
        <f>+HYPERLINK("http://trademark.i-assist.jp/data/china/image_1927th/82071210.pdf","82071210")</f>
        <v>82071210</v>
      </c>
      <c r="F432" s="9" t="s">
        <v>1401</v>
      </c>
      <c r="G432" s="9" t="s">
        <v>1402</v>
      </c>
      <c r="H432" s="9" t="s">
        <v>1403</v>
      </c>
      <c r="I432" s="10">
        <v>45616</v>
      </c>
    </row>
    <row r="433" spans="1:9" x14ac:dyDescent="0.15">
      <c r="A433" s="9">
        <v>432</v>
      </c>
      <c r="B433" s="9" t="s">
        <v>9</v>
      </c>
      <c r="C433" s="9">
        <v>1927</v>
      </c>
      <c r="D433" s="10">
        <v>45729</v>
      </c>
      <c r="E433" s="11" t="str">
        <f>+HYPERLINK("http://trademark.i-assist.jp/data/china/image_1927th/82072934.pdf","82072934")</f>
        <v>82072934</v>
      </c>
      <c r="F433" s="9" t="s">
        <v>1404</v>
      </c>
      <c r="G433" s="12" t="s">
        <v>1405</v>
      </c>
      <c r="H433" s="9" t="s">
        <v>1406</v>
      </c>
      <c r="I433" s="10">
        <v>45616</v>
      </c>
    </row>
    <row r="434" spans="1:9" x14ac:dyDescent="0.15">
      <c r="A434" s="9">
        <v>433</v>
      </c>
      <c r="B434" s="9" t="s">
        <v>9</v>
      </c>
      <c r="C434" s="9">
        <v>1927</v>
      </c>
      <c r="D434" s="10">
        <v>45729</v>
      </c>
      <c r="E434" s="11" t="str">
        <f>+HYPERLINK("http://trademark.i-assist.jp/data/china/image_1927th/82074125.pdf","82074125")</f>
        <v>82074125</v>
      </c>
      <c r="F434" s="9" t="s">
        <v>1407</v>
      </c>
      <c r="G434" s="9" t="s">
        <v>130</v>
      </c>
      <c r="H434" s="9" t="s">
        <v>1408</v>
      </c>
      <c r="I434" s="10">
        <v>45616</v>
      </c>
    </row>
    <row r="435" spans="1:9" x14ac:dyDescent="0.15">
      <c r="A435" s="9">
        <v>434</v>
      </c>
      <c r="B435" s="9" t="s">
        <v>9</v>
      </c>
      <c r="C435" s="9">
        <v>1927</v>
      </c>
      <c r="D435" s="10">
        <v>45729</v>
      </c>
      <c r="E435" s="11" t="str">
        <f>+HYPERLINK("http://trademark.i-assist.jp/data/china/image_1927th/82075117.pdf","82075117")</f>
        <v>82075117</v>
      </c>
      <c r="F435" s="12" t="s">
        <v>1409</v>
      </c>
      <c r="G435" s="9" t="s">
        <v>1410</v>
      </c>
      <c r="H435" s="9" t="s">
        <v>1411</v>
      </c>
      <c r="I435" s="10">
        <v>45616</v>
      </c>
    </row>
    <row r="436" spans="1:9" x14ac:dyDescent="0.15">
      <c r="A436" s="9">
        <v>435</v>
      </c>
      <c r="B436" s="9" t="s">
        <v>9</v>
      </c>
      <c r="C436" s="9">
        <v>1927</v>
      </c>
      <c r="D436" s="10">
        <v>45729</v>
      </c>
      <c r="E436" s="11" t="str">
        <f>+HYPERLINK("http://trademark.i-assist.jp/data/china/image_1927th/82076396.pdf","82076396")</f>
        <v>82076396</v>
      </c>
      <c r="F436" s="13" t="s">
        <v>1412</v>
      </c>
      <c r="G436" s="9" t="s">
        <v>31</v>
      </c>
      <c r="H436" s="12" t="s">
        <v>1413</v>
      </c>
      <c r="I436" s="10">
        <v>45616</v>
      </c>
    </row>
    <row r="437" spans="1:9" x14ac:dyDescent="0.15">
      <c r="A437" s="9">
        <v>436</v>
      </c>
      <c r="B437" s="9" t="s">
        <v>9</v>
      </c>
      <c r="C437" s="9">
        <v>1927</v>
      </c>
      <c r="D437" s="10">
        <v>45729</v>
      </c>
      <c r="E437" s="11" t="str">
        <f>+HYPERLINK("http://trademark.i-assist.jp/data/china/image_1927th/82076454.pdf","82076454")</f>
        <v>82076454</v>
      </c>
      <c r="F437" s="9" t="s">
        <v>1414</v>
      </c>
      <c r="G437" s="9" t="s">
        <v>166</v>
      </c>
      <c r="H437" s="9" t="s">
        <v>1415</v>
      </c>
      <c r="I437" s="10">
        <v>45616</v>
      </c>
    </row>
    <row r="438" spans="1:9" x14ac:dyDescent="0.15">
      <c r="A438" s="9">
        <v>437</v>
      </c>
      <c r="B438" s="9" t="s">
        <v>9</v>
      </c>
      <c r="C438" s="9">
        <v>1927</v>
      </c>
      <c r="D438" s="10">
        <v>45729</v>
      </c>
      <c r="E438" s="11" t="str">
        <f>+HYPERLINK("http://trademark.i-assist.jp/data/china/image_1927th/82078075.pdf","82078075")</f>
        <v>82078075</v>
      </c>
      <c r="F438" s="9" t="s">
        <v>1416</v>
      </c>
      <c r="G438" s="9" t="s">
        <v>1417</v>
      </c>
      <c r="H438" s="9" t="s">
        <v>1418</v>
      </c>
      <c r="I438" s="10">
        <v>45616</v>
      </c>
    </row>
    <row r="439" spans="1:9" x14ac:dyDescent="0.15">
      <c r="A439" s="9">
        <v>438</v>
      </c>
      <c r="B439" s="9" t="s">
        <v>9</v>
      </c>
      <c r="C439" s="9">
        <v>1927</v>
      </c>
      <c r="D439" s="10">
        <v>45729</v>
      </c>
      <c r="E439" s="11" t="str">
        <f>+HYPERLINK("http://trademark.i-assist.jp/data/china/image_1927th/82078385.pdf","82078385")</f>
        <v>82078385</v>
      </c>
      <c r="F439" s="12" t="s">
        <v>1419</v>
      </c>
      <c r="G439" s="9" t="s">
        <v>108</v>
      </c>
      <c r="H439" s="9" t="s">
        <v>1420</v>
      </c>
      <c r="I439" s="10">
        <v>45616</v>
      </c>
    </row>
    <row r="440" spans="1:9" x14ac:dyDescent="0.15">
      <c r="A440" s="9">
        <v>439</v>
      </c>
      <c r="B440" s="9" t="s">
        <v>9</v>
      </c>
      <c r="C440" s="9">
        <v>1927</v>
      </c>
      <c r="D440" s="10">
        <v>45729</v>
      </c>
      <c r="E440" s="11" t="str">
        <f>+HYPERLINK("http://trademark.i-assist.jp/data/china/image_1927th/82079093.pdf","82079093")</f>
        <v>82079093</v>
      </c>
      <c r="F440" s="9" t="s">
        <v>1421</v>
      </c>
      <c r="G440" s="9" t="s">
        <v>108</v>
      </c>
      <c r="H440" s="9" t="s">
        <v>1422</v>
      </c>
      <c r="I440" s="10">
        <v>45616</v>
      </c>
    </row>
    <row r="441" spans="1:9" x14ac:dyDescent="0.15">
      <c r="A441" s="9">
        <v>440</v>
      </c>
      <c r="B441" s="9" t="s">
        <v>9</v>
      </c>
      <c r="C441" s="9">
        <v>1927</v>
      </c>
      <c r="D441" s="10">
        <v>45729</v>
      </c>
      <c r="E441" s="11" t="str">
        <f>+HYPERLINK("http://trademark.i-assist.jp/data/china/image_1927th/82080948.pdf","82080948")</f>
        <v>82080948</v>
      </c>
      <c r="F441" s="9" t="s">
        <v>1423</v>
      </c>
      <c r="G441" s="9" t="s">
        <v>1424</v>
      </c>
      <c r="H441" s="9" t="s">
        <v>1425</v>
      </c>
      <c r="I441" s="10">
        <v>45616</v>
      </c>
    </row>
    <row r="442" spans="1:9" x14ac:dyDescent="0.15">
      <c r="A442" s="9">
        <v>441</v>
      </c>
      <c r="B442" s="9" t="s">
        <v>9</v>
      </c>
      <c r="C442" s="9">
        <v>1927</v>
      </c>
      <c r="D442" s="10">
        <v>45729</v>
      </c>
      <c r="E442" s="11" t="str">
        <f>+HYPERLINK("http://trademark.i-assist.jp/data/china/image_1927th/82080977.pdf","82080977")</f>
        <v>82080977</v>
      </c>
      <c r="F442" s="9" t="s">
        <v>1426</v>
      </c>
      <c r="G442" s="12" t="s">
        <v>1427</v>
      </c>
      <c r="H442" s="9" t="s">
        <v>1428</v>
      </c>
      <c r="I442" s="10">
        <v>45616</v>
      </c>
    </row>
    <row r="443" spans="1:9" x14ac:dyDescent="0.15">
      <c r="A443" s="9">
        <v>442</v>
      </c>
      <c r="B443" s="9" t="s">
        <v>9</v>
      </c>
      <c r="C443" s="9">
        <v>1927</v>
      </c>
      <c r="D443" s="10">
        <v>45729</v>
      </c>
      <c r="E443" s="11" t="str">
        <f>+HYPERLINK("http://trademark.i-assist.jp/data/china/image_1927th/82081347.pdf","82081347")</f>
        <v>82081347</v>
      </c>
      <c r="F443" s="12" t="s">
        <v>16</v>
      </c>
      <c r="G443" s="9" t="s">
        <v>1429</v>
      </c>
      <c r="H443" s="9" t="s">
        <v>1430</v>
      </c>
      <c r="I443" s="10">
        <v>45616</v>
      </c>
    </row>
    <row r="444" spans="1:9" x14ac:dyDescent="0.15">
      <c r="A444" s="9">
        <v>443</v>
      </c>
      <c r="B444" s="9" t="s">
        <v>9</v>
      </c>
      <c r="C444" s="9">
        <v>1927</v>
      </c>
      <c r="D444" s="10">
        <v>45729</v>
      </c>
      <c r="E444" s="11" t="str">
        <f>+HYPERLINK("http://trademark.i-assist.jp/data/china/image_1927th/82081873.pdf","82081873")</f>
        <v>82081873</v>
      </c>
      <c r="F444" s="12" t="s">
        <v>1431</v>
      </c>
      <c r="G444" s="12" t="s">
        <v>11</v>
      </c>
      <c r="H444" s="9" t="s">
        <v>1432</v>
      </c>
      <c r="I444" s="10">
        <v>45616</v>
      </c>
    </row>
    <row r="445" spans="1:9" x14ac:dyDescent="0.15">
      <c r="A445" s="9">
        <v>444</v>
      </c>
      <c r="B445" s="9" t="s">
        <v>9</v>
      </c>
      <c r="C445" s="9">
        <v>1927</v>
      </c>
      <c r="D445" s="10">
        <v>45729</v>
      </c>
      <c r="E445" s="11" t="str">
        <f>+HYPERLINK("http://trademark.i-assist.jp/data/china/image_1927th/82082402.pdf","82082402")</f>
        <v>82082402</v>
      </c>
      <c r="F445" s="12" t="s">
        <v>1433</v>
      </c>
      <c r="G445" s="9" t="s">
        <v>1434</v>
      </c>
      <c r="H445" s="9" t="s">
        <v>1435</v>
      </c>
      <c r="I445" s="10">
        <v>45616</v>
      </c>
    </row>
    <row r="446" spans="1:9" x14ac:dyDescent="0.15">
      <c r="A446" s="9">
        <v>445</v>
      </c>
      <c r="B446" s="9" t="s">
        <v>9</v>
      </c>
      <c r="C446" s="9">
        <v>1927</v>
      </c>
      <c r="D446" s="10">
        <v>45729</v>
      </c>
      <c r="E446" s="11" t="str">
        <f>+HYPERLINK("http://trademark.i-assist.jp/data/china/image_1927th/82085643.pdf","82085643")</f>
        <v>82085643</v>
      </c>
      <c r="F446" s="9" t="s">
        <v>1436</v>
      </c>
      <c r="G446" s="12" t="s">
        <v>1437</v>
      </c>
      <c r="H446" s="9" t="s">
        <v>1438</v>
      </c>
      <c r="I446" s="10">
        <v>45616</v>
      </c>
    </row>
    <row r="447" spans="1:9" x14ac:dyDescent="0.15">
      <c r="A447" s="9">
        <v>446</v>
      </c>
      <c r="B447" s="9" t="s">
        <v>9</v>
      </c>
      <c r="C447" s="9">
        <v>1927</v>
      </c>
      <c r="D447" s="10">
        <v>45729</v>
      </c>
      <c r="E447" s="11" t="str">
        <f>+HYPERLINK("http://trademark.i-assist.jp/data/china/image_1927th/82087336.pdf","82087336")</f>
        <v>82087336</v>
      </c>
      <c r="F447" s="9" t="s">
        <v>1439</v>
      </c>
      <c r="G447" s="12" t="s">
        <v>1427</v>
      </c>
      <c r="H447" s="9" t="s">
        <v>1440</v>
      </c>
      <c r="I447" s="10">
        <v>45616</v>
      </c>
    </row>
    <row r="448" spans="1:9" x14ac:dyDescent="0.15">
      <c r="A448" s="9">
        <v>447</v>
      </c>
      <c r="B448" s="9" t="s">
        <v>9</v>
      </c>
      <c r="C448" s="9">
        <v>1927</v>
      </c>
      <c r="D448" s="10">
        <v>45729</v>
      </c>
      <c r="E448" s="11" t="str">
        <f>+HYPERLINK("http://trademark.i-assist.jp/data/china/image_1927th/82087997.pdf","82087997")</f>
        <v>82087997</v>
      </c>
      <c r="F448" s="12" t="s">
        <v>1441</v>
      </c>
      <c r="G448" s="9" t="s">
        <v>1442</v>
      </c>
      <c r="H448" s="9" t="s">
        <v>1443</v>
      </c>
      <c r="I448" s="10">
        <v>45616</v>
      </c>
    </row>
    <row r="449" spans="1:9" x14ac:dyDescent="0.15">
      <c r="A449" s="9">
        <v>448</v>
      </c>
      <c r="B449" s="9" t="s">
        <v>9</v>
      </c>
      <c r="C449" s="9">
        <v>1927</v>
      </c>
      <c r="D449" s="10">
        <v>45729</v>
      </c>
      <c r="E449" s="11" t="str">
        <f>+HYPERLINK("http://trademark.i-assist.jp/data/china/image_1927th/82088650.pdf","82088650")</f>
        <v>82088650</v>
      </c>
      <c r="F449" s="9" t="s">
        <v>1444</v>
      </c>
      <c r="G449" s="9" t="s">
        <v>1445</v>
      </c>
      <c r="H449" s="9" t="s">
        <v>1446</v>
      </c>
      <c r="I449" s="10">
        <v>45616</v>
      </c>
    </row>
    <row r="450" spans="1:9" x14ac:dyDescent="0.15">
      <c r="A450" s="9">
        <v>449</v>
      </c>
      <c r="B450" s="9" t="s">
        <v>9</v>
      </c>
      <c r="C450" s="9">
        <v>1927</v>
      </c>
      <c r="D450" s="10">
        <v>45729</v>
      </c>
      <c r="E450" s="11" t="str">
        <f>+HYPERLINK("http://trademark.i-assist.jp/data/china/image_1927th/82091836.pdf","82091836")</f>
        <v>82091836</v>
      </c>
      <c r="F450" s="9" t="s">
        <v>1447</v>
      </c>
      <c r="G450" s="9" t="s">
        <v>1448</v>
      </c>
      <c r="H450" s="9" t="s">
        <v>1449</v>
      </c>
      <c r="I450" s="10">
        <v>45617</v>
      </c>
    </row>
    <row r="451" spans="1:9" x14ac:dyDescent="0.15">
      <c r="A451" s="9">
        <v>450</v>
      </c>
      <c r="B451" s="9" t="s">
        <v>9</v>
      </c>
      <c r="C451" s="9">
        <v>1927</v>
      </c>
      <c r="D451" s="10">
        <v>45729</v>
      </c>
      <c r="E451" s="11" t="str">
        <f>+HYPERLINK("http://trademark.i-assist.jp/data/china/image_1927th/82091945.pdf","82091945")</f>
        <v>82091945</v>
      </c>
      <c r="F451" s="9" t="s">
        <v>1450</v>
      </c>
      <c r="G451" s="9" t="s">
        <v>1451</v>
      </c>
      <c r="H451" s="9" t="s">
        <v>1452</v>
      </c>
      <c r="I451" s="10">
        <v>45617</v>
      </c>
    </row>
    <row r="452" spans="1:9" x14ac:dyDescent="0.15">
      <c r="A452" s="9">
        <v>451</v>
      </c>
      <c r="B452" s="9" t="s">
        <v>9</v>
      </c>
      <c r="C452" s="9">
        <v>1927</v>
      </c>
      <c r="D452" s="10">
        <v>45729</v>
      </c>
      <c r="E452" s="11" t="str">
        <f>+HYPERLINK("http://trademark.i-assist.jp/data/china/image_1927th/82092062.pdf","82092062")</f>
        <v>82092062</v>
      </c>
      <c r="F452" s="9" t="s">
        <v>1453</v>
      </c>
      <c r="G452" s="12" t="s">
        <v>116</v>
      </c>
      <c r="H452" s="12" t="s">
        <v>1454</v>
      </c>
      <c r="I452" s="10">
        <v>45617</v>
      </c>
    </row>
    <row r="453" spans="1:9" x14ac:dyDescent="0.15">
      <c r="A453" s="9">
        <v>452</v>
      </c>
      <c r="B453" s="9" t="s">
        <v>9</v>
      </c>
      <c r="C453" s="9">
        <v>1927</v>
      </c>
      <c r="D453" s="10">
        <v>45729</v>
      </c>
      <c r="E453" s="11" t="str">
        <f>+HYPERLINK("http://trademark.i-assist.jp/data/china/image_1927th/82093120.pdf","82093120")</f>
        <v>82093120</v>
      </c>
      <c r="F453" s="12" t="s">
        <v>1455</v>
      </c>
      <c r="G453" s="9" t="s">
        <v>1456</v>
      </c>
      <c r="H453" s="9" t="s">
        <v>1457</v>
      </c>
      <c r="I453" s="10">
        <v>45617</v>
      </c>
    </row>
    <row r="454" spans="1:9" x14ac:dyDescent="0.15">
      <c r="A454" s="9">
        <v>453</v>
      </c>
      <c r="B454" s="9" t="s">
        <v>9</v>
      </c>
      <c r="C454" s="9">
        <v>1927</v>
      </c>
      <c r="D454" s="10">
        <v>45729</v>
      </c>
      <c r="E454" s="11" t="str">
        <f>+HYPERLINK("http://trademark.i-assist.jp/data/china/image_1927th/82093122.pdf","82093122")</f>
        <v>82093122</v>
      </c>
      <c r="F454" s="9" t="s">
        <v>1458</v>
      </c>
      <c r="G454" s="12" t="s">
        <v>116</v>
      </c>
      <c r="H454" s="12" t="s">
        <v>1459</v>
      </c>
      <c r="I454" s="10">
        <v>45617</v>
      </c>
    </row>
    <row r="455" spans="1:9" x14ac:dyDescent="0.15">
      <c r="A455" s="9">
        <v>454</v>
      </c>
      <c r="B455" s="9" t="s">
        <v>9</v>
      </c>
      <c r="C455" s="9">
        <v>1927</v>
      </c>
      <c r="D455" s="10">
        <v>45729</v>
      </c>
      <c r="E455" s="11" t="str">
        <f>+HYPERLINK("http://trademark.i-assist.jp/data/china/image_1927th/82093434.pdf","82093434")</f>
        <v>82093434</v>
      </c>
      <c r="F455" s="9" t="s">
        <v>1460</v>
      </c>
      <c r="G455" s="9" t="s">
        <v>32</v>
      </c>
      <c r="H455" s="9" t="s">
        <v>1461</v>
      </c>
      <c r="I455" s="10">
        <v>45617</v>
      </c>
    </row>
    <row r="456" spans="1:9" x14ac:dyDescent="0.15">
      <c r="A456" s="9">
        <v>455</v>
      </c>
      <c r="B456" s="9" t="s">
        <v>9</v>
      </c>
      <c r="C456" s="9">
        <v>1927</v>
      </c>
      <c r="D456" s="10">
        <v>45729</v>
      </c>
      <c r="E456" s="11" t="str">
        <f>+HYPERLINK("http://trademark.i-assist.jp/data/china/image_1927th/82093525.pdf","82093525")</f>
        <v>82093525</v>
      </c>
      <c r="F456" s="9" t="s">
        <v>1462</v>
      </c>
      <c r="G456" s="12" t="s">
        <v>116</v>
      </c>
      <c r="H456" s="9" t="s">
        <v>1463</v>
      </c>
      <c r="I456" s="10">
        <v>45617</v>
      </c>
    </row>
    <row r="457" spans="1:9" x14ac:dyDescent="0.15">
      <c r="A457" s="9">
        <v>456</v>
      </c>
      <c r="B457" s="9" t="s">
        <v>9</v>
      </c>
      <c r="C457" s="9">
        <v>1927</v>
      </c>
      <c r="D457" s="10">
        <v>45729</v>
      </c>
      <c r="E457" s="11" t="str">
        <f>+HYPERLINK("http://trademark.i-assist.jp/data/china/image_1927th/82093607.pdf","82093607")</f>
        <v>82093607</v>
      </c>
      <c r="F457" s="9" t="s">
        <v>1464</v>
      </c>
      <c r="G457" s="9" t="s">
        <v>1465</v>
      </c>
      <c r="H457" s="12" t="s">
        <v>1466</v>
      </c>
      <c r="I457" s="10">
        <v>45617</v>
      </c>
    </row>
    <row r="458" spans="1:9" x14ac:dyDescent="0.15">
      <c r="A458" s="9">
        <v>457</v>
      </c>
      <c r="B458" s="9" t="s">
        <v>9</v>
      </c>
      <c r="C458" s="9">
        <v>1927</v>
      </c>
      <c r="D458" s="10">
        <v>45729</v>
      </c>
      <c r="E458" s="11" t="str">
        <f>+HYPERLINK("http://trademark.i-assist.jp/data/china/image_1927th/82095385.pdf","82095385")</f>
        <v>82095385</v>
      </c>
      <c r="F458" s="9" t="s">
        <v>1467</v>
      </c>
      <c r="G458" s="9" t="s">
        <v>1468</v>
      </c>
      <c r="H458" s="9" t="s">
        <v>1469</v>
      </c>
      <c r="I458" s="10">
        <v>45617</v>
      </c>
    </row>
    <row r="459" spans="1:9" x14ac:dyDescent="0.15">
      <c r="A459" s="9">
        <v>458</v>
      </c>
      <c r="B459" s="9" t="s">
        <v>9</v>
      </c>
      <c r="C459" s="9">
        <v>1927</v>
      </c>
      <c r="D459" s="10">
        <v>45729</v>
      </c>
      <c r="E459" s="11" t="str">
        <f>+HYPERLINK("http://trademark.i-assist.jp/data/china/image_1927th/82095476.pdf","82095476")</f>
        <v>82095476</v>
      </c>
      <c r="F459" s="9" t="s">
        <v>1470</v>
      </c>
      <c r="G459" s="9" t="s">
        <v>1471</v>
      </c>
      <c r="H459" s="9" t="s">
        <v>1472</v>
      </c>
      <c r="I459" s="10">
        <v>45617</v>
      </c>
    </row>
    <row r="460" spans="1:9" x14ac:dyDescent="0.15">
      <c r="A460" s="9">
        <v>459</v>
      </c>
      <c r="B460" s="9" t="s">
        <v>9</v>
      </c>
      <c r="C460" s="9">
        <v>1927</v>
      </c>
      <c r="D460" s="10">
        <v>45729</v>
      </c>
      <c r="E460" s="11" t="str">
        <f>+HYPERLINK("http://trademark.i-assist.jp/data/china/image_1927th/82096087.pdf","82096087")</f>
        <v>82096087</v>
      </c>
      <c r="F460" s="9" t="s">
        <v>1473</v>
      </c>
      <c r="G460" s="9" t="s">
        <v>114</v>
      </c>
      <c r="H460" s="9" t="s">
        <v>1474</v>
      </c>
      <c r="I460" s="10">
        <v>45617</v>
      </c>
    </row>
    <row r="461" spans="1:9" x14ac:dyDescent="0.15">
      <c r="A461" s="9">
        <v>460</v>
      </c>
      <c r="B461" s="9" t="s">
        <v>9</v>
      </c>
      <c r="C461" s="9">
        <v>1927</v>
      </c>
      <c r="D461" s="10">
        <v>45729</v>
      </c>
      <c r="E461" s="11" t="str">
        <f>+HYPERLINK("http://trademark.i-assist.jp/data/china/image_1927th/82098173.pdf","82098173")</f>
        <v>82098173</v>
      </c>
      <c r="F461" s="12" t="s">
        <v>16</v>
      </c>
      <c r="G461" s="9" t="s">
        <v>1475</v>
      </c>
      <c r="H461" s="12" t="s">
        <v>1476</v>
      </c>
      <c r="I461" s="10">
        <v>45617</v>
      </c>
    </row>
    <row r="462" spans="1:9" x14ac:dyDescent="0.15">
      <c r="A462" s="9">
        <v>461</v>
      </c>
      <c r="B462" s="9" t="s">
        <v>9</v>
      </c>
      <c r="C462" s="9">
        <v>1927</v>
      </c>
      <c r="D462" s="10">
        <v>45729</v>
      </c>
      <c r="E462" s="11" t="str">
        <f>+HYPERLINK("http://trademark.i-assist.jp/data/china/image_1927th/82098826.pdf","82098826")</f>
        <v>82098826</v>
      </c>
      <c r="F462" s="12" t="s">
        <v>1477</v>
      </c>
      <c r="G462" s="12" t="s">
        <v>116</v>
      </c>
      <c r="H462" s="9" t="s">
        <v>1478</v>
      </c>
      <c r="I462" s="10">
        <v>45617</v>
      </c>
    </row>
    <row r="463" spans="1:9" x14ac:dyDescent="0.15">
      <c r="A463" s="9">
        <v>462</v>
      </c>
      <c r="B463" s="9" t="s">
        <v>9</v>
      </c>
      <c r="C463" s="9">
        <v>1927</v>
      </c>
      <c r="D463" s="10">
        <v>45729</v>
      </c>
      <c r="E463" s="11" t="str">
        <f>+HYPERLINK("http://trademark.i-assist.jp/data/china/image_1927th/82099254.pdf","82099254")</f>
        <v>82099254</v>
      </c>
      <c r="F463" s="9" t="s">
        <v>1479</v>
      </c>
      <c r="G463" s="9" t="s">
        <v>1480</v>
      </c>
      <c r="H463" s="9" t="s">
        <v>1481</v>
      </c>
      <c r="I463" s="10">
        <v>45617</v>
      </c>
    </row>
    <row r="464" spans="1:9" x14ac:dyDescent="0.15">
      <c r="A464" s="9">
        <v>463</v>
      </c>
      <c r="B464" s="9" t="s">
        <v>9</v>
      </c>
      <c r="C464" s="9">
        <v>1927</v>
      </c>
      <c r="D464" s="10">
        <v>45729</v>
      </c>
      <c r="E464" s="11" t="str">
        <f>+HYPERLINK("http://trademark.i-assist.jp/data/china/image_1927th/82099396.pdf","82099396")</f>
        <v>82099396</v>
      </c>
      <c r="F464" s="9" t="s">
        <v>1482</v>
      </c>
      <c r="G464" s="9" t="s">
        <v>1468</v>
      </c>
      <c r="H464" s="9" t="s">
        <v>1483</v>
      </c>
      <c r="I464" s="10">
        <v>45617</v>
      </c>
    </row>
    <row r="465" spans="1:9" x14ac:dyDescent="0.15">
      <c r="A465" s="9">
        <v>464</v>
      </c>
      <c r="B465" s="9" t="s">
        <v>9</v>
      </c>
      <c r="C465" s="9">
        <v>1927</v>
      </c>
      <c r="D465" s="10">
        <v>45729</v>
      </c>
      <c r="E465" s="11" t="str">
        <f>+HYPERLINK("http://trademark.i-assist.jp/data/china/image_1927th/82100353.pdf","82100353")</f>
        <v>82100353</v>
      </c>
      <c r="F465" s="9" t="s">
        <v>1484</v>
      </c>
      <c r="G465" s="12" t="s">
        <v>1485</v>
      </c>
      <c r="H465" s="9" t="s">
        <v>1486</v>
      </c>
      <c r="I465" s="10">
        <v>45617</v>
      </c>
    </row>
    <row r="466" spans="1:9" x14ac:dyDescent="0.15">
      <c r="A466" s="9">
        <v>465</v>
      </c>
      <c r="B466" s="9" t="s">
        <v>9</v>
      </c>
      <c r="C466" s="9">
        <v>1927</v>
      </c>
      <c r="D466" s="10">
        <v>45729</v>
      </c>
      <c r="E466" s="11" t="str">
        <f>+HYPERLINK("http://trademark.i-assist.jp/data/china/image_1927th/82101306.pdf","82101306")</f>
        <v>82101306</v>
      </c>
      <c r="F466" s="9" t="s">
        <v>1487</v>
      </c>
      <c r="G466" s="12" t="s">
        <v>116</v>
      </c>
      <c r="H466" s="9" t="s">
        <v>1488</v>
      </c>
      <c r="I466" s="10">
        <v>45617</v>
      </c>
    </row>
    <row r="467" spans="1:9" x14ac:dyDescent="0.15">
      <c r="A467" s="9">
        <v>466</v>
      </c>
      <c r="B467" s="9" t="s">
        <v>9</v>
      </c>
      <c r="C467" s="9">
        <v>1927</v>
      </c>
      <c r="D467" s="10">
        <v>45729</v>
      </c>
      <c r="E467" s="11" t="str">
        <f>+HYPERLINK("http://trademark.i-assist.jp/data/china/image_1927th/82101414.pdf","82101414")</f>
        <v>82101414</v>
      </c>
      <c r="F467" s="9" t="s">
        <v>1489</v>
      </c>
      <c r="G467" s="9" t="s">
        <v>1490</v>
      </c>
      <c r="H467" s="9" t="s">
        <v>1491</v>
      </c>
      <c r="I467" s="10">
        <v>45617</v>
      </c>
    </row>
    <row r="468" spans="1:9" x14ac:dyDescent="0.15">
      <c r="A468" s="9">
        <v>467</v>
      </c>
      <c r="B468" s="9" t="s">
        <v>9</v>
      </c>
      <c r="C468" s="9">
        <v>1927</v>
      </c>
      <c r="D468" s="10">
        <v>45729</v>
      </c>
      <c r="E468" s="11" t="str">
        <f>+HYPERLINK("http://trademark.i-assist.jp/data/china/image_1927th/82102050.pdf","82102050")</f>
        <v>82102050</v>
      </c>
      <c r="F468" s="9" t="s">
        <v>1492</v>
      </c>
      <c r="G468" s="12" t="s">
        <v>1493</v>
      </c>
      <c r="H468" s="9" t="s">
        <v>1494</v>
      </c>
      <c r="I468" s="10">
        <v>45617</v>
      </c>
    </row>
    <row r="469" spans="1:9" x14ac:dyDescent="0.15">
      <c r="A469" s="9">
        <v>468</v>
      </c>
      <c r="B469" s="9" t="s">
        <v>9</v>
      </c>
      <c r="C469" s="9">
        <v>1927</v>
      </c>
      <c r="D469" s="10">
        <v>45729</v>
      </c>
      <c r="E469" s="11" t="str">
        <f>+HYPERLINK("http://trademark.i-assist.jp/data/china/image_1927th/82102182.pdf","82102182")</f>
        <v>82102182</v>
      </c>
      <c r="F469" s="9" t="s">
        <v>1495</v>
      </c>
      <c r="G469" s="9" t="s">
        <v>1496</v>
      </c>
      <c r="H469" s="12" t="s">
        <v>1497</v>
      </c>
      <c r="I469" s="10">
        <v>45617</v>
      </c>
    </row>
    <row r="470" spans="1:9" x14ac:dyDescent="0.15">
      <c r="A470" s="9">
        <v>469</v>
      </c>
      <c r="B470" s="9" t="s">
        <v>9</v>
      </c>
      <c r="C470" s="9">
        <v>1927</v>
      </c>
      <c r="D470" s="10">
        <v>45729</v>
      </c>
      <c r="E470" s="11" t="str">
        <f>+HYPERLINK("http://trademark.i-assist.jp/data/china/image_1927th/82104070.pdf","82104070")</f>
        <v>82104070</v>
      </c>
      <c r="F470" s="9" t="s">
        <v>1498</v>
      </c>
      <c r="G470" s="12" t="s">
        <v>116</v>
      </c>
      <c r="H470" s="9" t="s">
        <v>1499</v>
      </c>
      <c r="I470" s="10">
        <v>45617</v>
      </c>
    </row>
    <row r="471" spans="1:9" x14ac:dyDescent="0.15">
      <c r="A471" s="9">
        <v>470</v>
      </c>
      <c r="B471" s="9" t="s">
        <v>9</v>
      </c>
      <c r="C471" s="9">
        <v>1927</v>
      </c>
      <c r="D471" s="10">
        <v>45729</v>
      </c>
      <c r="E471" s="11" t="str">
        <f>+HYPERLINK("http://trademark.i-assist.jp/data/china/image_1927th/82106565.pdf","82106565")</f>
        <v>82106565</v>
      </c>
      <c r="F471" s="9" t="s">
        <v>1500</v>
      </c>
      <c r="G471" s="9" t="s">
        <v>1501</v>
      </c>
      <c r="H471" s="9" t="s">
        <v>1502</v>
      </c>
      <c r="I471" s="10">
        <v>45617</v>
      </c>
    </row>
    <row r="472" spans="1:9" x14ac:dyDescent="0.15">
      <c r="A472" s="9">
        <v>471</v>
      </c>
      <c r="B472" s="9" t="s">
        <v>9</v>
      </c>
      <c r="C472" s="9">
        <v>1927</v>
      </c>
      <c r="D472" s="10">
        <v>45729</v>
      </c>
      <c r="E472" s="11" t="str">
        <f>+HYPERLINK("http://trademark.i-assist.jp/data/china/image_1927th/82106988.pdf","82106988")</f>
        <v>82106988</v>
      </c>
      <c r="F472" s="9" t="s">
        <v>1503</v>
      </c>
      <c r="G472" s="9" t="s">
        <v>1504</v>
      </c>
      <c r="H472" s="12" t="s">
        <v>1505</v>
      </c>
      <c r="I472" s="10">
        <v>45617</v>
      </c>
    </row>
    <row r="473" spans="1:9" x14ac:dyDescent="0.15">
      <c r="A473" s="9">
        <v>472</v>
      </c>
      <c r="B473" s="9" t="s">
        <v>9</v>
      </c>
      <c r="C473" s="9">
        <v>1927</v>
      </c>
      <c r="D473" s="10">
        <v>45729</v>
      </c>
      <c r="E473" s="11" t="str">
        <f>+HYPERLINK("http://trademark.i-assist.jp/data/china/image_1927th/82107527.pdf","82107527")</f>
        <v>82107527</v>
      </c>
      <c r="F473" s="12" t="s">
        <v>16</v>
      </c>
      <c r="G473" s="9" t="s">
        <v>1506</v>
      </c>
      <c r="H473" s="9" t="s">
        <v>1507</v>
      </c>
      <c r="I473" s="10">
        <v>45617</v>
      </c>
    </row>
    <row r="474" spans="1:9" x14ac:dyDescent="0.15">
      <c r="A474" s="9">
        <v>473</v>
      </c>
      <c r="B474" s="9" t="s">
        <v>9</v>
      </c>
      <c r="C474" s="9">
        <v>1927</v>
      </c>
      <c r="D474" s="10">
        <v>45729</v>
      </c>
      <c r="E474" s="11" t="str">
        <f>+HYPERLINK("http://trademark.i-assist.jp/data/china/image_1927th/82108459.pdf","82108459")</f>
        <v>82108459</v>
      </c>
      <c r="F474" s="9" t="s">
        <v>1508</v>
      </c>
      <c r="G474" s="9" t="s">
        <v>30</v>
      </c>
      <c r="H474" s="9" t="s">
        <v>1509</v>
      </c>
      <c r="I474" s="10">
        <v>45617</v>
      </c>
    </row>
    <row r="475" spans="1:9" x14ac:dyDescent="0.15">
      <c r="A475" s="9">
        <v>474</v>
      </c>
      <c r="B475" s="9" t="s">
        <v>9</v>
      </c>
      <c r="C475" s="9">
        <v>1927</v>
      </c>
      <c r="D475" s="10">
        <v>45729</v>
      </c>
      <c r="E475" s="11" t="str">
        <f>+HYPERLINK("http://trademark.i-assist.jp/data/china/image_1927th/82109373.pdf","82109373")</f>
        <v>82109373</v>
      </c>
      <c r="F475" s="12" t="s">
        <v>1510</v>
      </c>
      <c r="G475" s="9" t="s">
        <v>1511</v>
      </c>
      <c r="H475" s="9" t="s">
        <v>1512</v>
      </c>
      <c r="I475" s="10">
        <v>45617</v>
      </c>
    </row>
    <row r="476" spans="1:9" x14ac:dyDescent="0.15">
      <c r="A476" s="9">
        <v>475</v>
      </c>
      <c r="B476" s="9" t="s">
        <v>9</v>
      </c>
      <c r="C476" s="9">
        <v>1927</v>
      </c>
      <c r="D476" s="10">
        <v>45729</v>
      </c>
      <c r="E476" s="11" t="str">
        <f>+HYPERLINK("http://trademark.i-assist.jp/data/china/image_1927th/82110434.pdf","82110434")</f>
        <v>82110434</v>
      </c>
      <c r="F476" s="9" t="s">
        <v>1513</v>
      </c>
      <c r="G476" s="12" t="s">
        <v>1514</v>
      </c>
      <c r="H476" s="9" t="s">
        <v>1515</v>
      </c>
      <c r="I476" s="10">
        <v>45617</v>
      </c>
    </row>
    <row r="477" spans="1:9" x14ac:dyDescent="0.15">
      <c r="A477" s="9">
        <v>476</v>
      </c>
      <c r="B477" s="9" t="s">
        <v>9</v>
      </c>
      <c r="C477" s="9">
        <v>1927</v>
      </c>
      <c r="D477" s="10">
        <v>45729</v>
      </c>
      <c r="E477" s="11" t="str">
        <f>+HYPERLINK("http://trademark.i-assist.jp/data/china/image_1927th/82110802.pdf","82110802")</f>
        <v>82110802</v>
      </c>
      <c r="F477" s="9" t="s">
        <v>1516</v>
      </c>
      <c r="G477" s="9" t="s">
        <v>1517</v>
      </c>
      <c r="H477" s="9" t="s">
        <v>1518</v>
      </c>
      <c r="I477" s="10">
        <v>45617</v>
      </c>
    </row>
    <row r="478" spans="1:9" x14ac:dyDescent="0.15">
      <c r="A478" s="9">
        <v>477</v>
      </c>
      <c r="B478" s="9" t="s">
        <v>9</v>
      </c>
      <c r="C478" s="9">
        <v>1927</v>
      </c>
      <c r="D478" s="10">
        <v>45729</v>
      </c>
      <c r="E478" s="11" t="str">
        <f>+HYPERLINK("http://trademark.i-assist.jp/data/china/image_1927th/82112593.pdf","82112593")</f>
        <v>82112593</v>
      </c>
      <c r="F478" s="9" t="s">
        <v>1519</v>
      </c>
      <c r="G478" s="9" t="s">
        <v>1471</v>
      </c>
      <c r="H478" s="9" t="s">
        <v>1520</v>
      </c>
      <c r="I478" s="10">
        <v>45617</v>
      </c>
    </row>
    <row r="479" spans="1:9" x14ac:dyDescent="0.15">
      <c r="A479" s="9">
        <v>478</v>
      </c>
      <c r="B479" s="9" t="s">
        <v>9</v>
      </c>
      <c r="C479" s="9">
        <v>1927</v>
      </c>
      <c r="D479" s="10">
        <v>45729</v>
      </c>
      <c r="E479" s="11" t="str">
        <f>+HYPERLINK("http://trademark.i-assist.jp/data/china/image_1927th/82112981.pdf","82112981")</f>
        <v>82112981</v>
      </c>
      <c r="F479" s="9" t="s">
        <v>1521</v>
      </c>
      <c r="G479" s="9" t="s">
        <v>113</v>
      </c>
      <c r="H479" s="9" t="s">
        <v>1522</v>
      </c>
      <c r="I479" s="10">
        <v>45617</v>
      </c>
    </row>
    <row r="480" spans="1:9" x14ac:dyDescent="0.15">
      <c r="A480" s="9">
        <v>479</v>
      </c>
      <c r="B480" s="9" t="s">
        <v>9</v>
      </c>
      <c r="C480" s="9">
        <v>1927</v>
      </c>
      <c r="D480" s="10">
        <v>45729</v>
      </c>
      <c r="E480" s="11" t="str">
        <f>+HYPERLINK("http://trademark.i-assist.jp/data/china/image_1927th/82113891.pdf","82113891")</f>
        <v>82113891</v>
      </c>
      <c r="F480" s="9" t="s">
        <v>1523</v>
      </c>
      <c r="G480" s="9" t="s">
        <v>1524</v>
      </c>
      <c r="H480" s="9" t="s">
        <v>1525</v>
      </c>
      <c r="I480" s="10">
        <v>45617</v>
      </c>
    </row>
    <row r="481" spans="1:9" x14ac:dyDescent="0.15">
      <c r="A481" s="9">
        <v>480</v>
      </c>
      <c r="B481" s="9" t="s">
        <v>9</v>
      </c>
      <c r="C481" s="9">
        <v>1927</v>
      </c>
      <c r="D481" s="10">
        <v>45729</v>
      </c>
      <c r="E481" s="11" t="str">
        <f>+HYPERLINK("http://trademark.i-assist.jp/data/china/image_1927th/82115647.pdf","82115647")</f>
        <v>82115647</v>
      </c>
      <c r="F481" s="9" t="s">
        <v>1526</v>
      </c>
      <c r="G481" s="9" t="s">
        <v>1527</v>
      </c>
      <c r="H481" s="9" t="s">
        <v>1528</v>
      </c>
      <c r="I481" s="10">
        <v>45617</v>
      </c>
    </row>
    <row r="482" spans="1:9" x14ac:dyDescent="0.15">
      <c r="A482" s="9">
        <v>481</v>
      </c>
      <c r="B482" s="9" t="s">
        <v>9</v>
      </c>
      <c r="C482" s="9">
        <v>1927</v>
      </c>
      <c r="D482" s="10">
        <v>45729</v>
      </c>
      <c r="E482" s="11" t="str">
        <f>+HYPERLINK("http://trademark.i-assist.jp/data/china/image_1927th/82115899.pdf","82115899")</f>
        <v>82115899</v>
      </c>
      <c r="F482" s="9" t="s">
        <v>1529</v>
      </c>
      <c r="G482" s="12" t="s">
        <v>157</v>
      </c>
      <c r="H482" s="9" t="s">
        <v>1530</v>
      </c>
      <c r="I482" s="10">
        <v>45617</v>
      </c>
    </row>
    <row r="483" spans="1:9" x14ac:dyDescent="0.15">
      <c r="A483" s="9">
        <v>482</v>
      </c>
      <c r="B483" s="9" t="s">
        <v>9</v>
      </c>
      <c r="C483" s="9">
        <v>1927</v>
      </c>
      <c r="D483" s="10">
        <v>45729</v>
      </c>
      <c r="E483" s="11" t="str">
        <f>+HYPERLINK("http://trademark.i-assist.jp/data/china/image_1927th/82116175.pdf","82116175")</f>
        <v>82116175</v>
      </c>
      <c r="F483" s="9" t="s">
        <v>1531</v>
      </c>
      <c r="G483" s="12" t="s">
        <v>1532</v>
      </c>
      <c r="H483" s="9" t="s">
        <v>1533</v>
      </c>
      <c r="I483" s="10">
        <v>45617</v>
      </c>
    </row>
    <row r="484" spans="1:9" x14ac:dyDescent="0.15">
      <c r="A484" s="9">
        <v>483</v>
      </c>
      <c r="B484" s="9" t="s">
        <v>9</v>
      </c>
      <c r="C484" s="9">
        <v>1927</v>
      </c>
      <c r="D484" s="10">
        <v>45729</v>
      </c>
      <c r="E484" s="11" t="str">
        <f>+HYPERLINK("http://trademark.i-assist.jp/data/china/image_1927th/82116678.pdf","82116678")</f>
        <v>82116678</v>
      </c>
      <c r="F484" s="9" t="s">
        <v>1534</v>
      </c>
      <c r="G484" s="9" t="s">
        <v>1535</v>
      </c>
      <c r="H484" s="9" t="s">
        <v>1536</v>
      </c>
      <c r="I484" s="10">
        <v>45617</v>
      </c>
    </row>
    <row r="485" spans="1:9" x14ac:dyDescent="0.15">
      <c r="A485" s="9">
        <v>484</v>
      </c>
      <c r="B485" s="9" t="s">
        <v>9</v>
      </c>
      <c r="C485" s="9">
        <v>1927</v>
      </c>
      <c r="D485" s="10">
        <v>45729</v>
      </c>
      <c r="E485" s="11" t="str">
        <f>+HYPERLINK("http://trademark.i-assist.jp/data/china/image_1927th/82117667.pdf","82117667")</f>
        <v>82117667</v>
      </c>
      <c r="F485" s="12" t="s">
        <v>1537</v>
      </c>
      <c r="G485" s="12" t="s">
        <v>1538</v>
      </c>
      <c r="H485" s="9" t="s">
        <v>1539</v>
      </c>
      <c r="I485" s="10">
        <v>45618</v>
      </c>
    </row>
    <row r="486" spans="1:9" x14ac:dyDescent="0.15">
      <c r="A486" s="9">
        <v>485</v>
      </c>
      <c r="B486" s="9" t="s">
        <v>9</v>
      </c>
      <c r="C486" s="9">
        <v>1927</v>
      </c>
      <c r="D486" s="10">
        <v>45729</v>
      </c>
      <c r="E486" s="11" t="str">
        <f>+HYPERLINK("http://trademark.i-assist.jp/data/china/image_1927th/82117720.pdf","82117720")</f>
        <v>82117720</v>
      </c>
      <c r="F486" s="12" t="s">
        <v>1540</v>
      </c>
      <c r="G486" s="9" t="s">
        <v>1541</v>
      </c>
      <c r="H486" s="9" t="s">
        <v>1542</v>
      </c>
      <c r="I486" s="10">
        <v>45618</v>
      </c>
    </row>
    <row r="487" spans="1:9" x14ac:dyDescent="0.15">
      <c r="A487" s="9">
        <v>486</v>
      </c>
      <c r="B487" s="9" t="s">
        <v>9</v>
      </c>
      <c r="C487" s="9">
        <v>1927</v>
      </c>
      <c r="D487" s="10">
        <v>45729</v>
      </c>
      <c r="E487" s="11" t="str">
        <f>+HYPERLINK("http://trademark.i-assist.jp/data/china/image_1927th/82119768.pdf","82119768")</f>
        <v>82119768</v>
      </c>
      <c r="F487" s="9" t="s">
        <v>1543</v>
      </c>
      <c r="G487" s="9" t="s">
        <v>1544</v>
      </c>
      <c r="H487" s="9" t="s">
        <v>1545</v>
      </c>
      <c r="I487" s="10">
        <v>45618</v>
      </c>
    </row>
    <row r="488" spans="1:9" x14ac:dyDescent="0.15">
      <c r="A488" s="9">
        <v>487</v>
      </c>
      <c r="B488" s="9" t="s">
        <v>9</v>
      </c>
      <c r="C488" s="9">
        <v>1927</v>
      </c>
      <c r="D488" s="10">
        <v>45729</v>
      </c>
      <c r="E488" s="11" t="str">
        <f>+HYPERLINK("http://trademark.i-assist.jp/data/china/image_1927th/82121063.pdf","82121063")</f>
        <v>82121063</v>
      </c>
      <c r="F488" s="13" t="s">
        <v>1546</v>
      </c>
      <c r="G488" s="12" t="s">
        <v>1547</v>
      </c>
      <c r="H488" s="9" t="s">
        <v>1548</v>
      </c>
      <c r="I488" s="10">
        <v>45618</v>
      </c>
    </row>
    <row r="489" spans="1:9" x14ac:dyDescent="0.15">
      <c r="A489" s="9">
        <v>488</v>
      </c>
      <c r="B489" s="9" t="s">
        <v>9</v>
      </c>
      <c r="C489" s="9">
        <v>1927</v>
      </c>
      <c r="D489" s="10">
        <v>45729</v>
      </c>
      <c r="E489" s="11" t="str">
        <f>+HYPERLINK("http://trademark.i-assist.jp/data/china/image_1927th/82123113.pdf","82123113")</f>
        <v>82123113</v>
      </c>
      <c r="F489" s="9" t="s">
        <v>1549</v>
      </c>
      <c r="G489" s="9" t="s">
        <v>1541</v>
      </c>
      <c r="H489" s="9" t="s">
        <v>1550</v>
      </c>
      <c r="I489" s="10">
        <v>45618</v>
      </c>
    </row>
    <row r="490" spans="1:9" x14ac:dyDescent="0.15">
      <c r="A490" s="9">
        <v>489</v>
      </c>
      <c r="B490" s="9" t="s">
        <v>9</v>
      </c>
      <c r="C490" s="9">
        <v>1927</v>
      </c>
      <c r="D490" s="10">
        <v>45729</v>
      </c>
      <c r="E490" s="11" t="str">
        <f>+HYPERLINK("http://trademark.i-assist.jp/data/china/image_1927th/82123452.pdf","82123452")</f>
        <v>82123452</v>
      </c>
      <c r="F490" s="9" t="s">
        <v>1551</v>
      </c>
      <c r="G490" s="9" t="s">
        <v>36</v>
      </c>
      <c r="H490" s="9" t="s">
        <v>1552</v>
      </c>
      <c r="I490" s="10">
        <v>45618</v>
      </c>
    </row>
    <row r="491" spans="1:9" x14ac:dyDescent="0.15">
      <c r="A491" s="9">
        <v>490</v>
      </c>
      <c r="B491" s="9" t="s">
        <v>9</v>
      </c>
      <c r="C491" s="9">
        <v>1927</v>
      </c>
      <c r="D491" s="10">
        <v>45729</v>
      </c>
      <c r="E491" s="11" t="str">
        <f>+HYPERLINK("http://trademark.i-assist.jp/data/china/image_1927th/82123537.pdf","82123537")</f>
        <v>82123537</v>
      </c>
      <c r="F491" s="9" t="s">
        <v>1553</v>
      </c>
      <c r="G491" s="9" t="s">
        <v>1554</v>
      </c>
      <c r="H491" s="9" t="s">
        <v>1555</v>
      </c>
      <c r="I491" s="10">
        <v>45618</v>
      </c>
    </row>
    <row r="492" spans="1:9" x14ac:dyDescent="0.15">
      <c r="A492" s="9">
        <v>491</v>
      </c>
      <c r="B492" s="9" t="s">
        <v>9</v>
      </c>
      <c r="C492" s="9">
        <v>1927</v>
      </c>
      <c r="D492" s="10">
        <v>45729</v>
      </c>
      <c r="E492" s="11" t="str">
        <f>+HYPERLINK("http://trademark.i-assist.jp/data/china/image_1927th/82124065.pdf","82124065")</f>
        <v>82124065</v>
      </c>
      <c r="F492" s="12" t="s">
        <v>1556</v>
      </c>
      <c r="G492" s="12" t="s">
        <v>1557</v>
      </c>
      <c r="H492" s="12" t="s">
        <v>1558</v>
      </c>
      <c r="I492" s="10">
        <v>45618</v>
      </c>
    </row>
    <row r="493" spans="1:9" x14ac:dyDescent="0.15">
      <c r="A493" s="9">
        <v>492</v>
      </c>
      <c r="B493" s="9" t="s">
        <v>9</v>
      </c>
      <c r="C493" s="9">
        <v>1927</v>
      </c>
      <c r="D493" s="10">
        <v>45729</v>
      </c>
      <c r="E493" s="11" t="str">
        <f>+HYPERLINK("http://trademark.i-assist.jp/data/china/image_1927th/82125627.pdf","82125627")</f>
        <v>82125627</v>
      </c>
      <c r="F493" s="9" t="s">
        <v>1559</v>
      </c>
      <c r="G493" s="9" t="s">
        <v>1560</v>
      </c>
      <c r="H493" s="9" t="s">
        <v>1561</v>
      </c>
      <c r="I493" s="10">
        <v>45618</v>
      </c>
    </row>
    <row r="494" spans="1:9" x14ac:dyDescent="0.15">
      <c r="A494" s="9">
        <v>493</v>
      </c>
      <c r="B494" s="9" t="s">
        <v>9</v>
      </c>
      <c r="C494" s="9">
        <v>1927</v>
      </c>
      <c r="D494" s="10">
        <v>45729</v>
      </c>
      <c r="E494" s="11" t="str">
        <f>+HYPERLINK("http://trademark.i-assist.jp/data/china/image_1927th/82126652.pdf","82126652")</f>
        <v>82126652</v>
      </c>
      <c r="F494" s="9" t="s">
        <v>1562</v>
      </c>
      <c r="G494" s="9" t="s">
        <v>1563</v>
      </c>
      <c r="H494" s="9" t="s">
        <v>1564</v>
      </c>
      <c r="I494" s="10">
        <v>45618</v>
      </c>
    </row>
    <row r="495" spans="1:9" x14ac:dyDescent="0.15">
      <c r="A495" s="9">
        <v>494</v>
      </c>
      <c r="B495" s="9" t="s">
        <v>9</v>
      </c>
      <c r="C495" s="9">
        <v>1927</v>
      </c>
      <c r="D495" s="10">
        <v>45729</v>
      </c>
      <c r="E495" s="11" t="str">
        <f>+HYPERLINK("http://trademark.i-assist.jp/data/china/image_1927th/82126769.pdf","82126769")</f>
        <v>82126769</v>
      </c>
      <c r="F495" s="9" t="s">
        <v>1565</v>
      </c>
      <c r="G495" s="9" t="s">
        <v>1566</v>
      </c>
      <c r="H495" s="9" t="s">
        <v>1567</v>
      </c>
      <c r="I495" s="10">
        <v>45618</v>
      </c>
    </row>
    <row r="496" spans="1:9" x14ac:dyDescent="0.15">
      <c r="A496" s="9">
        <v>495</v>
      </c>
      <c r="B496" s="9" t="s">
        <v>9</v>
      </c>
      <c r="C496" s="9">
        <v>1927</v>
      </c>
      <c r="D496" s="10">
        <v>45729</v>
      </c>
      <c r="E496" s="11" t="str">
        <f>+HYPERLINK("http://trademark.i-assist.jp/data/china/image_1927th/82127006.pdf","82127006")</f>
        <v>82127006</v>
      </c>
      <c r="F496" s="9" t="s">
        <v>1568</v>
      </c>
      <c r="G496" s="9" t="s">
        <v>1569</v>
      </c>
      <c r="H496" s="9" t="s">
        <v>1570</v>
      </c>
      <c r="I496" s="10">
        <v>45618</v>
      </c>
    </row>
    <row r="497" spans="1:9" x14ac:dyDescent="0.15">
      <c r="A497" s="9">
        <v>496</v>
      </c>
      <c r="B497" s="9" t="s">
        <v>9</v>
      </c>
      <c r="C497" s="9">
        <v>1927</v>
      </c>
      <c r="D497" s="10">
        <v>45729</v>
      </c>
      <c r="E497" s="11" t="str">
        <f>+HYPERLINK("http://trademark.i-assist.jp/data/china/image_1927th/82127036.pdf","82127036")</f>
        <v>82127036</v>
      </c>
      <c r="F497" s="9" t="s">
        <v>1571</v>
      </c>
      <c r="G497" s="9" t="s">
        <v>1572</v>
      </c>
      <c r="H497" s="12" t="s">
        <v>1573</v>
      </c>
      <c r="I497" s="10">
        <v>45618</v>
      </c>
    </row>
    <row r="498" spans="1:9" x14ac:dyDescent="0.15">
      <c r="A498" s="9">
        <v>497</v>
      </c>
      <c r="B498" s="9" t="s">
        <v>9</v>
      </c>
      <c r="C498" s="9">
        <v>1927</v>
      </c>
      <c r="D498" s="10">
        <v>45729</v>
      </c>
      <c r="E498" s="11" t="str">
        <f>+HYPERLINK("http://trademark.i-assist.jp/data/china/image_1927th/82128833.pdf","82128833")</f>
        <v>82128833</v>
      </c>
      <c r="F498" s="9" t="s">
        <v>1574</v>
      </c>
      <c r="G498" s="9" t="s">
        <v>1575</v>
      </c>
      <c r="H498" s="9" t="s">
        <v>1576</v>
      </c>
      <c r="I498" s="10">
        <v>45618</v>
      </c>
    </row>
    <row r="499" spans="1:9" x14ac:dyDescent="0.15">
      <c r="A499" s="9">
        <v>498</v>
      </c>
      <c r="B499" s="9" t="s">
        <v>9</v>
      </c>
      <c r="C499" s="9">
        <v>1927</v>
      </c>
      <c r="D499" s="10">
        <v>45729</v>
      </c>
      <c r="E499" s="11" t="str">
        <f>+HYPERLINK("http://trademark.i-assist.jp/data/china/image_1927th/82129041.pdf","82129041")</f>
        <v>82129041</v>
      </c>
      <c r="F499" s="9" t="s">
        <v>1577</v>
      </c>
      <c r="G499" s="9" t="s">
        <v>121</v>
      </c>
      <c r="H499" s="9" t="s">
        <v>1578</v>
      </c>
      <c r="I499" s="10">
        <v>45618</v>
      </c>
    </row>
    <row r="500" spans="1:9" x14ac:dyDescent="0.15">
      <c r="A500" s="9">
        <v>499</v>
      </c>
      <c r="B500" s="9" t="s">
        <v>9</v>
      </c>
      <c r="C500" s="9">
        <v>1927</v>
      </c>
      <c r="D500" s="10">
        <v>45729</v>
      </c>
      <c r="E500" s="11" t="str">
        <f>+HYPERLINK("http://trademark.i-assist.jp/data/china/image_1927th/82129153.pdf","82129153")</f>
        <v>82129153</v>
      </c>
      <c r="F500" s="12" t="s">
        <v>16</v>
      </c>
      <c r="G500" s="9" t="s">
        <v>111</v>
      </c>
      <c r="H500" s="9" t="s">
        <v>1579</v>
      </c>
      <c r="I500" s="10">
        <v>45618</v>
      </c>
    </row>
    <row r="501" spans="1:9" x14ac:dyDescent="0.15">
      <c r="A501" s="9">
        <v>500</v>
      </c>
      <c r="B501" s="9" t="s">
        <v>9</v>
      </c>
      <c r="C501" s="9">
        <v>1927</v>
      </c>
      <c r="D501" s="10">
        <v>45729</v>
      </c>
      <c r="E501" s="11" t="str">
        <f>+HYPERLINK("http://trademark.i-assist.jp/data/china/image_1927th/82129499.pdf","82129499")</f>
        <v>82129499</v>
      </c>
      <c r="F501" s="9" t="s">
        <v>1580</v>
      </c>
      <c r="G501" s="9" t="s">
        <v>1581</v>
      </c>
      <c r="H501" s="9" t="s">
        <v>1582</v>
      </c>
      <c r="I501" s="10">
        <v>45618</v>
      </c>
    </row>
    <row r="502" spans="1:9" x14ac:dyDescent="0.15">
      <c r="A502" s="9">
        <v>501</v>
      </c>
      <c r="B502" s="9" t="s">
        <v>9</v>
      </c>
      <c r="C502" s="9">
        <v>1927</v>
      </c>
      <c r="D502" s="10">
        <v>45729</v>
      </c>
      <c r="E502" s="11" t="str">
        <f>+HYPERLINK("http://trademark.i-assist.jp/data/china/image_1927th/82129678.pdf","82129678")</f>
        <v>82129678</v>
      </c>
      <c r="F502" s="9" t="s">
        <v>1583</v>
      </c>
      <c r="G502" s="9" t="s">
        <v>1584</v>
      </c>
      <c r="H502" s="9" t="s">
        <v>1585</v>
      </c>
      <c r="I502" s="10">
        <v>45618</v>
      </c>
    </row>
    <row r="503" spans="1:9" x14ac:dyDescent="0.15">
      <c r="A503" s="9">
        <v>502</v>
      </c>
      <c r="B503" s="9" t="s">
        <v>9</v>
      </c>
      <c r="C503" s="9">
        <v>1927</v>
      </c>
      <c r="D503" s="10">
        <v>45729</v>
      </c>
      <c r="E503" s="11" t="str">
        <f>+HYPERLINK("http://trademark.i-assist.jp/data/china/image_1927th/82130064.pdf","82130064")</f>
        <v>82130064</v>
      </c>
      <c r="F503" s="12" t="s">
        <v>1586</v>
      </c>
      <c r="G503" s="9" t="s">
        <v>22</v>
      </c>
      <c r="H503" s="9" t="s">
        <v>1587</v>
      </c>
      <c r="I503" s="10">
        <v>45618</v>
      </c>
    </row>
    <row r="504" spans="1:9" x14ac:dyDescent="0.15">
      <c r="A504" s="9">
        <v>503</v>
      </c>
      <c r="B504" s="9" t="s">
        <v>9</v>
      </c>
      <c r="C504" s="9">
        <v>1927</v>
      </c>
      <c r="D504" s="10">
        <v>45729</v>
      </c>
      <c r="E504" s="11" t="str">
        <f>+HYPERLINK("http://trademark.i-assist.jp/data/china/image_1927th/82131422.pdf","82131422")</f>
        <v>82131422</v>
      </c>
      <c r="F504" s="12" t="s">
        <v>1588</v>
      </c>
      <c r="G504" s="12" t="s">
        <v>1589</v>
      </c>
      <c r="H504" s="9" t="s">
        <v>1590</v>
      </c>
      <c r="I504" s="10">
        <v>45618</v>
      </c>
    </row>
    <row r="505" spans="1:9" x14ac:dyDescent="0.15">
      <c r="A505" s="9">
        <v>504</v>
      </c>
      <c r="B505" s="9" t="s">
        <v>9</v>
      </c>
      <c r="C505" s="9">
        <v>1927</v>
      </c>
      <c r="D505" s="10">
        <v>45729</v>
      </c>
      <c r="E505" s="11" t="str">
        <f>+HYPERLINK("http://trademark.i-assist.jp/data/china/image_1927th/82132506.pdf","82132506")</f>
        <v>82132506</v>
      </c>
      <c r="F505" s="12" t="s">
        <v>1591</v>
      </c>
      <c r="G505" s="9" t="s">
        <v>38</v>
      </c>
      <c r="H505" s="9" t="s">
        <v>1592</v>
      </c>
      <c r="I505" s="10">
        <v>45618</v>
      </c>
    </row>
    <row r="506" spans="1:9" x14ac:dyDescent="0.15">
      <c r="A506" s="9">
        <v>505</v>
      </c>
      <c r="B506" s="9" t="s">
        <v>9</v>
      </c>
      <c r="C506" s="9">
        <v>1927</v>
      </c>
      <c r="D506" s="10">
        <v>45729</v>
      </c>
      <c r="E506" s="11" t="str">
        <f>+HYPERLINK("http://trademark.i-assist.jp/data/china/image_1927th/82132784.pdf","82132784")</f>
        <v>82132784</v>
      </c>
      <c r="F506" s="12" t="s">
        <v>16</v>
      </c>
      <c r="G506" s="12" t="s">
        <v>1593</v>
      </c>
      <c r="H506" s="9" t="s">
        <v>1594</v>
      </c>
      <c r="I506" s="10">
        <v>45618</v>
      </c>
    </row>
    <row r="507" spans="1:9" x14ac:dyDescent="0.15">
      <c r="A507" s="9">
        <v>506</v>
      </c>
      <c r="B507" s="9" t="s">
        <v>9</v>
      </c>
      <c r="C507" s="9">
        <v>1927</v>
      </c>
      <c r="D507" s="10">
        <v>45729</v>
      </c>
      <c r="E507" s="11" t="str">
        <f>+HYPERLINK("http://trademark.i-assist.jp/data/china/image_1927th/82133425.pdf","82133425")</f>
        <v>82133425</v>
      </c>
      <c r="F507" s="12" t="s">
        <v>1595</v>
      </c>
      <c r="G507" s="9" t="s">
        <v>34</v>
      </c>
      <c r="H507" s="9" t="s">
        <v>1596</v>
      </c>
      <c r="I507" s="10">
        <v>45618</v>
      </c>
    </row>
    <row r="508" spans="1:9" x14ac:dyDescent="0.15">
      <c r="A508" s="9">
        <v>507</v>
      </c>
      <c r="B508" s="9" t="s">
        <v>9</v>
      </c>
      <c r="C508" s="9">
        <v>1927</v>
      </c>
      <c r="D508" s="10">
        <v>45729</v>
      </c>
      <c r="E508" s="11" t="str">
        <f>+HYPERLINK("http://trademark.i-assist.jp/data/china/image_1927th/82134001.pdf","82134001")</f>
        <v>82134001</v>
      </c>
      <c r="F508" s="9" t="s">
        <v>1597</v>
      </c>
      <c r="G508" s="9" t="s">
        <v>1598</v>
      </c>
      <c r="H508" s="9" t="s">
        <v>1599</v>
      </c>
      <c r="I508" s="10">
        <v>45618</v>
      </c>
    </row>
    <row r="509" spans="1:9" x14ac:dyDescent="0.15">
      <c r="A509" s="9">
        <v>508</v>
      </c>
      <c r="B509" s="9" t="s">
        <v>9</v>
      </c>
      <c r="C509" s="9">
        <v>1927</v>
      </c>
      <c r="D509" s="10">
        <v>45729</v>
      </c>
      <c r="E509" s="11" t="str">
        <f>+HYPERLINK("http://trademark.i-assist.jp/data/china/image_1927th/82134181.pdf","82134181")</f>
        <v>82134181</v>
      </c>
      <c r="F509" s="9" t="s">
        <v>1600</v>
      </c>
      <c r="G509" s="9" t="s">
        <v>120</v>
      </c>
      <c r="H509" s="9" t="s">
        <v>1601</v>
      </c>
      <c r="I509" s="10">
        <v>45618</v>
      </c>
    </row>
    <row r="510" spans="1:9" x14ac:dyDescent="0.15">
      <c r="A510" s="9">
        <v>509</v>
      </c>
      <c r="B510" s="9" t="s">
        <v>9</v>
      </c>
      <c r="C510" s="9">
        <v>1927</v>
      </c>
      <c r="D510" s="10">
        <v>45729</v>
      </c>
      <c r="E510" s="11" t="str">
        <f>+HYPERLINK("http://trademark.i-assist.jp/data/china/image_1927th/82134212.pdf","82134212")</f>
        <v>82134212</v>
      </c>
      <c r="F510" s="9" t="s">
        <v>1602</v>
      </c>
      <c r="G510" s="9" t="s">
        <v>1541</v>
      </c>
      <c r="H510" s="9" t="s">
        <v>1603</v>
      </c>
      <c r="I510" s="10">
        <v>45618</v>
      </c>
    </row>
    <row r="511" spans="1:9" x14ac:dyDescent="0.15">
      <c r="A511" s="9">
        <v>510</v>
      </c>
      <c r="B511" s="9" t="s">
        <v>9</v>
      </c>
      <c r="C511" s="9">
        <v>1927</v>
      </c>
      <c r="D511" s="10">
        <v>45729</v>
      </c>
      <c r="E511" s="11" t="str">
        <f>+HYPERLINK("http://trademark.i-assist.jp/data/china/image_1927th/82134879.pdf","82134879")</f>
        <v>82134879</v>
      </c>
      <c r="F511" s="12" t="s">
        <v>1604</v>
      </c>
      <c r="G511" s="12" t="s">
        <v>1605</v>
      </c>
      <c r="H511" s="9" t="s">
        <v>1606</v>
      </c>
      <c r="I511" s="10">
        <v>45618</v>
      </c>
    </row>
    <row r="512" spans="1:9" x14ac:dyDescent="0.15">
      <c r="A512" s="9">
        <v>511</v>
      </c>
      <c r="B512" s="9" t="s">
        <v>9</v>
      </c>
      <c r="C512" s="9">
        <v>1927</v>
      </c>
      <c r="D512" s="10">
        <v>45729</v>
      </c>
      <c r="E512" s="11" t="str">
        <f>+HYPERLINK("http://trademark.i-assist.jp/data/china/image_1927th/82135501.pdf","82135501")</f>
        <v>82135501</v>
      </c>
      <c r="F512" s="9" t="s">
        <v>1607</v>
      </c>
      <c r="G512" s="9" t="s">
        <v>1608</v>
      </c>
      <c r="H512" s="12" t="s">
        <v>1609</v>
      </c>
      <c r="I512" s="10">
        <v>45618</v>
      </c>
    </row>
    <row r="513" spans="1:9" x14ac:dyDescent="0.15">
      <c r="A513" s="9">
        <v>512</v>
      </c>
      <c r="B513" s="9" t="s">
        <v>9</v>
      </c>
      <c r="C513" s="9">
        <v>1927</v>
      </c>
      <c r="D513" s="10">
        <v>45729</v>
      </c>
      <c r="E513" s="11" t="str">
        <f>+HYPERLINK("http://trademark.i-assist.jp/data/china/image_1927th/82135726.pdf","82135726")</f>
        <v>82135726</v>
      </c>
      <c r="F513" s="12" t="s">
        <v>1610</v>
      </c>
      <c r="G513" s="9" t="s">
        <v>38</v>
      </c>
      <c r="H513" s="9" t="s">
        <v>1611</v>
      </c>
      <c r="I513" s="10">
        <v>45618</v>
      </c>
    </row>
    <row r="514" spans="1:9" x14ac:dyDescent="0.15">
      <c r="A514" s="9">
        <v>513</v>
      </c>
      <c r="B514" s="9" t="s">
        <v>9</v>
      </c>
      <c r="C514" s="9">
        <v>1927</v>
      </c>
      <c r="D514" s="10">
        <v>45729</v>
      </c>
      <c r="E514" s="11" t="str">
        <f>+HYPERLINK("http://trademark.i-assist.jp/data/china/image_1927th/82135771.pdf","82135771")</f>
        <v>82135771</v>
      </c>
      <c r="F514" s="9" t="s">
        <v>1612</v>
      </c>
      <c r="G514" s="9" t="s">
        <v>38</v>
      </c>
      <c r="H514" s="9" t="s">
        <v>1613</v>
      </c>
      <c r="I514" s="10">
        <v>45618</v>
      </c>
    </row>
    <row r="515" spans="1:9" x14ac:dyDescent="0.15">
      <c r="A515" s="9">
        <v>514</v>
      </c>
      <c r="B515" s="9" t="s">
        <v>9</v>
      </c>
      <c r="C515" s="9">
        <v>1927</v>
      </c>
      <c r="D515" s="10">
        <v>45729</v>
      </c>
      <c r="E515" s="11" t="str">
        <f>+HYPERLINK("http://trademark.i-assist.jp/data/china/image_1927th/82135843.pdf","82135843")</f>
        <v>82135843</v>
      </c>
      <c r="F515" s="12" t="s">
        <v>16</v>
      </c>
      <c r="G515" s="12" t="s">
        <v>1614</v>
      </c>
      <c r="H515" s="9" t="s">
        <v>1615</v>
      </c>
      <c r="I515" s="10">
        <v>45618</v>
      </c>
    </row>
    <row r="516" spans="1:9" x14ac:dyDescent="0.15">
      <c r="A516" s="9">
        <v>515</v>
      </c>
      <c r="B516" s="9" t="s">
        <v>9</v>
      </c>
      <c r="C516" s="9">
        <v>1927</v>
      </c>
      <c r="D516" s="10">
        <v>45729</v>
      </c>
      <c r="E516" s="11" t="str">
        <f>+HYPERLINK("http://trademark.i-assist.jp/data/china/image_1927th/82136420.pdf","82136420")</f>
        <v>82136420</v>
      </c>
      <c r="F516" s="9" t="s">
        <v>1616</v>
      </c>
      <c r="G516" s="9" t="s">
        <v>1617</v>
      </c>
      <c r="H516" s="9" t="s">
        <v>1618</v>
      </c>
      <c r="I516" s="10">
        <v>45618</v>
      </c>
    </row>
    <row r="517" spans="1:9" x14ac:dyDescent="0.15">
      <c r="A517" s="9">
        <v>516</v>
      </c>
      <c r="B517" s="9" t="s">
        <v>9</v>
      </c>
      <c r="C517" s="9">
        <v>1927</v>
      </c>
      <c r="D517" s="10">
        <v>45729</v>
      </c>
      <c r="E517" s="11" t="str">
        <f>+HYPERLINK("http://trademark.i-assist.jp/data/china/image_1927th/82136473.pdf","82136473")</f>
        <v>82136473</v>
      </c>
      <c r="F517" s="9" t="s">
        <v>1619</v>
      </c>
      <c r="G517" s="9" t="s">
        <v>1620</v>
      </c>
      <c r="H517" s="12" t="s">
        <v>1621</v>
      </c>
      <c r="I517" s="10">
        <v>45618</v>
      </c>
    </row>
    <row r="518" spans="1:9" x14ac:dyDescent="0.15">
      <c r="A518" s="9">
        <v>517</v>
      </c>
      <c r="B518" s="9" t="s">
        <v>9</v>
      </c>
      <c r="C518" s="9">
        <v>1927</v>
      </c>
      <c r="D518" s="10">
        <v>45729</v>
      </c>
      <c r="E518" s="11" t="str">
        <f>+HYPERLINK("http://trademark.i-assist.jp/data/china/image_1927th/82137704.pdf","82137704")</f>
        <v>82137704</v>
      </c>
      <c r="F518" s="9" t="s">
        <v>1622</v>
      </c>
      <c r="G518" s="12" t="s">
        <v>1623</v>
      </c>
      <c r="H518" s="9" t="s">
        <v>1624</v>
      </c>
      <c r="I518" s="10">
        <v>45618</v>
      </c>
    </row>
    <row r="519" spans="1:9" x14ac:dyDescent="0.15">
      <c r="A519" s="9">
        <v>518</v>
      </c>
      <c r="B519" s="9" t="s">
        <v>9</v>
      </c>
      <c r="C519" s="9">
        <v>1927</v>
      </c>
      <c r="D519" s="10">
        <v>45729</v>
      </c>
      <c r="E519" s="11" t="str">
        <f>+HYPERLINK("http://trademark.i-assist.jp/data/china/image_1927th/82138111.pdf","82138111")</f>
        <v>82138111</v>
      </c>
      <c r="F519" s="9" t="s">
        <v>1625</v>
      </c>
      <c r="G519" s="12" t="s">
        <v>1626</v>
      </c>
      <c r="H519" s="9" t="s">
        <v>1627</v>
      </c>
      <c r="I519" s="10">
        <v>45618</v>
      </c>
    </row>
    <row r="520" spans="1:9" x14ac:dyDescent="0.15">
      <c r="A520" s="9">
        <v>519</v>
      </c>
      <c r="B520" s="9" t="s">
        <v>9</v>
      </c>
      <c r="C520" s="9">
        <v>1927</v>
      </c>
      <c r="D520" s="10">
        <v>45729</v>
      </c>
      <c r="E520" s="11" t="str">
        <f>+HYPERLINK("http://trademark.i-assist.jp/data/china/image_1927th/82138430.pdf","82138430")</f>
        <v>82138430</v>
      </c>
      <c r="F520" s="9" t="s">
        <v>1628</v>
      </c>
      <c r="G520" s="9" t="s">
        <v>1629</v>
      </c>
      <c r="H520" s="9" t="s">
        <v>1630</v>
      </c>
      <c r="I520" s="10">
        <v>45618</v>
      </c>
    </row>
    <row r="521" spans="1:9" x14ac:dyDescent="0.15">
      <c r="A521" s="9">
        <v>520</v>
      </c>
      <c r="B521" s="9" t="s">
        <v>9</v>
      </c>
      <c r="C521" s="9">
        <v>1927</v>
      </c>
      <c r="D521" s="10">
        <v>45729</v>
      </c>
      <c r="E521" s="11" t="str">
        <f>+HYPERLINK("http://trademark.i-assist.jp/data/china/image_1927th/82139829.pdf","82139829")</f>
        <v>82139829</v>
      </c>
      <c r="F521" s="9" t="s">
        <v>1631</v>
      </c>
      <c r="G521" s="9" t="s">
        <v>1632</v>
      </c>
      <c r="H521" s="9" t="s">
        <v>1633</v>
      </c>
      <c r="I521" s="10">
        <v>45618</v>
      </c>
    </row>
    <row r="522" spans="1:9" x14ac:dyDescent="0.15">
      <c r="A522" s="9">
        <v>521</v>
      </c>
      <c r="B522" s="9" t="s">
        <v>9</v>
      </c>
      <c r="C522" s="9">
        <v>1927</v>
      </c>
      <c r="D522" s="10">
        <v>45729</v>
      </c>
      <c r="E522" s="11" t="str">
        <f>+HYPERLINK("http://trademark.i-assist.jp/data/china/image_1927th/82140770.pdf","82140770")</f>
        <v>82140770</v>
      </c>
      <c r="F522" s="12" t="s">
        <v>1634</v>
      </c>
      <c r="G522" s="12" t="s">
        <v>1589</v>
      </c>
      <c r="H522" s="9" t="s">
        <v>1635</v>
      </c>
      <c r="I522" s="10">
        <v>45618</v>
      </c>
    </row>
    <row r="523" spans="1:9" x14ac:dyDescent="0.15">
      <c r="A523" s="9">
        <v>522</v>
      </c>
      <c r="B523" s="9" t="s">
        <v>9</v>
      </c>
      <c r="C523" s="9">
        <v>1927</v>
      </c>
      <c r="D523" s="10">
        <v>45729</v>
      </c>
      <c r="E523" s="11" t="str">
        <f>+HYPERLINK("http://trademark.i-assist.jp/data/china/image_1927th/82141321.pdf","82141321")</f>
        <v>82141321</v>
      </c>
      <c r="F523" s="9" t="s">
        <v>1636</v>
      </c>
      <c r="G523" s="9" t="s">
        <v>119</v>
      </c>
      <c r="H523" s="12" t="s">
        <v>1637</v>
      </c>
      <c r="I523" s="10">
        <v>45618</v>
      </c>
    </row>
    <row r="524" spans="1:9" x14ac:dyDescent="0.15">
      <c r="A524" s="9">
        <v>523</v>
      </c>
      <c r="B524" s="9" t="s">
        <v>9</v>
      </c>
      <c r="C524" s="9">
        <v>1927</v>
      </c>
      <c r="D524" s="10">
        <v>45729</v>
      </c>
      <c r="E524" s="11" t="str">
        <f>+HYPERLINK("http://trademark.i-assist.jp/data/china/image_1927th/82141830.pdf","82141830")</f>
        <v>82141830</v>
      </c>
      <c r="F524" s="12" t="s">
        <v>1638</v>
      </c>
      <c r="G524" s="12" t="s">
        <v>1639</v>
      </c>
      <c r="H524" s="12" t="s">
        <v>1640</v>
      </c>
      <c r="I524" s="10">
        <v>45618</v>
      </c>
    </row>
    <row r="525" spans="1:9" x14ac:dyDescent="0.15">
      <c r="A525" s="9">
        <v>524</v>
      </c>
      <c r="B525" s="9" t="s">
        <v>9</v>
      </c>
      <c r="C525" s="9">
        <v>1927</v>
      </c>
      <c r="D525" s="10">
        <v>45729</v>
      </c>
      <c r="E525" s="11" t="str">
        <f>+HYPERLINK("http://trademark.i-assist.jp/data/china/image_1927th/82142859.pdf","82142859")</f>
        <v>82142859</v>
      </c>
      <c r="F525" s="9" t="s">
        <v>1641</v>
      </c>
      <c r="G525" s="9" t="s">
        <v>1642</v>
      </c>
      <c r="H525" s="9" t="s">
        <v>1643</v>
      </c>
      <c r="I525" s="10">
        <v>45618</v>
      </c>
    </row>
    <row r="526" spans="1:9" x14ac:dyDescent="0.15">
      <c r="A526" s="9">
        <v>525</v>
      </c>
      <c r="B526" s="9" t="s">
        <v>9</v>
      </c>
      <c r="C526" s="9">
        <v>1927</v>
      </c>
      <c r="D526" s="10">
        <v>45729</v>
      </c>
      <c r="E526" s="11" t="str">
        <f>+HYPERLINK("http://trademark.i-assist.jp/data/china/image_1927th/82142864.pdf","82142864")</f>
        <v>82142864</v>
      </c>
      <c r="F526" s="12" t="s">
        <v>1644</v>
      </c>
      <c r="G526" s="9" t="s">
        <v>1645</v>
      </c>
      <c r="H526" s="9" t="s">
        <v>1646</v>
      </c>
      <c r="I526" s="10">
        <v>45618</v>
      </c>
    </row>
    <row r="527" spans="1:9" x14ac:dyDescent="0.15">
      <c r="A527" s="9">
        <v>526</v>
      </c>
      <c r="B527" s="9" t="s">
        <v>9</v>
      </c>
      <c r="C527" s="9">
        <v>1927</v>
      </c>
      <c r="D527" s="10">
        <v>45729</v>
      </c>
      <c r="E527" s="11" t="str">
        <f>+HYPERLINK("http://trademark.i-assist.jp/data/china/image_1927th/82143199.pdf","82143199")</f>
        <v>82143199</v>
      </c>
      <c r="F527" s="9" t="s">
        <v>1647</v>
      </c>
      <c r="G527" s="9" t="s">
        <v>1648</v>
      </c>
      <c r="H527" s="9" t="s">
        <v>1649</v>
      </c>
      <c r="I527" s="10">
        <v>45620</v>
      </c>
    </row>
    <row r="528" spans="1:9" x14ac:dyDescent="0.15">
      <c r="A528" s="9">
        <v>527</v>
      </c>
      <c r="B528" s="9" t="s">
        <v>9</v>
      </c>
      <c r="C528" s="9">
        <v>1927</v>
      </c>
      <c r="D528" s="10">
        <v>45729</v>
      </c>
      <c r="E528" s="11" t="str">
        <f>+HYPERLINK("http://trademark.i-assist.jp/data/china/image_1927th/82143244.pdf","82143244")</f>
        <v>82143244</v>
      </c>
      <c r="F528" s="9" t="s">
        <v>1650</v>
      </c>
      <c r="G528" s="9" t="s">
        <v>1651</v>
      </c>
      <c r="H528" s="12" t="s">
        <v>1652</v>
      </c>
      <c r="I528" s="10">
        <v>45620</v>
      </c>
    </row>
    <row r="529" spans="1:9" x14ac:dyDescent="0.15">
      <c r="A529" s="9">
        <v>528</v>
      </c>
      <c r="B529" s="9" t="s">
        <v>9</v>
      </c>
      <c r="C529" s="9">
        <v>1927</v>
      </c>
      <c r="D529" s="10">
        <v>45729</v>
      </c>
      <c r="E529" s="11" t="str">
        <f>+HYPERLINK("http://trademark.i-assist.jp/data/china/image_1927th/82143585.pdf","82143585")</f>
        <v>82143585</v>
      </c>
      <c r="F529" s="9" t="s">
        <v>1653</v>
      </c>
      <c r="G529" s="9" t="s">
        <v>1654</v>
      </c>
      <c r="H529" s="9" t="s">
        <v>1655</v>
      </c>
      <c r="I529" s="10">
        <v>45620</v>
      </c>
    </row>
    <row r="530" spans="1:9" x14ac:dyDescent="0.15">
      <c r="A530" s="9">
        <v>529</v>
      </c>
      <c r="B530" s="9" t="s">
        <v>9</v>
      </c>
      <c r="C530" s="9">
        <v>1927</v>
      </c>
      <c r="D530" s="10">
        <v>45729</v>
      </c>
      <c r="E530" s="11" t="str">
        <f>+HYPERLINK("http://trademark.i-assist.jp/data/china/image_1927th/82145487.pdf","82145487")</f>
        <v>82145487</v>
      </c>
      <c r="F530" s="9" t="s">
        <v>1656</v>
      </c>
      <c r="G530" s="9" t="s">
        <v>1657</v>
      </c>
      <c r="H530" s="9" t="s">
        <v>1658</v>
      </c>
      <c r="I530" s="10">
        <v>45621</v>
      </c>
    </row>
    <row r="531" spans="1:9" x14ac:dyDescent="0.15">
      <c r="A531" s="9">
        <v>530</v>
      </c>
      <c r="B531" s="9" t="s">
        <v>9</v>
      </c>
      <c r="C531" s="9">
        <v>1927</v>
      </c>
      <c r="D531" s="10">
        <v>45729</v>
      </c>
      <c r="E531" s="11" t="str">
        <f>+HYPERLINK("http://trademark.i-assist.jp/data/china/image_1927th/82145553.pdf","82145553")</f>
        <v>82145553</v>
      </c>
      <c r="F531" s="9" t="s">
        <v>1659</v>
      </c>
      <c r="G531" s="9" t="s">
        <v>1660</v>
      </c>
      <c r="H531" s="9" t="s">
        <v>1661</v>
      </c>
      <c r="I531" s="10">
        <v>45621</v>
      </c>
    </row>
    <row r="532" spans="1:9" x14ac:dyDescent="0.15">
      <c r="A532" s="9">
        <v>531</v>
      </c>
      <c r="B532" s="9" t="s">
        <v>9</v>
      </c>
      <c r="C532" s="9">
        <v>1927</v>
      </c>
      <c r="D532" s="10">
        <v>45729</v>
      </c>
      <c r="E532" s="11" t="str">
        <f>+HYPERLINK("http://trademark.i-assist.jp/data/china/image_1927th/82147012.pdf","82147012")</f>
        <v>82147012</v>
      </c>
      <c r="F532" s="9" t="s">
        <v>1662</v>
      </c>
      <c r="G532" s="9" t="s">
        <v>1663</v>
      </c>
      <c r="H532" s="9" t="s">
        <v>1664</v>
      </c>
      <c r="I532" s="10">
        <v>45621</v>
      </c>
    </row>
    <row r="533" spans="1:9" x14ac:dyDescent="0.15">
      <c r="A533" s="9">
        <v>532</v>
      </c>
      <c r="B533" s="9" t="s">
        <v>9</v>
      </c>
      <c r="C533" s="9">
        <v>1927</v>
      </c>
      <c r="D533" s="10">
        <v>45729</v>
      </c>
      <c r="E533" s="11" t="str">
        <f>+HYPERLINK("http://trademark.i-assist.jp/data/china/image_1927th/82147645.pdf","82147645")</f>
        <v>82147645</v>
      </c>
      <c r="F533" s="12" t="s">
        <v>1665</v>
      </c>
      <c r="G533" s="9" t="s">
        <v>53</v>
      </c>
      <c r="H533" s="9" t="s">
        <v>1666</v>
      </c>
      <c r="I533" s="10">
        <v>45621</v>
      </c>
    </row>
    <row r="534" spans="1:9" x14ac:dyDescent="0.15">
      <c r="A534" s="9">
        <v>533</v>
      </c>
      <c r="B534" s="9" t="s">
        <v>9</v>
      </c>
      <c r="C534" s="9">
        <v>1927</v>
      </c>
      <c r="D534" s="10">
        <v>45729</v>
      </c>
      <c r="E534" s="11" t="str">
        <f>+HYPERLINK("http://trademark.i-assist.jp/data/china/image_1927th/82148996.pdf","82148996")</f>
        <v>82148996</v>
      </c>
      <c r="F534" s="9" t="s">
        <v>1667</v>
      </c>
      <c r="G534" s="9" t="s">
        <v>1668</v>
      </c>
      <c r="H534" s="9" t="s">
        <v>1669</v>
      </c>
      <c r="I534" s="10">
        <v>45621</v>
      </c>
    </row>
    <row r="535" spans="1:9" x14ac:dyDescent="0.15">
      <c r="A535" s="9">
        <v>534</v>
      </c>
      <c r="B535" s="9" t="s">
        <v>9</v>
      </c>
      <c r="C535" s="9">
        <v>1927</v>
      </c>
      <c r="D535" s="10">
        <v>45729</v>
      </c>
      <c r="E535" s="11" t="str">
        <f>+HYPERLINK("http://trademark.i-assist.jp/data/china/image_1927th/82150756.pdf","82150756")</f>
        <v>82150756</v>
      </c>
      <c r="F535" s="9" t="s">
        <v>1670</v>
      </c>
      <c r="G535" s="9" t="s">
        <v>1671</v>
      </c>
      <c r="H535" s="12" t="s">
        <v>1672</v>
      </c>
      <c r="I535" s="10">
        <v>45621</v>
      </c>
    </row>
    <row r="536" spans="1:9" x14ac:dyDescent="0.15">
      <c r="A536" s="9">
        <v>535</v>
      </c>
      <c r="B536" s="9" t="s">
        <v>9</v>
      </c>
      <c r="C536" s="9">
        <v>1927</v>
      </c>
      <c r="D536" s="10">
        <v>45729</v>
      </c>
      <c r="E536" s="11" t="str">
        <f>+HYPERLINK("http://trademark.i-assist.jp/data/china/image_1927th/82151503.pdf","82151503")</f>
        <v>82151503</v>
      </c>
      <c r="F536" s="9" t="s">
        <v>1673</v>
      </c>
      <c r="G536" s="9" t="s">
        <v>1674</v>
      </c>
      <c r="H536" s="9" t="s">
        <v>1675</v>
      </c>
      <c r="I536" s="10">
        <v>45621</v>
      </c>
    </row>
    <row r="537" spans="1:9" x14ac:dyDescent="0.15">
      <c r="A537" s="9">
        <v>536</v>
      </c>
      <c r="B537" s="9" t="s">
        <v>9</v>
      </c>
      <c r="C537" s="9">
        <v>1927</v>
      </c>
      <c r="D537" s="10">
        <v>45729</v>
      </c>
      <c r="E537" s="11" t="str">
        <f>+HYPERLINK("http://trademark.i-assist.jp/data/china/image_1927th/82151742.pdf","82151742")</f>
        <v>82151742</v>
      </c>
      <c r="F537" s="9" t="s">
        <v>1676</v>
      </c>
      <c r="G537" s="9" t="s">
        <v>1677</v>
      </c>
      <c r="H537" s="9" t="s">
        <v>1678</v>
      </c>
      <c r="I537" s="10">
        <v>45621</v>
      </c>
    </row>
    <row r="538" spans="1:9" x14ac:dyDescent="0.15">
      <c r="A538" s="9">
        <v>537</v>
      </c>
      <c r="B538" s="9" t="s">
        <v>9</v>
      </c>
      <c r="C538" s="9">
        <v>1927</v>
      </c>
      <c r="D538" s="10">
        <v>45729</v>
      </c>
      <c r="E538" s="11" t="str">
        <f>+HYPERLINK("http://trademark.i-assist.jp/data/china/image_1927th/82152801.pdf","82152801")</f>
        <v>82152801</v>
      </c>
      <c r="F538" s="9" t="s">
        <v>1679</v>
      </c>
      <c r="G538" s="9" t="s">
        <v>1079</v>
      </c>
      <c r="H538" s="9" t="s">
        <v>1680</v>
      </c>
      <c r="I538" s="10">
        <v>45621</v>
      </c>
    </row>
    <row r="539" spans="1:9" x14ac:dyDescent="0.15">
      <c r="A539" s="9">
        <v>538</v>
      </c>
      <c r="B539" s="9" t="s">
        <v>9</v>
      </c>
      <c r="C539" s="9">
        <v>1927</v>
      </c>
      <c r="D539" s="10">
        <v>45729</v>
      </c>
      <c r="E539" s="11" t="str">
        <f>+HYPERLINK("http://trademark.i-assist.jp/data/china/image_1927th/82152901.pdf","82152901")</f>
        <v>82152901</v>
      </c>
      <c r="F539" s="9" t="s">
        <v>1681</v>
      </c>
      <c r="G539" s="9" t="s">
        <v>1682</v>
      </c>
      <c r="H539" s="9" t="s">
        <v>1683</v>
      </c>
      <c r="I539" s="10">
        <v>45621</v>
      </c>
    </row>
    <row r="540" spans="1:9" x14ac:dyDescent="0.15">
      <c r="A540" s="9">
        <v>539</v>
      </c>
      <c r="B540" s="9" t="s">
        <v>9</v>
      </c>
      <c r="C540" s="9">
        <v>1927</v>
      </c>
      <c r="D540" s="10">
        <v>45729</v>
      </c>
      <c r="E540" s="11" t="str">
        <f>+HYPERLINK("http://trademark.i-assist.jp/data/china/image_1927th/82153173.pdf","82153173")</f>
        <v>82153173</v>
      </c>
      <c r="F540" s="9" t="s">
        <v>1684</v>
      </c>
      <c r="G540" s="9" t="s">
        <v>1685</v>
      </c>
      <c r="H540" s="9" t="s">
        <v>1686</v>
      </c>
      <c r="I540" s="10">
        <v>45621</v>
      </c>
    </row>
    <row r="541" spans="1:9" x14ac:dyDescent="0.15">
      <c r="A541" s="9">
        <v>540</v>
      </c>
      <c r="B541" s="9" t="s">
        <v>9</v>
      </c>
      <c r="C541" s="9">
        <v>1927</v>
      </c>
      <c r="D541" s="10">
        <v>45729</v>
      </c>
      <c r="E541" s="11" t="str">
        <f>+HYPERLINK("http://trademark.i-assist.jp/data/china/image_1927th/82154328.pdf","82154328")</f>
        <v>82154328</v>
      </c>
      <c r="F541" s="9" t="s">
        <v>1687</v>
      </c>
      <c r="G541" s="9" t="s">
        <v>122</v>
      </c>
      <c r="H541" s="9" t="s">
        <v>1688</v>
      </c>
      <c r="I541" s="10">
        <v>45621</v>
      </c>
    </row>
    <row r="542" spans="1:9" x14ac:dyDescent="0.15">
      <c r="A542" s="9">
        <v>541</v>
      </c>
      <c r="B542" s="9" t="s">
        <v>9</v>
      </c>
      <c r="C542" s="9">
        <v>1927</v>
      </c>
      <c r="D542" s="10">
        <v>45729</v>
      </c>
      <c r="E542" s="11" t="str">
        <f>+HYPERLINK("http://trademark.i-assist.jp/data/china/image_1927th/82154507.pdf","82154507")</f>
        <v>82154507</v>
      </c>
      <c r="F542" s="9" t="s">
        <v>1689</v>
      </c>
      <c r="G542" s="9" t="s">
        <v>124</v>
      </c>
      <c r="H542" s="9" t="s">
        <v>1690</v>
      </c>
      <c r="I542" s="10">
        <v>45621</v>
      </c>
    </row>
    <row r="543" spans="1:9" x14ac:dyDescent="0.15">
      <c r="A543" s="9">
        <v>542</v>
      </c>
      <c r="B543" s="9" t="s">
        <v>9</v>
      </c>
      <c r="C543" s="9">
        <v>1927</v>
      </c>
      <c r="D543" s="10">
        <v>45729</v>
      </c>
      <c r="E543" s="11" t="str">
        <f>+HYPERLINK("http://trademark.i-assist.jp/data/china/image_1927th/82155425.pdf","82155425")</f>
        <v>82155425</v>
      </c>
      <c r="F543" s="9" t="s">
        <v>1691</v>
      </c>
      <c r="G543" s="9" t="s">
        <v>1692</v>
      </c>
      <c r="H543" s="9" t="s">
        <v>1693</v>
      </c>
      <c r="I543" s="10">
        <v>45621</v>
      </c>
    </row>
    <row r="544" spans="1:9" x14ac:dyDescent="0.15">
      <c r="A544" s="9">
        <v>543</v>
      </c>
      <c r="B544" s="9" t="s">
        <v>9</v>
      </c>
      <c r="C544" s="9">
        <v>1927</v>
      </c>
      <c r="D544" s="10">
        <v>45729</v>
      </c>
      <c r="E544" s="11" t="str">
        <f>+HYPERLINK("http://trademark.i-assist.jp/data/china/image_1927th/82155498.pdf","82155498")</f>
        <v>82155498</v>
      </c>
      <c r="F544" s="12" t="s">
        <v>1694</v>
      </c>
      <c r="G544" s="9" t="s">
        <v>1695</v>
      </c>
      <c r="H544" s="12" t="s">
        <v>1696</v>
      </c>
      <c r="I544" s="10">
        <v>45621</v>
      </c>
    </row>
    <row r="545" spans="1:9" x14ac:dyDescent="0.15">
      <c r="A545" s="9">
        <v>544</v>
      </c>
      <c r="B545" s="9" t="s">
        <v>9</v>
      </c>
      <c r="C545" s="9">
        <v>1927</v>
      </c>
      <c r="D545" s="10">
        <v>45729</v>
      </c>
      <c r="E545" s="11" t="str">
        <f>+HYPERLINK("http://trademark.i-assist.jp/data/china/image_1927th/82156418.pdf","82156418")</f>
        <v>82156418</v>
      </c>
      <c r="F545" s="9" t="s">
        <v>1697</v>
      </c>
      <c r="G545" s="9" t="s">
        <v>125</v>
      </c>
      <c r="H545" s="9" t="s">
        <v>1698</v>
      </c>
      <c r="I545" s="10">
        <v>45621</v>
      </c>
    </row>
    <row r="546" spans="1:9" x14ac:dyDescent="0.15">
      <c r="A546" s="9">
        <v>545</v>
      </c>
      <c r="B546" s="9" t="s">
        <v>9</v>
      </c>
      <c r="C546" s="9">
        <v>1927</v>
      </c>
      <c r="D546" s="10">
        <v>45729</v>
      </c>
      <c r="E546" s="11" t="str">
        <f>+HYPERLINK("http://trademark.i-assist.jp/data/china/image_1927th/82156498.pdf","82156498")</f>
        <v>82156498</v>
      </c>
      <c r="F546" s="9" t="s">
        <v>1699</v>
      </c>
      <c r="G546" s="12" t="s">
        <v>1700</v>
      </c>
      <c r="H546" s="9" t="s">
        <v>1701</v>
      </c>
      <c r="I546" s="10">
        <v>45621</v>
      </c>
    </row>
    <row r="547" spans="1:9" x14ac:dyDescent="0.15">
      <c r="A547" s="9">
        <v>546</v>
      </c>
      <c r="B547" s="9" t="s">
        <v>9</v>
      </c>
      <c r="C547" s="9">
        <v>1927</v>
      </c>
      <c r="D547" s="10">
        <v>45729</v>
      </c>
      <c r="E547" s="11" t="str">
        <f>+HYPERLINK("http://trademark.i-assist.jp/data/china/image_1927th/82158227.pdf","82158227")</f>
        <v>82158227</v>
      </c>
      <c r="F547" s="9" t="s">
        <v>1702</v>
      </c>
      <c r="G547" s="9" t="s">
        <v>1703</v>
      </c>
      <c r="H547" s="9" t="s">
        <v>1704</v>
      </c>
      <c r="I547" s="10">
        <v>45621</v>
      </c>
    </row>
    <row r="548" spans="1:9" x14ac:dyDescent="0.15">
      <c r="A548" s="9">
        <v>547</v>
      </c>
      <c r="B548" s="9" t="s">
        <v>9</v>
      </c>
      <c r="C548" s="9">
        <v>1927</v>
      </c>
      <c r="D548" s="10">
        <v>45729</v>
      </c>
      <c r="E548" s="11" t="str">
        <f>+HYPERLINK("http://trademark.i-assist.jp/data/china/image_1927th/82158890.pdf","82158890")</f>
        <v>82158890</v>
      </c>
      <c r="F548" s="12" t="s">
        <v>1705</v>
      </c>
      <c r="G548" s="9" t="s">
        <v>69</v>
      </c>
      <c r="H548" s="9" t="s">
        <v>1706</v>
      </c>
      <c r="I548" s="10">
        <v>45621</v>
      </c>
    </row>
    <row r="549" spans="1:9" x14ac:dyDescent="0.15">
      <c r="A549" s="9">
        <v>548</v>
      </c>
      <c r="B549" s="9" t="s">
        <v>9</v>
      </c>
      <c r="C549" s="9">
        <v>1927</v>
      </c>
      <c r="D549" s="10">
        <v>45729</v>
      </c>
      <c r="E549" s="11" t="str">
        <f>+HYPERLINK("http://trademark.i-assist.jp/data/china/image_1927th/82159521.pdf","82159521")</f>
        <v>82159521</v>
      </c>
      <c r="F549" s="9" t="s">
        <v>1707</v>
      </c>
      <c r="G549" s="12" t="s">
        <v>123</v>
      </c>
      <c r="H549" s="9" t="s">
        <v>1708</v>
      </c>
      <c r="I549" s="10">
        <v>45621</v>
      </c>
    </row>
    <row r="550" spans="1:9" x14ac:dyDescent="0.15">
      <c r="A550" s="9">
        <v>549</v>
      </c>
      <c r="B550" s="9" t="s">
        <v>9</v>
      </c>
      <c r="C550" s="9">
        <v>1927</v>
      </c>
      <c r="D550" s="10">
        <v>45729</v>
      </c>
      <c r="E550" s="11" t="str">
        <f>+HYPERLINK("http://trademark.i-assist.jp/data/china/image_1927th/82159666.pdf","82159666")</f>
        <v>82159666</v>
      </c>
      <c r="F550" s="9" t="s">
        <v>1709</v>
      </c>
      <c r="G550" s="9" t="s">
        <v>42</v>
      </c>
      <c r="H550" s="9" t="s">
        <v>1710</v>
      </c>
      <c r="I550" s="10">
        <v>45621</v>
      </c>
    </row>
    <row r="551" spans="1:9" x14ac:dyDescent="0.15">
      <c r="A551" s="9">
        <v>550</v>
      </c>
      <c r="B551" s="9" t="s">
        <v>9</v>
      </c>
      <c r="C551" s="9">
        <v>1927</v>
      </c>
      <c r="D551" s="10">
        <v>45729</v>
      </c>
      <c r="E551" s="11" t="str">
        <f>+HYPERLINK("http://trademark.i-assist.jp/data/china/image_1927th/82160074.pdf","82160074")</f>
        <v>82160074</v>
      </c>
      <c r="F551" s="12" t="s">
        <v>16</v>
      </c>
      <c r="G551" s="9" t="s">
        <v>1711</v>
      </c>
      <c r="H551" s="12" t="s">
        <v>1712</v>
      </c>
      <c r="I551" s="10">
        <v>45621</v>
      </c>
    </row>
    <row r="552" spans="1:9" x14ac:dyDescent="0.15">
      <c r="A552" s="9">
        <v>551</v>
      </c>
      <c r="B552" s="9" t="s">
        <v>9</v>
      </c>
      <c r="C552" s="9">
        <v>1927</v>
      </c>
      <c r="D552" s="10">
        <v>45729</v>
      </c>
      <c r="E552" s="11" t="str">
        <f>+HYPERLINK("http://trademark.i-assist.jp/data/china/image_1927th/82160262.pdf","82160262")</f>
        <v>82160262</v>
      </c>
      <c r="F552" s="9" t="s">
        <v>1713</v>
      </c>
      <c r="G552" s="9" t="s">
        <v>1714</v>
      </c>
      <c r="H552" s="9" t="s">
        <v>1715</v>
      </c>
      <c r="I552" s="10">
        <v>45621</v>
      </c>
    </row>
    <row r="553" spans="1:9" x14ac:dyDescent="0.15">
      <c r="A553" s="9">
        <v>552</v>
      </c>
      <c r="B553" s="9" t="s">
        <v>9</v>
      </c>
      <c r="C553" s="9">
        <v>1927</v>
      </c>
      <c r="D553" s="10">
        <v>45729</v>
      </c>
      <c r="E553" s="11" t="str">
        <f>+HYPERLINK("http://trademark.i-assist.jp/data/china/image_1927th/82160769.pdf","82160769")</f>
        <v>82160769</v>
      </c>
      <c r="F553" s="9" t="s">
        <v>1716</v>
      </c>
      <c r="G553" s="9" t="s">
        <v>1717</v>
      </c>
      <c r="H553" s="12" t="s">
        <v>1718</v>
      </c>
      <c r="I553" s="10">
        <v>45621</v>
      </c>
    </row>
    <row r="554" spans="1:9" x14ac:dyDescent="0.15">
      <c r="A554" s="9">
        <v>553</v>
      </c>
      <c r="B554" s="9" t="s">
        <v>9</v>
      </c>
      <c r="C554" s="9">
        <v>1927</v>
      </c>
      <c r="D554" s="10">
        <v>45729</v>
      </c>
      <c r="E554" s="11" t="str">
        <f>+HYPERLINK("http://trademark.i-assist.jp/data/china/image_1927th/82161014.pdf","82161014")</f>
        <v>82161014</v>
      </c>
      <c r="F554" s="9" t="s">
        <v>1719</v>
      </c>
      <c r="G554" s="9" t="s">
        <v>1720</v>
      </c>
      <c r="H554" s="9" t="s">
        <v>1721</v>
      </c>
      <c r="I554" s="10">
        <v>45621</v>
      </c>
    </row>
    <row r="555" spans="1:9" x14ac:dyDescent="0.15">
      <c r="A555" s="9">
        <v>554</v>
      </c>
      <c r="B555" s="9" t="s">
        <v>9</v>
      </c>
      <c r="C555" s="9">
        <v>1927</v>
      </c>
      <c r="D555" s="10">
        <v>45729</v>
      </c>
      <c r="E555" s="11" t="str">
        <f>+HYPERLINK("http://trademark.i-assist.jp/data/china/image_1927th/82161360.pdf","82161360")</f>
        <v>82161360</v>
      </c>
      <c r="F555" s="9" t="s">
        <v>1722</v>
      </c>
      <c r="G555" s="9" t="s">
        <v>1723</v>
      </c>
      <c r="H555" s="9" t="s">
        <v>1724</v>
      </c>
      <c r="I555" s="10">
        <v>45621</v>
      </c>
    </row>
    <row r="556" spans="1:9" x14ac:dyDescent="0.15">
      <c r="A556" s="9">
        <v>555</v>
      </c>
      <c r="B556" s="9" t="s">
        <v>9</v>
      </c>
      <c r="C556" s="9">
        <v>1927</v>
      </c>
      <c r="D556" s="10">
        <v>45729</v>
      </c>
      <c r="E556" s="11" t="str">
        <f>+HYPERLINK("http://trademark.i-assist.jp/data/china/image_1927th/82162031.pdf","82162031")</f>
        <v>82162031</v>
      </c>
      <c r="F556" s="9" t="s">
        <v>1725</v>
      </c>
      <c r="G556" s="12" t="s">
        <v>1726</v>
      </c>
      <c r="H556" s="9" t="s">
        <v>1727</v>
      </c>
      <c r="I556" s="10">
        <v>45621</v>
      </c>
    </row>
    <row r="557" spans="1:9" x14ac:dyDescent="0.15">
      <c r="A557" s="9">
        <v>556</v>
      </c>
      <c r="B557" s="9" t="s">
        <v>9</v>
      </c>
      <c r="C557" s="9">
        <v>1927</v>
      </c>
      <c r="D557" s="10">
        <v>45729</v>
      </c>
      <c r="E557" s="11" t="str">
        <f>+HYPERLINK("http://trademark.i-assist.jp/data/china/image_1927th/82162108.pdf","82162108")</f>
        <v>82162108</v>
      </c>
      <c r="F557" s="12" t="s">
        <v>1728</v>
      </c>
      <c r="G557" s="9" t="s">
        <v>1663</v>
      </c>
      <c r="H557" s="9" t="s">
        <v>1729</v>
      </c>
      <c r="I557" s="10">
        <v>45621</v>
      </c>
    </row>
    <row r="558" spans="1:9" x14ac:dyDescent="0.15">
      <c r="A558" s="9">
        <v>557</v>
      </c>
      <c r="B558" s="9" t="s">
        <v>9</v>
      </c>
      <c r="C558" s="9">
        <v>1927</v>
      </c>
      <c r="D558" s="10">
        <v>45729</v>
      </c>
      <c r="E558" s="11" t="str">
        <f>+HYPERLINK("http://trademark.i-assist.jp/data/china/image_1927th/82162450.pdf","82162450")</f>
        <v>82162450</v>
      </c>
      <c r="F558" s="9" t="s">
        <v>1730</v>
      </c>
      <c r="G558" s="9" t="s">
        <v>1731</v>
      </c>
      <c r="H558" s="9" t="s">
        <v>1732</v>
      </c>
      <c r="I558" s="10">
        <v>45621</v>
      </c>
    </row>
    <row r="559" spans="1:9" x14ac:dyDescent="0.15">
      <c r="A559" s="9">
        <v>558</v>
      </c>
      <c r="B559" s="9" t="s">
        <v>9</v>
      </c>
      <c r="C559" s="9">
        <v>1927</v>
      </c>
      <c r="D559" s="10">
        <v>45729</v>
      </c>
      <c r="E559" s="11" t="str">
        <f>+HYPERLINK("http://trademark.i-assist.jp/data/china/image_1927th/82165005.pdf","82165005")</f>
        <v>82165005</v>
      </c>
      <c r="F559" s="9" t="s">
        <v>1733</v>
      </c>
      <c r="G559" s="9" t="s">
        <v>1734</v>
      </c>
      <c r="H559" s="9" t="s">
        <v>1735</v>
      </c>
      <c r="I559" s="10">
        <v>45621</v>
      </c>
    </row>
    <row r="560" spans="1:9" x14ac:dyDescent="0.15">
      <c r="A560" s="9">
        <v>559</v>
      </c>
      <c r="B560" s="9" t="s">
        <v>9</v>
      </c>
      <c r="C560" s="9">
        <v>1927</v>
      </c>
      <c r="D560" s="10">
        <v>45729</v>
      </c>
      <c r="E560" s="11" t="str">
        <f>+HYPERLINK("http://trademark.i-assist.jp/data/china/image_1927th/82166730.pdf","82166730")</f>
        <v>82166730</v>
      </c>
      <c r="F560" s="9" t="s">
        <v>1673</v>
      </c>
      <c r="G560" s="9" t="s">
        <v>1674</v>
      </c>
      <c r="H560" s="9" t="s">
        <v>1736</v>
      </c>
      <c r="I560" s="10">
        <v>45621</v>
      </c>
    </row>
    <row r="561" spans="1:9" x14ac:dyDescent="0.15">
      <c r="A561" s="9">
        <v>560</v>
      </c>
      <c r="B561" s="9" t="s">
        <v>9</v>
      </c>
      <c r="C561" s="9">
        <v>1927</v>
      </c>
      <c r="D561" s="10">
        <v>45729</v>
      </c>
      <c r="E561" s="11" t="str">
        <f>+HYPERLINK("http://trademark.i-assist.jp/data/china/image_1927th/82168816.pdf","82168816")</f>
        <v>82168816</v>
      </c>
      <c r="F561" s="9" t="s">
        <v>1737</v>
      </c>
      <c r="G561" s="9" t="s">
        <v>1738</v>
      </c>
      <c r="H561" s="9" t="s">
        <v>1739</v>
      </c>
      <c r="I561" s="10">
        <v>45621</v>
      </c>
    </row>
    <row r="562" spans="1:9" x14ac:dyDescent="0.15">
      <c r="A562" s="9">
        <v>561</v>
      </c>
      <c r="B562" s="9" t="s">
        <v>9</v>
      </c>
      <c r="C562" s="9">
        <v>1927</v>
      </c>
      <c r="D562" s="10">
        <v>45729</v>
      </c>
      <c r="E562" s="11" t="str">
        <f>+HYPERLINK("http://trademark.i-assist.jp/data/china/image_1927th/82168821.pdf","82168821")</f>
        <v>82168821</v>
      </c>
      <c r="F562" s="12" t="s">
        <v>1740</v>
      </c>
      <c r="G562" s="12" t="s">
        <v>1741</v>
      </c>
      <c r="H562" s="9" t="s">
        <v>1742</v>
      </c>
      <c r="I562" s="10">
        <v>45621</v>
      </c>
    </row>
    <row r="563" spans="1:9" x14ac:dyDescent="0.15">
      <c r="A563" s="9">
        <v>562</v>
      </c>
      <c r="B563" s="9" t="s">
        <v>9</v>
      </c>
      <c r="C563" s="9">
        <v>1927</v>
      </c>
      <c r="D563" s="10">
        <v>45729</v>
      </c>
      <c r="E563" s="11" t="str">
        <f>+HYPERLINK("http://trademark.i-assist.jp/data/china/image_1927th/82168828.pdf","82168828")</f>
        <v>82168828</v>
      </c>
      <c r="F563" s="9" t="s">
        <v>1743</v>
      </c>
      <c r="G563" s="9" t="s">
        <v>1744</v>
      </c>
      <c r="H563" s="9" t="s">
        <v>1745</v>
      </c>
      <c r="I563" s="10">
        <v>45621</v>
      </c>
    </row>
    <row r="564" spans="1:9" x14ac:dyDescent="0.15">
      <c r="A564" s="9">
        <v>563</v>
      </c>
      <c r="B564" s="9" t="s">
        <v>9</v>
      </c>
      <c r="C564" s="9">
        <v>1927</v>
      </c>
      <c r="D564" s="10">
        <v>45729</v>
      </c>
      <c r="E564" s="11" t="str">
        <f>+HYPERLINK("http://trademark.i-assist.jp/data/china/image_1927th/82174267.pdf","82174267")</f>
        <v>82174267</v>
      </c>
      <c r="F564" s="12" t="s">
        <v>1746</v>
      </c>
      <c r="G564" s="12" t="s">
        <v>1747</v>
      </c>
      <c r="H564" s="9" t="s">
        <v>1748</v>
      </c>
      <c r="I564" s="10">
        <v>45621</v>
      </c>
    </row>
    <row r="565" spans="1:9" x14ac:dyDescent="0.15">
      <c r="A565" s="9">
        <v>564</v>
      </c>
      <c r="B565" s="9" t="s">
        <v>9</v>
      </c>
      <c r="C565" s="9">
        <v>1927</v>
      </c>
      <c r="D565" s="10">
        <v>45729</v>
      </c>
      <c r="E565" s="11" t="str">
        <f>+HYPERLINK("http://trademark.i-assist.jp/data/china/image_1927th/82174354.pdf","82174354")</f>
        <v>82174354</v>
      </c>
      <c r="F565" s="9" t="s">
        <v>1749</v>
      </c>
      <c r="G565" s="9" t="s">
        <v>1663</v>
      </c>
      <c r="H565" s="9" t="s">
        <v>1750</v>
      </c>
      <c r="I565" s="10">
        <v>45621</v>
      </c>
    </row>
    <row r="566" spans="1:9" x14ac:dyDescent="0.15">
      <c r="A566" s="9">
        <v>565</v>
      </c>
      <c r="B566" s="9" t="s">
        <v>9</v>
      </c>
      <c r="C566" s="9">
        <v>1927</v>
      </c>
      <c r="D566" s="10">
        <v>45729</v>
      </c>
      <c r="E566" s="11" t="str">
        <f>+HYPERLINK("http://trademark.i-assist.jp/data/china/image_1927th/82174457.pdf","82174457")</f>
        <v>82174457</v>
      </c>
      <c r="F566" s="9" t="s">
        <v>1751</v>
      </c>
      <c r="G566" s="9" t="s">
        <v>845</v>
      </c>
      <c r="H566" s="9" t="s">
        <v>1752</v>
      </c>
      <c r="I566" s="10">
        <v>45621</v>
      </c>
    </row>
    <row r="567" spans="1:9" x14ac:dyDescent="0.15">
      <c r="A567" s="9">
        <v>566</v>
      </c>
      <c r="B567" s="9" t="s">
        <v>9</v>
      </c>
      <c r="C567" s="9">
        <v>1927</v>
      </c>
      <c r="D567" s="10">
        <v>45729</v>
      </c>
      <c r="E567" s="11" t="str">
        <f>+HYPERLINK("http://trademark.i-assist.jp/data/china/image_1927th/82174704.pdf","82174704")</f>
        <v>82174704</v>
      </c>
      <c r="F567" s="12" t="s">
        <v>1753</v>
      </c>
      <c r="G567" s="9" t="s">
        <v>69</v>
      </c>
      <c r="H567" s="9" t="s">
        <v>1754</v>
      </c>
      <c r="I567" s="10">
        <v>45621</v>
      </c>
    </row>
    <row r="568" spans="1:9" x14ac:dyDescent="0.15">
      <c r="A568" s="9">
        <v>567</v>
      </c>
      <c r="B568" s="9" t="s">
        <v>9</v>
      </c>
      <c r="C568" s="9">
        <v>1927</v>
      </c>
      <c r="D568" s="10">
        <v>45729</v>
      </c>
      <c r="E568" s="11" t="str">
        <f>+HYPERLINK("http://trademark.i-assist.jp/data/china/image_1927th/82175494.pdf","82175494")</f>
        <v>82175494</v>
      </c>
      <c r="F568" s="12" t="s">
        <v>1755</v>
      </c>
      <c r="G568" s="12" t="s">
        <v>1756</v>
      </c>
      <c r="H568" s="9" t="s">
        <v>1757</v>
      </c>
      <c r="I568" s="10">
        <v>45622</v>
      </c>
    </row>
    <row r="569" spans="1:9" x14ac:dyDescent="0.15">
      <c r="A569" s="9">
        <v>568</v>
      </c>
      <c r="B569" s="9" t="s">
        <v>9</v>
      </c>
      <c r="C569" s="9">
        <v>1927</v>
      </c>
      <c r="D569" s="10">
        <v>45729</v>
      </c>
      <c r="E569" s="11" t="str">
        <f>+HYPERLINK("http://trademark.i-assist.jp/data/china/image_1927th/82175753.pdf","82175753")</f>
        <v>82175753</v>
      </c>
      <c r="F569" s="12" t="s">
        <v>1758</v>
      </c>
      <c r="G569" s="9" t="s">
        <v>1759</v>
      </c>
      <c r="H569" s="9" t="s">
        <v>1760</v>
      </c>
      <c r="I569" s="10">
        <v>45622</v>
      </c>
    </row>
    <row r="570" spans="1:9" x14ac:dyDescent="0.15">
      <c r="A570" s="9">
        <v>569</v>
      </c>
      <c r="B570" s="9" t="s">
        <v>9</v>
      </c>
      <c r="C570" s="9">
        <v>1927</v>
      </c>
      <c r="D570" s="10">
        <v>45729</v>
      </c>
      <c r="E570" s="11" t="str">
        <f>+HYPERLINK("http://trademark.i-assist.jp/data/china/image_1927th/82176978.pdf","82176978")</f>
        <v>82176978</v>
      </c>
      <c r="F570" s="9" t="s">
        <v>1761</v>
      </c>
      <c r="G570" s="9" t="s">
        <v>18</v>
      </c>
      <c r="H570" s="9" t="s">
        <v>1762</v>
      </c>
      <c r="I570" s="10">
        <v>45622</v>
      </c>
    </row>
    <row r="571" spans="1:9" x14ac:dyDescent="0.15">
      <c r="A571" s="9">
        <v>570</v>
      </c>
      <c r="B571" s="9" t="s">
        <v>9</v>
      </c>
      <c r="C571" s="9">
        <v>1927</v>
      </c>
      <c r="D571" s="10">
        <v>45729</v>
      </c>
      <c r="E571" s="11" t="str">
        <f>+HYPERLINK("http://trademark.i-assist.jp/data/china/image_1927th/82177457.pdf","82177457")</f>
        <v>82177457</v>
      </c>
      <c r="F571" s="9" t="s">
        <v>1763</v>
      </c>
      <c r="G571" s="9" t="s">
        <v>1764</v>
      </c>
      <c r="H571" s="9" t="s">
        <v>1765</v>
      </c>
      <c r="I571" s="10">
        <v>45622</v>
      </c>
    </row>
    <row r="572" spans="1:9" x14ac:dyDescent="0.15">
      <c r="A572" s="9">
        <v>571</v>
      </c>
      <c r="B572" s="9" t="s">
        <v>9</v>
      </c>
      <c r="C572" s="9">
        <v>1927</v>
      </c>
      <c r="D572" s="10">
        <v>45729</v>
      </c>
      <c r="E572" s="11" t="str">
        <f>+HYPERLINK("http://trademark.i-assist.jp/data/china/image_1927th/82178583.pdf","82178583")</f>
        <v>82178583</v>
      </c>
      <c r="F572" s="9" t="s">
        <v>1766</v>
      </c>
      <c r="G572" s="9" t="s">
        <v>1767</v>
      </c>
      <c r="H572" s="9" t="s">
        <v>1768</v>
      </c>
      <c r="I572" s="10">
        <v>45622</v>
      </c>
    </row>
    <row r="573" spans="1:9" x14ac:dyDescent="0.15">
      <c r="A573" s="9">
        <v>572</v>
      </c>
      <c r="B573" s="9" t="s">
        <v>9</v>
      </c>
      <c r="C573" s="9">
        <v>1927</v>
      </c>
      <c r="D573" s="10">
        <v>45729</v>
      </c>
      <c r="E573" s="11" t="str">
        <f>+HYPERLINK("http://trademark.i-assist.jp/data/china/image_1927th/82178799.pdf","82178799")</f>
        <v>82178799</v>
      </c>
      <c r="F573" s="9" t="s">
        <v>1769</v>
      </c>
      <c r="G573" s="9" t="s">
        <v>1770</v>
      </c>
      <c r="H573" s="9" t="s">
        <v>1771</v>
      </c>
      <c r="I573" s="10">
        <v>45622</v>
      </c>
    </row>
    <row r="574" spans="1:9" x14ac:dyDescent="0.15">
      <c r="A574" s="9">
        <v>573</v>
      </c>
      <c r="B574" s="9" t="s">
        <v>9</v>
      </c>
      <c r="C574" s="9">
        <v>1927</v>
      </c>
      <c r="D574" s="10">
        <v>45729</v>
      </c>
      <c r="E574" s="11" t="str">
        <f>+HYPERLINK("http://trademark.i-assist.jp/data/china/image_1927th/82179617.pdf","82179617")</f>
        <v>82179617</v>
      </c>
      <c r="F574" s="9" t="s">
        <v>1772</v>
      </c>
      <c r="G574" s="9" t="s">
        <v>1773</v>
      </c>
      <c r="H574" s="9" t="s">
        <v>1774</v>
      </c>
      <c r="I574" s="10">
        <v>45622</v>
      </c>
    </row>
    <row r="575" spans="1:9" x14ac:dyDescent="0.15">
      <c r="A575" s="9">
        <v>574</v>
      </c>
      <c r="B575" s="9" t="s">
        <v>9</v>
      </c>
      <c r="C575" s="9">
        <v>1927</v>
      </c>
      <c r="D575" s="10">
        <v>45729</v>
      </c>
      <c r="E575" s="11" t="str">
        <f>+HYPERLINK("http://trademark.i-assist.jp/data/china/image_1927th/82179795.pdf","82179795")</f>
        <v>82179795</v>
      </c>
      <c r="F575" s="9" t="s">
        <v>1775</v>
      </c>
      <c r="G575" s="9" t="s">
        <v>1776</v>
      </c>
      <c r="H575" s="9" t="s">
        <v>1777</v>
      </c>
      <c r="I575" s="10">
        <v>45622</v>
      </c>
    </row>
    <row r="576" spans="1:9" x14ac:dyDescent="0.15">
      <c r="A576" s="9">
        <v>575</v>
      </c>
      <c r="B576" s="9" t="s">
        <v>9</v>
      </c>
      <c r="C576" s="9">
        <v>1927</v>
      </c>
      <c r="D576" s="10">
        <v>45729</v>
      </c>
      <c r="E576" s="11" t="str">
        <f>+HYPERLINK("http://trademark.i-assist.jp/data/china/image_1927th/82179898.pdf","82179898")</f>
        <v>82179898</v>
      </c>
      <c r="F576" s="9" t="s">
        <v>1778</v>
      </c>
      <c r="G576" s="9" t="s">
        <v>1779</v>
      </c>
      <c r="H576" s="9" t="s">
        <v>1780</v>
      </c>
      <c r="I576" s="10">
        <v>45622</v>
      </c>
    </row>
    <row r="577" spans="1:9" x14ac:dyDescent="0.15">
      <c r="A577" s="9">
        <v>576</v>
      </c>
      <c r="B577" s="9" t="s">
        <v>9</v>
      </c>
      <c r="C577" s="9">
        <v>1927</v>
      </c>
      <c r="D577" s="10">
        <v>45729</v>
      </c>
      <c r="E577" s="11" t="str">
        <f>+HYPERLINK("http://trademark.i-assist.jp/data/china/image_1927th/82180808.pdf","82180808")</f>
        <v>82180808</v>
      </c>
      <c r="F577" s="12" t="s">
        <v>1781</v>
      </c>
      <c r="G577" s="9" t="s">
        <v>1782</v>
      </c>
      <c r="H577" s="9" t="s">
        <v>1783</v>
      </c>
      <c r="I577" s="10">
        <v>45622</v>
      </c>
    </row>
    <row r="578" spans="1:9" x14ac:dyDescent="0.15">
      <c r="A578" s="9">
        <v>577</v>
      </c>
      <c r="B578" s="9" t="s">
        <v>9</v>
      </c>
      <c r="C578" s="9">
        <v>1927</v>
      </c>
      <c r="D578" s="10">
        <v>45729</v>
      </c>
      <c r="E578" s="11" t="str">
        <f>+HYPERLINK("http://trademark.i-assist.jp/data/china/image_1927th/82181742.pdf","82181742")</f>
        <v>82181742</v>
      </c>
      <c r="F578" s="9" t="s">
        <v>1784</v>
      </c>
      <c r="G578" s="12" t="s">
        <v>1785</v>
      </c>
      <c r="H578" s="9" t="s">
        <v>1786</v>
      </c>
      <c r="I578" s="10">
        <v>45622</v>
      </c>
    </row>
    <row r="579" spans="1:9" x14ac:dyDescent="0.15">
      <c r="A579" s="9">
        <v>578</v>
      </c>
      <c r="B579" s="9" t="s">
        <v>9</v>
      </c>
      <c r="C579" s="9">
        <v>1927</v>
      </c>
      <c r="D579" s="10">
        <v>45729</v>
      </c>
      <c r="E579" s="11" t="str">
        <f>+HYPERLINK("http://trademark.i-assist.jp/data/china/image_1927th/82182089.pdf","82182089")</f>
        <v>82182089</v>
      </c>
      <c r="F579" s="9" t="s">
        <v>1787</v>
      </c>
      <c r="G579" s="9" t="s">
        <v>1788</v>
      </c>
      <c r="H579" s="9" t="s">
        <v>1789</v>
      </c>
      <c r="I579" s="10">
        <v>45622</v>
      </c>
    </row>
    <row r="580" spans="1:9" x14ac:dyDescent="0.15">
      <c r="A580" s="9">
        <v>579</v>
      </c>
      <c r="B580" s="9" t="s">
        <v>9</v>
      </c>
      <c r="C580" s="9">
        <v>1927</v>
      </c>
      <c r="D580" s="10">
        <v>45729</v>
      </c>
      <c r="E580" s="11" t="str">
        <f>+HYPERLINK("http://trademark.i-assist.jp/data/china/image_1927th/82182508.pdf","82182508")</f>
        <v>82182508</v>
      </c>
      <c r="F580" s="12" t="s">
        <v>1790</v>
      </c>
      <c r="G580" s="12" t="s">
        <v>1756</v>
      </c>
      <c r="H580" s="9" t="s">
        <v>1791</v>
      </c>
      <c r="I580" s="10">
        <v>45622</v>
      </c>
    </row>
    <row r="581" spans="1:9" x14ac:dyDescent="0.15">
      <c r="A581" s="9">
        <v>580</v>
      </c>
      <c r="B581" s="9" t="s">
        <v>9</v>
      </c>
      <c r="C581" s="9">
        <v>1927</v>
      </c>
      <c r="D581" s="10">
        <v>45729</v>
      </c>
      <c r="E581" s="11" t="str">
        <f>+HYPERLINK("http://trademark.i-assist.jp/data/china/image_1927th/82182647.pdf","82182647")</f>
        <v>82182647</v>
      </c>
      <c r="F581" s="9" t="s">
        <v>1792</v>
      </c>
      <c r="G581" s="9" t="s">
        <v>1793</v>
      </c>
      <c r="H581" s="9" t="s">
        <v>1794</v>
      </c>
      <c r="I581" s="10">
        <v>45622</v>
      </c>
    </row>
    <row r="582" spans="1:9" x14ac:dyDescent="0.15">
      <c r="A582" s="9">
        <v>581</v>
      </c>
      <c r="B582" s="9" t="s">
        <v>9</v>
      </c>
      <c r="C582" s="9">
        <v>1927</v>
      </c>
      <c r="D582" s="10">
        <v>45729</v>
      </c>
      <c r="E582" s="11" t="str">
        <f>+HYPERLINK("http://trademark.i-assist.jp/data/china/image_1927th/82184392.pdf","82184392")</f>
        <v>82184392</v>
      </c>
      <c r="F582" s="12" t="s">
        <v>16</v>
      </c>
      <c r="G582" s="9" t="s">
        <v>44</v>
      </c>
      <c r="H582" s="9" t="s">
        <v>1795</v>
      </c>
      <c r="I582" s="10">
        <v>45622</v>
      </c>
    </row>
    <row r="583" spans="1:9" x14ac:dyDescent="0.15">
      <c r="A583" s="9">
        <v>582</v>
      </c>
      <c r="B583" s="9" t="s">
        <v>9</v>
      </c>
      <c r="C583" s="9">
        <v>1927</v>
      </c>
      <c r="D583" s="10">
        <v>45729</v>
      </c>
      <c r="E583" s="11" t="str">
        <f>+HYPERLINK("http://trademark.i-assist.jp/data/china/image_1927th/82184919.pdf","82184919")</f>
        <v>82184919</v>
      </c>
      <c r="F583" s="9" t="s">
        <v>1796</v>
      </c>
      <c r="G583" s="12" t="s">
        <v>1797</v>
      </c>
      <c r="H583" s="9" t="s">
        <v>1798</v>
      </c>
      <c r="I583" s="10">
        <v>45622</v>
      </c>
    </row>
    <row r="584" spans="1:9" x14ac:dyDescent="0.15">
      <c r="A584" s="9">
        <v>583</v>
      </c>
      <c r="B584" s="9" t="s">
        <v>9</v>
      </c>
      <c r="C584" s="9">
        <v>1927</v>
      </c>
      <c r="D584" s="10">
        <v>45729</v>
      </c>
      <c r="E584" s="11" t="str">
        <f>+HYPERLINK("http://trademark.i-assist.jp/data/china/image_1927th/82185123.pdf","82185123")</f>
        <v>82185123</v>
      </c>
      <c r="F584" s="9" t="s">
        <v>1799</v>
      </c>
      <c r="G584" s="9" t="s">
        <v>1800</v>
      </c>
      <c r="H584" s="9" t="s">
        <v>1801</v>
      </c>
      <c r="I584" s="10">
        <v>45622</v>
      </c>
    </row>
    <row r="585" spans="1:9" x14ac:dyDescent="0.15">
      <c r="A585" s="9">
        <v>584</v>
      </c>
      <c r="B585" s="9" t="s">
        <v>9</v>
      </c>
      <c r="C585" s="9">
        <v>1927</v>
      </c>
      <c r="D585" s="10">
        <v>45729</v>
      </c>
      <c r="E585" s="11" t="str">
        <f>+HYPERLINK("http://trademark.i-assist.jp/data/china/image_1927th/82185225.pdf","82185225")</f>
        <v>82185225</v>
      </c>
      <c r="F585" s="9" t="s">
        <v>1802</v>
      </c>
      <c r="G585" s="9" t="s">
        <v>1803</v>
      </c>
      <c r="H585" s="9" t="s">
        <v>1804</v>
      </c>
      <c r="I585" s="10">
        <v>45622</v>
      </c>
    </row>
    <row r="586" spans="1:9" x14ac:dyDescent="0.15">
      <c r="A586" s="9">
        <v>585</v>
      </c>
      <c r="B586" s="9" t="s">
        <v>9</v>
      </c>
      <c r="C586" s="9">
        <v>1927</v>
      </c>
      <c r="D586" s="10">
        <v>45729</v>
      </c>
      <c r="E586" s="11" t="str">
        <f>+HYPERLINK("http://trademark.i-assist.jp/data/china/image_1927th/82185865.pdf","82185865")</f>
        <v>82185865</v>
      </c>
      <c r="F586" s="9" t="s">
        <v>1805</v>
      </c>
      <c r="G586" s="9" t="s">
        <v>1806</v>
      </c>
      <c r="H586" s="12" t="s">
        <v>1807</v>
      </c>
      <c r="I586" s="10">
        <v>45622</v>
      </c>
    </row>
    <row r="587" spans="1:9" x14ac:dyDescent="0.15">
      <c r="A587" s="9">
        <v>586</v>
      </c>
      <c r="B587" s="9" t="s">
        <v>9</v>
      </c>
      <c r="C587" s="9">
        <v>1927</v>
      </c>
      <c r="D587" s="10">
        <v>45729</v>
      </c>
      <c r="E587" s="11" t="str">
        <f>+HYPERLINK("http://trademark.i-assist.jp/data/china/image_1927th/82188227.pdf","82188227")</f>
        <v>82188227</v>
      </c>
      <c r="F587" s="9" t="s">
        <v>1808</v>
      </c>
      <c r="G587" s="9" t="s">
        <v>1809</v>
      </c>
      <c r="H587" s="9" t="s">
        <v>1810</v>
      </c>
      <c r="I587" s="10">
        <v>45622</v>
      </c>
    </row>
    <row r="588" spans="1:9" x14ac:dyDescent="0.15">
      <c r="A588" s="9">
        <v>587</v>
      </c>
      <c r="B588" s="9" t="s">
        <v>9</v>
      </c>
      <c r="C588" s="9">
        <v>1927</v>
      </c>
      <c r="D588" s="10">
        <v>45729</v>
      </c>
      <c r="E588" s="11" t="str">
        <f>+HYPERLINK("http://trademark.i-assist.jp/data/china/image_1927th/82188619.pdf","82188619")</f>
        <v>82188619</v>
      </c>
      <c r="F588" s="12" t="s">
        <v>1811</v>
      </c>
      <c r="G588" s="9" t="s">
        <v>1812</v>
      </c>
      <c r="H588" s="9" t="s">
        <v>1813</v>
      </c>
      <c r="I588" s="10">
        <v>45622</v>
      </c>
    </row>
    <row r="589" spans="1:9" x14ac:dyDescent="0.15">
      <c r="A589" s="9">
        <v>588</v>
      </c>
      <c r="B589" s="9" t="s">
        <v>9</v>
      </c>
      <c r="C589" s="9">
        <v>1927</v>
      </c>
      <c r="D589" s="10">
        <v>45729</v>
      </c>
      <c r="E589" s="11" t="str">
        <f>+HYPERLINK("http://trademark.i-assist.jp/data/china/image_1927th/82189153.pdf","82189153")</f>
        <v>82189153</v>
      </c>
      <c r="F589" s="12" t="s">
        <v>1814</v>
      </c>
      <c r="G589" s="9" t="s">
        <v>1815</v>
      </c>
      <c r="H589" s="9" t="s">
        <v>1816</v>
      </c>
      <c r="I589" s="10">
        <v>45622</v>
      </c>
    </row>
    <row r="590" spans="1:9" x14ac:dyDescent="0.15">
      <c r="A590" s="9">
        <v>589</v>
      </c>
      <c r="B590" s="9" t="s">
        <v>9</v>
      </c>
      <c r="C590" s="9">
        <v>1927</v>
      </c>
      <c r="D590" s="10">
        <v>45729</v>
      </c>
      <c r="E590" s="11" t="str">
        <f>+HYPERLINK("http://trademark.i-assist.jp/data/china/image_1927th/82189292.pdf","82189292")</f>
        <v>82189292</v>
      </c>
      <c r="F590" s="12" t="s">
        <v>16</v>
      </c>
      <c r="G590" s="9" t="s">
        <v>1817</v>
      </c>
      <c r="H590" s="12" t="s">
        <v>1818</v>
      </c>
      <c r="I590" s="10">
        <v>45622</v>
      </c>
    </row>
    <row r="591" spans="1:9" x14ac:dyDescent="0.15">
      <c r="A591" s="9">
        <v>590</v>
      </c>
      <c r="B591" s="9" t="s">
        <v>9</v>
      </c>
      <c r="C591" s="9">
        <v>1927</v>
      </c>
      <c r="D591" s="10">
        <v>45729</v>
      </c>
      <c r="E591" s="11" t="str">
        <f>+HYPERLINK("http://trademark.i-assist.jp/data/china/image_1927th/82189706.pdf","82189706")</f>
        <v>82189706</v>
      </c>
      <c r="F591" s="12" t="s">
        <v>1819</v>
      </c>
      <c r="G591" s="12" t="s">
        <v>1820</v>
      </c>
      <c r="H591" s="9" t="s">
        <v>1821</v>
      </c>
      <c r="I591" s="10">
        <v>45622</v>
      </c>
    </row>
    <row r="592" spans="1:9" x14ac:dyDescent="0.15">
      <c r="A592" s="9">
        <v>591</v>
      </c>
      <c r="B592" s="9" t="s">
        <v>9</v>
      </c>
      <c r="C592" s="9">
        <v>1927</v>
      </c>
      <c r="D592" s="10">
        <v>45729</v>
      </c>
      <c r="E592" s="11" t="str">
        <f>+HYPERLINK("http://trademark.i-assist.jp/data/china/image_1927th/82189968.pdf","82189968")</f>
        <v>82189968</v>
      </c>
      <c r="F592" s="12" t="s">
        <v>1822</v>
      </c>
      <c r="G592" s="9" t="s">
        <v>1823</v>
      </c>
      <c r="H592" s="9" t="s">
        <v>1824</v>
      </c>
      <c r="I592" s="10">
        <v>45622</v>
      </c>
    </row>
    <row r="593" spans="1:9" x14ac:dyDescent="0.15">
      <c r="A593" s="9">
        <v>592</v>
      </c>
      <c r="B593" s="9" t="s">
        <v>9</v>
      </c>
      <c r="C593" s="9">
        <v>1927</v>
      </c>
      <c r="D593" s="10">
        <v>45729</v>
      </c>
      <c r="E593" s="11" t="str">
        <f>+HYPERLINK("http://trademark.i-assist.jp/data/china/image_1927th/82190179.pdf","82190179")</f>
        <v>82190179</v>
      </c>
      <c r="F593" s="9" t="s">
        <v>1825</v>
      </c>
      <c r="G593" s="9" t="s">
        <v>1826</v>
      </c>
      <c r="H593" s="9" t="s">
        <v>1827</v>
      </c>
      <c r="I593" s="10">
        <v>45622</v>
      </c>
    </row>
    <row r="594" spans="1:9" x14ac:dyDescent="0.15">
      <c r="A594" s="9">
        <v>593</v>
      </c>
      <c r="B594" s="9" t="s">
        <v>9</v>
      </c>
      <c r="C594" s="9">
        <v>1927</v>
      </c>
      <c r="D594" s="10">
        <v>45729</v>
      </c>
      <c r="E594" s="11" t="str">
        <f>+HYPERLINK("http://trademark.i-assist.jp/data/china/image_1927th/82191466.pdf","82191466")</f>
        <v>82191466</v>
      </c>
      <c r="F594" s="9" t="s">
        <v>1828</v>
      </c>
      <c r="G594" s="9" t="s">
        <v>1829</v>
      </c>
      <c r="H594" s="9" t="s">
        <v>1830</v>
      </c>
      <c r="I594" s="10">
        <v>45622</v>
      </c>
    </row>
    <row r="595" spans="1:9" x14ac:dyDescent="0.15">
      <c r="A595" s="9">
        <v>594</v>
      </c>
      <c r="B595" s="9" t="s">
        <v>9</v>
      </c>
      <c r="C595" s="9">
        <v>1927</v>
      </c>
      <c r="D595" s="10">
        <v>45729</v>
      </c>
      <c r="E595" s="11" t="str">
        <f>+HYPERLINK("http://trademark.i-assist.jp/data/china/image_1927th/82192320.pdf","82192320")</f>
        <v>82192320</v>
      </c>
      <c r="F595" s="12" t="s">
        <v>16</v>
      </c>
      <c r="G595" s="9" t="s">
        <v>1831</v>
      </c>
      <c r="H595" s="9" t="s">
        <v>1832</v>
      </c>
      <c r="I595" s="10">
        <v>45622</v>
      </c>
    </row>
    <row r="596" spans="1:9" x14ac:dyDescent="0.15">
      <c r="A596" s="9">
        <v>595</v>
      </c>
      <c r="B596" s="9" t="s">
        <v>9</v>
      </c>
      <c r="C596" s="9">
        <v>1927</v>
      </c>
      <c r="D596" s="10">
        <v>45729</v>
      </c>
      <c r="E596" s="11" t="str">
        <f>+HYPERLINK("http://trademark.i-assist.jp/data/china/image_1927th/82192834.pdf","82192834")</f>
        <v>82192834</v>
      </c>
      <c r="F596" s="9" t="s">
        <v>1833</v>
      </c>
      <c r="G596" s="9" t="s">
        <v>124</v>
      </c>
      <c r="H596" s="9" t="s">
        <v>1834</v>
      </c>
      <c r="I596" s="10">
        <v>45622</v>
      </c>
    </row>
    <row r="597" spans="1:9" x14ac:dyDescent="0.15">
      <c r="A597" s="9">
        <v>596</v>
      </c>
      <c r="B597" s="9" t="s">
        <v>9</v>
      </c>
      <c r="C597" s="9">
        <v>1927</v>
      </c>
      <c r="D597" s="10">
        <v>45729</v>
      </c>
      <c r="E597" s="11" t="str">
        <f>+HYPERLINK("http://trademark.i-assist.jp/data/china/image_1927th/82193469.pdf","82193469")</f>
        <v>82193469</v>
      </c>
      <c r="F597" s="9" t="s">
        <v>1835</v>
      </c>
      <c r="G597" s="9" t="s">
        <v>1836</v>
      </c>
      <c r="H597" s="9" t="s">
        <v>1837</v>
      </c>
      <c r="I597" s="10">
        <v>45622</v>
      </c>
    </row>
    <row r="598" spans="1:9" x14ac:dyDescent="0.15">
      <c r="A598" s="9">
        <v>597</v>
      </c>
      <c r="B598" s="9" t="s">
        <v>9</v>
      </c>
      <c r="C598" s="9">
        <v>1927</v>
      </c>
      <c r="D598" s="10">
        <v>45729</v>
      </c>
      <c r="E598" s="11" t="str">
        <f>+HYPERLINK("http://trademark.i-assist.jp/data/china/image_1927th/82193470.pdf","82193470")</f>
        <v>82193470</v>
      </c>
      <c r="F598" s="9" t="s">
        <v>1838</v>
      </c>
      <c r="G598" s="9" t="s">
        <v>124</v>
      </c>
      <c r="H598" s="9" t="s">
        <v>1839</v>
      </c>
      <c r="I598" s="10">
        <v>45622</v>
      </c>
    </row>
    <row r="599" spans="1:9" x14ac:dyDescent="0.15">
      <c r="A599" s="9">
        <v>598</v>
      </c>
      <c r="B599" s="9" t="s">
        <v>9</v>
      </c>
      <c r="C599" s="9">
        <v>1927</v>
      </c>
      <c r="D599" s="10">
        <v>45729</v>
      </c>
      <c r="E599" s="11" t="str">
        <f>+HYPERLINK("http://trademark.i-assist.jp/data/china/image_1927th/82194252.pdf","82194252")</f>
        <v>82194252</v>
      </c>
      <c r="F599" s="12" t="s">
        <v>1840</v>
      </c>
      <c r="G599" s="12" t="s">
        <v>1841</v>
      </c>
      <c r="H599" s="9" t="s">
        <v>1842</v>
      </c>
      <c r="I599" s="10">
        <v>45622</v>
      </c>
    </row>
    <row r="600" spans="1:9" x14ac:dyDescent="0.15">
      <c r="A600" s="9">
        <v>599</v>
      </c>
      <c r="B600" s="9" t="s">
        <v>9</v>
      </c>
      <c r="C600" s="9">
        <v>1927</v>
      </c>
      <c r="D600" s="10">
        <v>45729</v>
      </c>
      <c r="E600" s="11" t="str">
        <f>+HYPERLINK("http://trademark.i-assist.jp/data/china/image_1927th/82194346.pdf","82194346")</f>
        <v>82194346</v>
      </c>
      <c r="F600" s="9" t="s">
        <v>1843</v>
      </c>
      <c r="G600" s="12" t="s">
        <v>1844</v>
      </c>
      <c r="H600" s="9" t="s">
        <v>1845</v>
      </c>
      <c r="I600" s="10">
        <v>45622</v>
      </c>
    </row>
    <row r="601" spans="1:9" x14ac:dyDescent="0.15">
      <c r="A601" s="9">
        <v>600</v>
      </c>
      <c r="B601" s="9" t="s">
        <v>9</v>
      </c>
      <c r="C601" s="9">
        <v>1927</v>
      </c>
      <c r="D601" s="10">
        <v>45729</v>
      </c>
      <c r="E601" s="11" t="str">
        <f>+HYPERLINK("http://trademark.i-assist.jp/data/china/image_1927th/82194374.pdf","82194374")</f>
        <v>82194374</v>
      </c>
      <c r="F601" s="12" t="s">
        <v>16</v>
      </c>
      <c r="G601" s="9" t="s">
        <v>1846</v>
      </c>
      <c r="H601" s="9" t="s">
        <v>1847</v>
      </c>
      <c r="I601" s="10">
        <v>45622</v>
      </c>
    </row>
    <row r="602" spans="1:9" x14ac:dyDescent="0.15">
      <c r="A602" s="9">
        <v>601</v>
      </c>
      <c r="B602" s="9" t="s">
        <v>9</v>
      </c>
      <c r="C602" s="9">
        <v>1927</v>
      </c>
      <c r="D602" s="10">
        <v>45729</v>
      </c>
      <c r="E602" s="11" t="str">
        <f>+HYPERLINK("http://trademark.i-assist.jp/data/china/image_1927th/82194428.pdf","82194428")</f>
        <v>82194428</v>
      </c>
      <c r="F602" s="12" t="s">
        <v>1848</v>
      </c>
      <c r="G602" s="9" t="s">
        <v>1849</v>
      </c>
      <c r="H602" s="9" t="s">
        <v>1850</v>
      </c>
      <c r="I602" s="10">
        <v>45622</v>
      </c>
    </row>
    <row r="603" spans="1:9" x14ac:dyDescent="0.15">
      <c r="A603" s="9">
        <v>602</v>
      </c>
      <c r="B603" s="9" t="s">
        <v>9</v>
      </c>
      <c r="C603" s="9">
        <v>1927</v>
      </c>
      <c r="D603" s="10">
        <v>45729</v>
      </c>
      <c r="E603" s="11" t="str">
        <f>+HYPERLINK("http://trademark.i-assist.jp/data/china/image_1927th/82194443.pdf","82194443")</f>
        <v>82194443</v>
      </c>
      <c r="F603" s="12" t="s">
        <v>16</v>
      </c>
      <c r="G603" s="9" t="s">
        <v>1817</v>
      </c>
      <c r="H603" s="12" t="s">
        <v>1851</v>
      </c>
      <c r="I603" s="10">
        <v>45622</v>
      </c>
    </row>
    <row r="604" spans="1:9" x14ac:dyDescent="0.15">
      <c r="A604" s="9">
        <v>603</v>
      </c>
      <c r="B604" s="9" t="s">
        <v>9</v>
      </c>
      <c r="C604" s="9">
        <v>1927</v>
      </c>
      <c r="D604" s="10">
        <v>45729</v>
      </c>
      <c r="E604" s="11" t="str">
        <f>+HYPERLINK("http://trademark.i-assist.jp/data/china/image_1927th/82194755.pdf","82194755")</f>
        <v>82194755</v>
      </c>
      <c r="F604" s="12" t="s">
        <v>16</v>
      </c>
      <c r="G604" s="9" t="s">
        <v>44</v>
      </c>
      <c r="H604" s="9" t="s">
        <v>1852</v>
      </c>
      <c r="I604" s="10">
        <v>45622</v>
      </c>
    </row>
    <row r="605" spans="1:9" x14ac:dyDescent="0.15">
      <c r="A605" s="9">
        <v>604</v>
      </c>
      <c r="B605" s="9" t="s">
        <v>9</v>
      </c>
      <c r="C605" s="9">
        <v>1927</v>
      </c>
      <c r="D605" s="10">
        <v>45729</v>
      </c>
      <c r="E605" s="11" t="str">
        <f>+HYPERLINK("http://trademark.i-assist.jp/data/china/image_1927th/82195865.pdf","82195865")</f>
        <v>82195865</v>
      </c>
      <c r="F605" s="9" t="s">
        <v>1853</v>
      </c>
      <c r="G605" s="9" t="s">
        <v>1854</v>
      </c>
      <c r="H605" s="9" t="s">
        <v>1855</v>
      </c>
      <c r="I605" s="10">
        <v>45622</v>
      </c>
    </row>
    <row r="606" spans="1:9" x14ac:dyDescent="0.15">
      <c r="A606" s="9">
        <v>605</v>
      </c>
      <c r="B606" s="9" t="s">
        <v>9</v>
      </c>
      <c r="C606" s="9">
        <v>1927</v>
      </c>
      <c r="D606" s="10">
        <v>45729</v>
      </c>
      <c r="E606" s="11" t="str">
        <f>+HYPERLINK("http://trademark.i-assist.jp/data/china/image_1927th/82196643.pdf","82196643")</f>
        <v>82196643</v>
      </c>
      <c r="F606" s="9" t="s">
        <v>1856</v>
      </c>
      <c r="G606" s="12" t="s">
        <v>1857</v>
      </c>
      <c r="H606" s="9" t="s">
        <v>1858</v>
      </c>
      <c r="I606" s="10">
        <v>45622</v>
      </c>
    </row>
    <row r="607" spans="1:9" x14ac:dyDescent="0.15">
      <c r="A607" s="9">
        <v>606</v>
      </c>
      <c r="B607" s="9" t="s">
        <v>9</v>
      </c>
      <c r="C607" s="9">
        <v>1927</v>
      </c>
      <c r="D607" s="10">
        <v>45729</v>
      </c>
      <c r="E607" s="11" t="str">
        <f>+HYPERLINK("http://trademark.i-assist.jp/data/china/image_1927th/82199122.pdf","82199122")</f>
        <v>82199122</v>
      </c>
      <c r="F607" s="9" t="s">
        <v>1859</v>
      </c>
      <c r="G607" s="12" t="s">
        <v>1860</v>
      </c>
      <c r="H607" s="9" t="s">
        <v>1861</v>
      </c>
      <c r="I607" s="10">
        <v>45622</v>
      </c>
    </row>
    <row r="608" spans="1:9" x14ac:dyDescent="0.15">
      <c r="A608" s="9">
        <v>607</v>
      </c>
      <c r="B608" s="9" t="s">
        <v>9</v>
      </c>
      <c r="C608" s="9">
        <v>1927</v>
      </c>
      <c r="D608" s="10">
        <v>45729</v>
      </c>
      <c r="E608" s="11" t="str">
        <f>+HYPERLINK("http://trademark.i-assist.jp/data/china/image_1927th/82200586.pdf","82200586")</f>
        <v>82200586</v>
      </c>
      <c r="F608" s="9" t="s">
        <v>1862</v>
      </c>
      <c r="G608" s="12" t="s">
        <v>1863</v>
      </c>
      <c r="H608" s="9" t="s">
        <v>1864</v>
      </c>
      <c r="I608" s="10">
        <v>45622</v>
      </c>
    </row>
    <row r="609" spans="1:9" x14ac:dyDescent="0.15">
      <c r="A609" s="9">
        <v>608</v>
      </c>
      <c r="B609" s="9" t="s">
        <v>9</v>
      </c>
      <c r="C609" s="9">
        <v>1927</v>
      </c>
      <c r="D609" s="10">
        <v>45729</v>
      </c>
      <c r="E609" s="11" t="str">
        <f>+HYPERLINK("http://trademark.i-assist.jp/data/china/image_1927th/82200825.pdf","82200825")</f>
        <v>82200825</v>
      </c>
      <c r="F609" s="9" t="s">
        <v>1865</v>
      </c>
      <c r="G609" s="9" t="s">
        <v>29</v>
      </c>
      <c r="H609" s="9" t="s">
        <v>1866</v>
      </c>
      <c r="I609" s="10">
        <v>45622</v>
      </c>
    </row>
    <row r="610" spans="1:9" x14ac:dyDescent="0.15">
      <c r="A610" s="9">
        <v>609</v>
      </c>
      <c r="B610" s="9" t="s">
        <v>9</v>
      </c>
      <c r="C610" s="9">
        <v>1927</v>
      </c>
      <c r="D610" s="10">
        <v>45729</v>
      </c>
      <c r="E610" s="11" t="str">
        <f>+HYPERLINK("http://trademark.i-assist.jp/data/china/image_1927th/82201523.pdf","82201523")</f>
        <v>82201523</v>
      </c>
      <c r="F610" s="9" t="s">
        <v>1867</v>
      </c>
      <c r="G610" s="9" t="s">
        <v>45</v>
      </c>
      <c r="H610" s="9" t="s">
        <v>1868</v>
      </c>
      <c r="I610" s="10">
        <v>45622</v>
      </c>
    </row>
    <row r="611" spans="1:9" x14ac:dyDescent="0.15">
      <c r="A611" s="9">
        <v>610</v>
      </c>
      <c r="B611" s="9" t="s">
        <v>9</v>
      </c>
      <c r="C611" s="9">
        <v>1927</v>
      </c>
      <c r="D611" s="10">
        <v>45729</v>
      </c>
      <c r="E611" s="11" t="str">
        <f>+HYPERLINK("http://trademark.i-assist.jp/data/china/image_1927th/82201840.pdf","82201840")</f>
        <v>82201840</v>
      </c>
      <c r="F611" s="9" t="s">
        <v>1869</v>
      </c>
      <c r="G611" s="12" t="s">
        <v>203</v>
      </c>
      <c r="H611" s="9" t="s">
        <v>1870</v>
      </c>
      <c r="I611" s="10">
        <v>45623</v>
      </c>
    </row>
    <row r="612" spans="1:9" x14ac:dyDescent="0.15">
      <c r="A612" s="9">
        <v>611</v>
      </c>
      <c r="B612" s="9" t="s">
        <v>9</v>
      </c>
      <c r="C612" s="9">
        <v>1927</v>
      </c>
      <c r="D612" s="10">
        <v>45729</v>
      </c>
      <c r="E612" s="11" t="str">
        <f>+HYPERLINK("http://trademark.i-assist.jp/data/china/image_1927th/82202016.pdf","82202016")</f>
        <v>82202016</v>
      </c>
      <c r="F612" s="9" t="s">
        <v>1871</v>
      </c>
      <c r="G612" s="12" t="s">
        <v>1872</v>
      </c>
      <c r="H612" s="9" t="s">
        <v>1873</v>
      </c>
      <c r="I612" s="10">
        <v>45623</v>
      </c>
    </row>
    <row r="613" spans="1:9" x14ac:dyDescent="0.15">
      <c r="A613" s="9">
        <v>612</v>
      </c>
      <c r="B613" s="9" t="s">
        <v>9</v>
      </c>
      <c r="C613" s="9">
        <v>1927</v>
      </c>
      <c r="D613" s="10">
        <v>45729</v>
      </c>
      <c r="E613" s="11" t="str">
        <f>+HYPERLINK("http://trademark.i-assist.jp/data/china/image_1927th/82202186.pdf","82202186")</f>
        <v>82202186</v>
      </c>
      <c r="F613" s="9" t="s">
        <v>1874</v>
      </c>
      <c r="G613" s="9" t="s">
        <v>1875</v>
      </c>
      <c r="H613" s="9" t="s">
        <v>1876</v>
      </c>
      <c r="I613" s="10">
        <v>45623</v>
      </c>
    </row>
    <row r="614" spans="1:9" x14ac:dyDescent="0.15">
      <c r="A614" s="9">
        <v>613</v>
      </c>
      <c r="B614" s="9" t="s">
        <v>9</v>
      </c>
      <c r="C614" s="9">
        <v>1927</v>
      </c>
      <c r="D614" s="10">
        <v>45729</v>
      </c>
      <c r="E614" s="11" t="str">
        <f>+HYPERLINK("http://trademark.i-assist.jp/data/china/image_1927th/82202527.pdf","82202527")</f>
        <v>82202527</v>
      </c>
      <c r="F614" s="12" t="s">
        <v>1877</v>
      </c>
      <c r="G614" s="9" t="s">
        <v>1878</v>
      </c>
      <c r="H614" s="9" t="s">
        <v>1879</v>
      </c>
      <c r="I614" s="10">
        <v>45623</v>
      </c>
    </row>
    <row r="615" spans="1:9" x14ac:dyDescent="0.15">
      <c r="A615" s="9">
        <v>614</v>
      </c>
      <c r="B615" s="9" t="s">
        <v>9</v>
      </c>
      <c r="C615" s="9">
        <v>1927</v>
      </c>
      <c r="D615" s="10">
        <v>45729</v>
      </c>
      <c r="E615" s="11" t="str">
        <f>+HYPERLINK("http://trademark.i-assist.jp/data/china/image_1927th/82202563.pdf","82202563")</f>
        <v>82202563</v>
      </c>
      <c r="F615" s="12" t="s">
        <v>1880</v>
      </c>
      <c r="G615" s="12" t="s">
        <v>1881</v>
      </c>
      <c r="H615" s="9" t="s">
        <v>1882</v>
      </c>
      <c r="I615" s="10">
        <v>45623</v>
      </c>
    </row>
    <row r="616" spans="1:9" x14ac:dyDescent="0.15">
      <c r="A616" s="9">
        <v>615</v>
      </c>
      <c r="B616" s="9" t="s">
        <v>9</v>
      </c>
      <c r="C616" s="9">
        <v>1927</v>
      </c>
      <c r="D616" s="10">
        <v>45729</v>
      </c>
      <c r="E616" s="11" t="str">
        <f>+HYPERLINK("http://trademark.i-assist.jp/data/china/image_1927th/82204631.pdf","82204631")</f>
        <v>82204631</v>
      </c>
      <c r="F616" s="12" t="s">
        <v>1883</v>
      </c>
      <c r="G616" s="9" t="s">
        <v>1884</v>
      </c>
      <c r="H616" s="12" t="s">
        <v>1885</v>
      </c>
      <c r="I616" s="10">
        <v>45623</v>
      </c>
    </row>
    <row r="617" spans="1:9" x14ac:dyDescent="0.15">
      <c r="A617" s="9">
        <v>616</v>
      </c>
      <c r="B617" s="9" t="s">
        <v>9</v>
      </c>
      <c r="C617" s="9">
        <v>1927</v>
      </c>
      <c r="D617" s="10">
        <v>45729</v>
      </c>
      <c r="E617" s="11" t="str">
        <f>+HYPERLINK("http://trademark.i-assist.jp/data/china/image_1927th/82206082.pdf","82206082")</f>
        <v>82206082</v>
      </c>
      <c r="F617" s="9" t="s">
        <v>1886</v>
      </c>
      <c r="G617" s="12" t="s">
        <v>1887</v>
      </c>
      <c r="H617" s="9" t="s">
        <v>1888</v>
      </c>
      <c r="I617" s="10">
        <v>45623</v>
      </c>
    </row>
    <row r="618" spans="1:9" x14ac:dyDescent="0.15">
      <c r="A618" s="9">
        <v>617</v>
      </c>
      <c r="B618" s="9" t="s">
        <v>9</v>
      </c>
      <c r="C618" s="9">
        <v>1927</v>
      </c>
      <c r="D618" s="10">
        <v>45729</v>
      </c>
      <c r="E618" s="11" t="str">
        <f>+HYPERLINK("http://trademark.i-assist.jp/data/china/image_1927th/82207167.pdf","82207167")</f>
        <v>82207167</v>
      </c>
      <c r="F618" s="9" t="s">
        <v>1889</v>
      </c>
      <c r="G618" s="12" t="s">
        <v>1890</v>
      </c>
      <c r="H618" s="9" t="s">
        <v>1891</v>
      </c>
      <c r="I618" s="10">
        <v>45623</v>
      </c>
    </row>
    <row r="619" spans="1:9" x14ac:dyDescent="0.15">
      <c r="A619" s="9">
        <v>618</v>
      </c>
      <c r="B619" s="9" t="s">
        <v>9</v>
      </c>
      <c r="C619" s="9">
        <v>1927</v>
      </c>
      <c r="D619" s="10">
        <v>45729</v>
      </c>
      <c r="E619" s="11" t="str">
        <f>+HYPERLINK("http://trademark.i-assist.jp/data/china/image_1927th/82207216.pdf","82207216")</f>
        <v>82207216</v>
      </c>
      <c r="F619" s="12" t="s">
        <v>1892</v>
      </c>
      <c r="G619" s="12" t="s">
        <v>131</v>
      </c>
      <c r="H619" s="9" t="s">
        <v>1893</v>
      </c>
      <c r="I619" s="10">
        <v>45623</v>
      </c>
    </row>
    <row r="620" spans="1:9" x14ac:dyDescent="0.15">
      <c r="A620" s="9">
        <v>619</v>
      </c>
      <c r="B620" s="9" t="s">
        <v>9</v>
      </c>
      <c r="C620" s="9">
        <v>1927</v>
      </c>
      <c r="D620" s="10">
        <v>45729</v>
      </c>
      <c r="E620" s="11" t="str">
        <f>+HYPERLINK("http://trademark.i-assist.jp/data/china/image_1927th/82207442.pdf","82207442")</f>
        <v>82207442</v>
      </c>
      <c r="F620" s="9" t="s">
        <v>1894</v>
      </c>
      <c r="G620" s="9" t="s">
        <v>1895</v>
      </c>
      <c r="H620" s="9" t="s">
        <v>1896</v>
      </c>
      <c r="I620" s="10">
        <v>45623</v>
      </c>
    </row>
    <row r="621" spans="1:9" x14ac:dyDescent="0.15">
      <c r="A621" s="9">
        <v>620</v>
      </c>
      <c r="B621" s="9" t="s">
        <v>9</v>
      </c>
      <c r="C621" s="9">
        <v>1927</v>
      </c>
      <c r="D621" s="10">
        <v>45729</v>
      </c>
      <c r="E621" s="11" t="str">
        <f>+HYPERLINK("http://trademark.i-assist.jp/data/china/image_1927th/82207575.pdf","82207575")</f>
        <v>82207575</v>
      </c>
      <c r="F621" s="9" t="s">
        <v>1897</v>
      </c>
      <c r="G621" s="9" t="s">
        <v>1898</v>
      </c>
      <c r="H621" s="9" t="s">
        <v>1899</v>
      </c>
      <c r="I621" s="10">
        <v>45623</v>
      </c>
    </row>
    <row r="622" spans="1:9" x14ac:dyDescent="0.15">
      <c r="A622" s="9">
        <v>621</v>
      </c>
      <c r="B622" s="9" t="s">
        <v>9</v>
      </c>
      <c r="C622" s="9">
        <v>1927</v>
      </c>
      <c r="D622" s="10">
        <v>45729</v>
      </c>
      <c r="E622" s="11" t="str">
        <f>+HYPERLINK("http://trademark.i-assist.jp/data/china/image_1927th/82207711.pdf","82207711")</f>
        <v>82207711</v>
      </c>
      <c r="F622" s="9" t="s">
        <v>1900</v>
      </c>
      <c r="G622" s="9" t="s">
        <v>1901</v>
      </c>
      <c r="H622" s="9" t="s">
        <v>1902</v>
      </c>
      <c r="I622" s="10">
        <v>45623</v>
      </c>
    </row>
    <row r="623" spans="1:9" x14ac:dyDescent="0.15">
      <c r="A623" s="9">
        <v>622</v>
      </c>
      <c r="B623" s="9" t="s">
        <v>9</v>
      </c>
      <c r="C623" s="9">
        <v>1927</v>
      </c>
      <c r="D623" s="10">
        <v>45729</v>
      </c>
      <c r="E623" s="11" t="str">
        <f>+HYPERLINK("http://trademark.i-assist.jp/data/china/image_1927th/82208703.pdf","82208703")</f>
        <v>82208703</v>
      </c>
      <c r="F623" s="12" t="s">
        <v>1903</v>
      </c>
      <c r="G623" s="12" t="s">
        <v>203</v>
      </c>
      <c r="H623" s="9" t="s">
        <v>1904</v>
      </c>
      <c r="I623" s="10">
        <v>45623</v>
      </c>
    </row>
    <row r="624" spans="1:9" x14ac:dyDescent="0.15">
      <c r="A624" s="9">
        <v>623</v>
      </c>
      <c r="B624" s="9" t="s">
        <v>9</v>
      </c>
      <c r="C624" s="9">
        <v>1927</v>
      </c>
      <c r="D624" s="10">
        <v>45729</v>
      </c>
      <c r="E624" s="11" t="str">
        <f>+HYPERLINK("http://trademark.i-assist.jp/data/china/image_1927th/82208760.pdf","82208760")</f>
        <v>82208760</v>
      </c>
      <c r="F624" s="9" t="s">
        <v>1905</v>
      </c>
      <c r="G624" s="9" t="s">
        <v>1875</v>
      </c>
      <c r="H624" s="9" t="s">
        <v>1906</v>
      </c>
      <c r="I624" s="10">
        <v>45623</v>
      </c>
    </row>
    <row r="625" spans="1:9" x14ac:dyDescent="0.15">
      <c r="A625" s="9">
        <v>624</v>
      </c>
      <c r="B625" s="9" t="s">
        <v>9</v>
      </c>
      <c r="C625" s="9">
        <v>1927</v>
      </c>
      <c r="D625" s="10">
        <v>45729</v>
      </c>
      <c r="E625" s="11" t="str">
        <f>+HYPERLINK("http://trademark.i-assist.jp/data/china/image_1927th/82210260.pdf","82210260")</f>
        <v>82210260</v>
      </c>
      <c r="F625" s="9" t="s">
        <v>1907</v>
      </c>
      <c r="G625" s="12" t="s">
        <v>1908</v>
      </c>
      <c r="H625" s="9" t="s">
        <v>1909</v>
      </c>
      <c r="I625" s="10">
        <v>45623</v>
      </c>
    </row>
    <row r="626" spans="1:9" x14ac:dyDescent="0.15">
      <c r="A626" s="9">
        <v>625</v>
      </c>
      <c r="B626" s="9" t="s">
        <v>9</v>
      </c>
      <c r="C626" s="9">
        <v>1927</v>
      </c>
      <c r="D626" s="10">
        <v>45729</v>
      </c>
      <c r="E626" s="11" t="str">
        <f>+HYPERLINK("http://trademark.i-assist.jp/data/china/image_1927th/82211360.pdf","82211360")</f>
        <v>82211360</v>
      </c>
      <c r="F626" s="12" t="s">
        <v>1910</v>
      </c>
      <c r="G626" s="9" t="s">
        <v>1911</v>
      </c>
      <c r="H626" s="9" t="s">
        <v>1912</v>
      </c>
      <c r="I626" s="10">
        <v>45623</v>
      </c>
    </row>
    <row r="627" spans="1:9" x14ac:dyDescent="0.15">
      <c r="A627" s="9">
        <v>626</v>
      </c>
      <c r="B627" s="9" t="s">
        <v>9</v>
      </c>
      <c r="C627" s="9">
        <v>1927</v>
      </c>
      <c r="D627" s="10">
        <v>45729</v>
      </c>
      <c r="E627" s="11" t="str">
        <f>+HYPERLINK("http://trademark.i-assist.jp/data/china/image_1927th/82212735.pdf","82212735")</f>
        <v>82212735</v>
      </c>
      <c r="F627" s="12" t="s">
        <v>1913</v>
      </c>
      <c r="G627" s="9" t="s">
        <v>1914</v>
      </c>
      <c r="H627" s="9" t="s">
        <v>1915</v>
      </c>
      <c r="I627" s="10">
        <v>45623</v>
      </c>
    </row>
    <row r="628" spans="1:9" x14ac:dyDescent="0.15">
      <c r="A628" s="9">
        <v>627</v>
      </c>
      <c r="B628" s="9" t="s">
        <v>9</v>
      </c>
      <c r="C628" s="9">
        <v>1927</v>
      </c>
      <c r="D628" s="10">
        <v>45729</v>
      </c>
      <c r="E628" s="11" t="str">
        <f>+HYPERLINK("http://trademark.i-assist.jp/data/china/image_1927th/82212843.pdf","82212843")</f>
        <v>82212843</v>
      </c>
      <c r="F628" s="9" t="s">
        <v>1916</v>
      </c>
      <c r="G628" s="9" t="s">
        <v>1917</v>
      </c>
      <c r="H628" s="9" t="s">
        <v>1918</v>
      </c>
      <c r="I628" s="10">
        <v>45623</v>
      </c>
    </row>
    <row r="629" spans="1:9" x14ac:dyDescent="0.15">
      <c r="A629" s="9">
        <v>628</v>
      </c>
      <c r="B629" s="9" t="s">
        <v>9</v>
      </c>
      <c r="C629" s="9">
        <v>1927</v>
      </c>
      <c r="D629" s="10">
        <v>45729</v>
      </c>
      <c r="E629" s="11" t="str">
        <f>+HYPERLINK("http://trademark.i-assist.jp/data/china/image_1927th/82214553.pdf","82214553")</f>
        <v>82214553</v>
      </c>
      <c r="F629" s="9" t="s">
        <v>1919</v>
      </c>
      <c r="G629" s="12" t="s">
        <v>1920</v>
      </c>
      <c r="H629" s="9" t="s">
        <v>1921</v>
      </c>
      <c r="I629" s="10">
        <v>45623</v>
      </c>
    </row>
    <row r="630" spans="1:9" x14ac:dyDescent="0.15">
      <c r="A630" s="9">
        <v>629</v>
      </c>
      <c r="B630" s="9" t="s">
        <v>9</v>
      </c>
      <c r="C630" s="9">
        <v>1927</v>
      </c>
      <c r="D630" s="10">
        <v>45729</v>
      </c>
      <c r="E630" s="11" t="str">
        <f>+HYPERLINK("http://trademark.i-assist.jp/data/china/image_1927th/82214676.pdf","82214676")</f>
        <v>82214676</v>
      </c>
      <c r="F630" s="12" t="s">
        <v>1922</v>
      </c>
      <c r="G630" s="12" t="s">
        <v>1923</v>
      </c>
      <c r="H630" s="9" t="s">
        <v>1924</v>
      </c>
      <c r="I630" s="10">
        <v>45623</v>
      </c>
    </row>
    <row r="631" spans="1:9" x14ac:dyDescent="0.15">
      <c r="A631" s="9">
        <v>630</v>
      </c>
      <c r="B631" s="9" t="s">
        <v>9</v>
      </c>
      <c r="C631" s="9">
        <v>1927</v>
      </c>
      <c r="D631" s="10">
        <v>45729</v>
      </c>
      <c r="E631" s="11" t="str">
        <f>+HYPERLINK("http://trademark.i-assist.jp/data/china/image_1927th/82215523.pdf","82215523")</f>
        <v>82215523</v>
      </c>
      <c r="F631" s="12" t="s">
        <v>1925</v>
      </c>
      <c r="G631" s="9" t="s">
        <v>1926</v>
      </c>
      <c r="H631" s="12" t="s">
        <v>1927</v>
      </c>
      <c r="I631" s="10">
        <v>45623</v>
      </c>
    </row>
    <row r="632" spans="1:9" x14ac:dyDescent="0.15">
      <c r="A632" s="9">
        <v>631</v>
      </c>
      <c r="B632" s="9" t="s">
        <v>9</v>
      </c>
      <c r="C632" s="9">
        <v>1927</v>
      </c>
      <c r="D632" s="10">
        <v>45729</v>
      </c>
      <c r="E632" s="11" t="str">
        <f>+HYPERLINK("http://trademark.i-assist.jp/data/china/image_1927th/82217326.pdf","82217326")</f>
        <v>82217326</v>
      </c>
      <c r="F632" s="9" t="s">
        <v>1928</v>
      </c>
      <c r="G632" s="9" t="s">
        <v>1929</v>
      </c>
      <c r="H632" s="9" t="s">
        <v>1930</v>
      </c>
      <c r="I632" s="10">
        <v>45623</v>
      </c>
    </row>
    <row r="633" spans="1:9" x14ac:dyDescent="0.15">
      <c r="A633" s="9">
        <v>632</v>
      </c>
      <c r="B633" s="9" t="s">
        <v>9</v>
      </c>
      <c r="C633" s="9">
        <v>1927</v>
      </c>
      <c r="D633" s="10">
        <v>45729</v>
      </c>
      <c r="E633" s="11" t="str">
        <f>+HYPERLINK("http://trademark.i-assist.jp/data/china/image_1927th/82218172.pdf","82218172")</f>
        <v>82218172</v>
      </c>
      <c r="F633" s="12" t="s">
        <v>16</v>
      </c>
      <c r="G633" s="9" t="s">
        <v>1931</v>
      </c>
      <c r="H633" s="9" t="s">
        <v>1932</v>
      </c>
      <c r="I633" s="10">
        <v>45623</v>
      </c>
    </row>
    <row r="634" spans="1:9" x14ac:dyDescent="0.15">
      <c r="A634" s="9">
        <v>633</v>
      </c>
      <c r="B634" s="9" t="s">
        <v>9</v>
      </c>
      <c r="C634" s="9">
        <v>1927</v>
      </c>
      <c r="D634" s="10">
        <v>45729</v>
      </c>
      <c r="E634" s="11" t="str">
        <f>+HYPERLINK("http://trademark.i-assist.jp/data/china/image_1927th/82219376.pdf","82219376")</f>
        <v>82219376</v>
      </c>
      <c r="F634" s="9" t="s">
        <v>1933</v>
      </c>
      <c r="G634" s="9" t="s">
        <v>1898</v>
      </c>
      <c r="H634" s="9" t="s">
        <v>1934</v>
      </c>
      <c r="I634" s="10">
        <v>45623</v>
      </c>
    </row>
    <row r="635" spans="1:9" x14ac:dyDescent="0.15">
      <c r="A635" s="9">
        <v>634</v>
      </c>
      <c r="B635" s="9" t="s">
        <v>9</v>
      </c>
      <c r="C635" s="9">
        <v>1927</v>
      </c>
      <c r="D635" s="10">
        <v>45729</v>
      </c>
      <c r="E635" s="11" t="str">
        <f>+HYPERLINK("http://trademark.i-assist.jp/data/china/image_1927th/82219549.pdf","82219549")</f>
        <v>82219549</v>
      </c>
      <c r="F635" s="9" t="s">
        <v>1935</v>
      </c>
      <c r="G635" s="9" t="s">
        <v>92</v>
      </c>
      <c r="H635" s="9" t="s">
        <v>1936</v>
      </c>
      <c r="I635" s="10">
        <v>45623</v>
      </c>
    </row>
    <row r="636" spans="1:9" x14ac:dyDescent="0.15">
      <c r="A636" s="9">
        <v>635</v>
      </c>
      <c r="B636" s="9" t="s">
        <v>9</v>
      </c>
      <c r="C636" s="9">
        <v>1927</v>
      </c>
      <c r="D636" s="10">
        <v>45729</v>
      </c>
      <c r="E636" s="11" t="str">
        <f>+HYPERLINK("http://trademark.i-assist.jp/data/china/image_1927th/82219930.pdf","82219930")</f>
        <v>82219930</v>
      </c>
      <c r="F636" s="12" t="s">
        <v>1937</v>
      </c>
      <c r="G636" s="9" t="s">
        <v>53</v>
      </c>
      <c r="H636" s="9" t="s">
        <v>1938</v>
      </c>
      <c r="I636" s="10">
        <v>45623</v>
      </c>
    </row>
    <row r="637" spans="1:9" x14ac:dyDescent="0.15">
      <c r="A637" s="9">
        <v>636</v>
      </c>
      <c r="B637" s="9" t="s">
        <v>9</v>
      </c>
      <c r="C637" s="9">
        <v>1927</v>
      </c>
      <c r="D637" s="10">
        <v>45729</v>
      </c>
      <c r="E637" s="11" t="str">
        <f>+HYPERLINK("http://trademark.i-assist.jp/data/china/image_1927th/82220302.pdf","82220302")</f>
        <v>82220302</v>
      </c>
      <c r="F637" s="9" t="s">
        <v>1939</v>
      </c>
      <c r="G637" s="9" t="s">
        <v>1940</v>
      </c>
      <c r="H637" s="9" t="s">
        <v>1941</v>
      </c>
      <c r="I637" s="10">
        <v>45623</v>
      </c>
    </row>
    <row r="638" spans="1:9" x14ac:dyDescent="0.15">
      <c r="A638" s="9">
        <v>637</v>
      </c>
      <c r="B638" s="9" t="s">
        <v>9</v>
      </c>
      <c r="C638" s="9">
        <v>1927</v>
      </c>
      <c r="D638" s="10">
        <v>45729</v>
      </c>
      <c r="E638" s="11" t="str">
        <f>+HYPERLINK("http://trademark.i-assist.jp/data/china/image_1927th/82220959.pdf","82220959")</f>
        <v>82220959</v>
      </c>
      <c r="F638" s="9" t="s">
        <v>1942</v>
      </c>
      <c r="G638" s="9" t="s">
        <v>1943</v>
      </c>
      <c r="H638" s="9" t="s">
        <v>1944</v>
      </c>
      <c r="I638" s="10">
        <v>45623</v>
      </c>
    </row>
    <row r="639" spans="1:9" x14ac:dyDescent="0.15">
      <c r="A639" s="9">
        <v>638</v>
      </c>
      <c r="B639" s="9" t="s">
        <v>9</v>
      </c>
      <c r="C639" s="9">
        <v>1927</v>
      </c>
      <c r="D639" s="10">
        <v>45729</v>
      </c>
      <c r="E639" s="11" t="str">
        <f>+HYPERLINK("http://trademark.i-assist.jp/data/china/image_1927th/82221436.pdf","82221436")</f>
        <v>82221436</v>
      </c>
      <c r="F639" s="9" t="s">
        <v>1945</v>
      </c>
      <c r="G639" s="12" t="s">
        <v>1946</v>
      </c>
      <c r="H639" s="9" t="s">
        <v>1947</v>
      </c>
      <c r="I639" s="10">
        <v>45623</v>
      </c>
    </row>
    <row r="640" spans="1:9" x14ac:dyDescent="0.15">
      <c r="A640" s="9">
        <v>639</v>
      </c>
      <c r="B640" s="9" t="s">
        <v>9</v>
      </c>
      <c r="C640" s="9">
        <v>1927</v>
      </c>
      <c r="D640" s="10">
        <v>45729</v>
      </c>
      <c r="E640" s="11" t="str">
        <f>+HYPERLINK("http://trademark.i-assist.jp/data/china/image_1927th/82222306.pdf","82222306")</f>
        <v>82222306</v>
      </c>
      <c r="F640" s="9" t="s">
        <v>1948</v>
      </c>
      <c r="G640" s="12" t="s">
        <v>1949</v>
      </c>
      <c r="H640" s="9" t="s">
        <v>1950</v>
      </c>
      <c r="I640" s="10">
        <v>45623</v>
      </c>
    </row>
    <row r="641" spans="1:9" x14ac:dyDescent="0.15">
      <c r="A641" s="9">
        <v>640</v>
      </c>
      <c r="B641" s="9" t="s">
        <v>9</v>
      </c>
      <c r="C641" s="9">
        <v>1927</v>
      </c>
      <c r="D641" s="10">
        <v>45729</v>
      </c>
      <c r="E641" s="11" t="str">
        <f>+HYPERLINK("http://trademark.i-assist.jp/data/china/image_1927th/82223938.pdf","82223938")</f>
        <v>82223938</v>
      </c>
      <c r="F641" s="9" t="s">
        <v>1951</v>
      </c>
      <c r="G641" s="12" t="s">
        <v>1872</v>
      </c>
      <c r="H641" s="9" t="s">
        <v>1952</v>
      </c>
      <c r="I641" s="10">
        <v>45623</v>
      </c>
    </row>
    <row r="642" spans="1:9" x14ac:dyDescent="0.15">
      <c r="A642" s="9">
        <v>641</v>
      </c>
      <c r="B642" s="9" t="s">
        <v>9</v>
      </c>
      <c r="C642" s="9">
        <v>1927</v>
      </c>
      <c r="D642" s="10">
        <v>45729</v>
      </c>
      <c r="E642" s="11" t="str">
        <f>+HYPERLINK("http://trademark.i-assist.jp/data/china/image_1927th/82224027.pdf","82224027")</f>
        <v>82224027</v>
      </c>
      <c r="F642" s="12" t="s">
        <v>16</v>
      </c>
      <c r="G642" s="12" t="s">
        <v>1953</v>
      </c>
      <c r="H642" s="9" t="s">
        <v>1954</v>
      </c>
      <c r="I642" s="10">
        <v>45623</v>
      </c>
    </row>
    <row r="643" spans="1:9" x14ac:dyDescent="0.15">
      <c r="A643" s="9">
        <v>642</v>
      </c>
      <c r="B643" s="9" t="s">
        <v>9</v>
      </c>
      <c r="C643" s="9">
        <v>1927</v>
      </c>
      <c r="D643" s="10">
        <v>45729</v>
      </c>
      <c r="E643" s="11" t="str">
        <f>+HYPERLINK("http://trademark.i-assist.jp/data/china/image_1927th/82224128.pdf","82224128")</f>
        <v>82224128</v>
      </c>
      <c r="F643" s="9" t="s">
        <v>1955</v>
      </c>
      <c r="G643" s="12" t="s">
        <v>1956</v>
      </c>
      <c r="H643" s="9" t="s">
        <v>1957</v>
      </c>
      <c r="I643" s="10">
        <v>45623</v>
      </c>
    </row>
    <row r="644" spans="1:9" x14ac:dyDescent="0.15">
      <c r="A644" s="9">
        <v>643</v>
      </c>
      <c r="B644" s="9" t="s">
        <v>9</v>
      </c>
      <c r="C644" s="9">
        <v>1927</v>
      </c>
      <c r="D644" s="10">
        <v>45729</v>
      </c>
      <c r="E644" s="11" t="str">
        <f>+HYPERLINK("http://trademark.i-assist.jp/data/china/image_1927th/82224553.pdf","82224553")</f>
        <v>82224553</v>
      </c>
      <c r="F644" s="12" t="s">
        <v>1958</v>
      </c>
      <c r="G644" s="9" t="s">
        <v>1959</v>
      </c>
      <c r="H644" s="9" t="s">
        <v>1960</v>
      </c>
      <c r="I644" s="10">
        <v>45623</v>
      </c>
    </row>
    <row r="645" spans="1:9" x14ac:dyDescent="0.15">
      <c r="A645" s="9">
        <v>644</v>
      </c>
      <c r="B645" s="9" t="s">
        <v>9</v>
      </c>
      <c r="C645" s="9">
        <v>1927</v>
      </c>
      <c r="D645" s="10">
        <v>45729</v>
      </c>
      <c r="E645" s="11" t="str">
        <f>+HYPERLINK("http://trademark.i-assist.jp/data/china/image_1927th/82224826.pdf","82224826")</f>
        <v>82224826</v>
      </c>
      <c r="F645" s="9" t="s">
        <v>1961</v>
      </c>
      <c r="G645" s="12" t="s">
        <v>1962</v>
      </c>
      <c r="H645" s="9" t="s">
        <v>1963</v>
      </c>
      <c r="I645" s="10">
        <v>45623</v>
      </c>
    </row>
    <row r="646" spans="1:9" x14ac:dyDescent="0.15">
      <c r="A646" s="9">
        <v>645</v>
      </c>
      <c r="B646" s="9" t="s">
        <v>9</v>
      </c>
      <c r="C646" s="9">
        <v>1927</v>
      </c>
      <c r="D646" s="10">
        <v>45729</v>
      </c>
      <c r="E646" s="11" t="str">
        <f>+HYPERLINK("http://trademark.i-assist.jp/data/china/image_1927th/82224859.pdf","82224859")</f>
        <v>82224859</v>
      </c>
      <c r="F646" s="9" t="s">
        <v>1964</v>
      </c>
      <c r="G646" s="9" t="s">
        <v>1965</v>
      </c>
      <c r="H646" s="9" t="s">
        <v>1966</v>
      </c>
      <c r="I646" s="10">
        <v>45623</v>
      </c>
    </row>
    <row r="647" spans="1:9" x14ac:dyDescent="0.15">
      <c r="A647" s="9">
        <v>646</v>
      </c>
      <c r="B647" s="9" t="s">
        <v>9</v>
      </c>
      <c r="C647" s="9">
        <v>1927</v>
      </c>
      <c r="D647" s="10">
        <v>45729</v>
      </c>
      <c r="E647" s="11" t="str">
        <f>+HYPERLINK("http://trademark.i-assist.jp/data/china/image_1927th/82225729.pdf","82225729")</f>
        <v>82225729</v>
      </c>
      <c r="F647" s="9" t="s">
        <v>1967</v>
      </c>
      <c r="G647" s="9" t="s">
        <v>1968</v>
      </c>
      <c r="H647" s="9" t="s">
        <v>1969</v>
      </c>
      <c r="I647" s="10">
        <v>45623</v>
      </c>
    </row>
    <row r="648" spans="1:9" x14ac:dyDescent="0.15">
      <c r="A648" s="9">
        <v>647</v>
      </c>
      <c r="B648" s="9" t="s">
        <v>9</v>
      </c>
      <c r="C648" s="9">
        <v>1927</v>
      </c>
      <c r="D648" s="10">
        <v>45729</v>
      </c>
      <c r="E648" s="11" t="str">
        <f>+HYPERLINK("http://trademark.i-assist.jp/data/china/image_1927th/82225837.pdf","82225837")</f>
        <v>82225837</v>
      </c>
      <c r="F648" s="9" t="s">
        <v>1970</v>
      </c>
      <c r="G648" s="9" t="s">
        <v>1971</v>
      </c>
      <c r="H648" s="9" t="s">
        <v>1972</v>
      </c>
      <c r="I648" s="10">
        <v>45623</v>
      </c>
    </row>
    <row r="649" spans="1:9" x14ac:dyDescent="0.15">
      <c r="A649" s="9">
        <v>648</v>
      </c>
      <c r="B649" s="9" t="s">
        <v>9</v>
      </c>
      <c r="C649" s="9">
        <v>1927</v>
      </c>
      <c r="D649" s="10">
        <v>45729</v>
      </c>
      <c r="E649" s="11" t="str">
        <f>+HYPERLINK("http://trademark.i-assist.jp/data/china/image_1927th/82226026.pdf","82226026")</f>
        <v>82226026</v>
      </c>
      <c r="F649" s="9" t="s">
        <v>1973</v>
      </c>
      <c r="G649" s="9" t="s">
        <v>1974</v>
      </c>
      <c r="H649" s="9" t="s">
        <v>1975</v>
      </c>
      <c r="I649" s="10">
        <v>45623</v>
      </c>
    </row>
    <row r="650" spans="1:9" x14ac:dyDescent="0.15">
      <c r="A650" s="9">
        <v>649</v>
      </c>
      <c r="B650" s="9" t="s">
        <v>9</v>
      </c>
      <c r="C650" s="9">
        <v>1927</v>
      </c>
      <c r="D650" s="10">
        <v>45729</v>
      </c>
      <c r="E650" s="11" t="str">
        <f>+HYPERLINK("http://trademark.i-assist.jp/data/china/image_1927th/82226384.pdf","82226384")</f>
        <v>82226384</v>
      </c>
      <c r="F650" s="12" t="s">
        <v>16</v>
      </c>
      <c r="G650" s="9" t="s">
        <v>46</v>
      </c>
      <c r="H650" s="9" t="s">
        <v>1976</v>
      </c>
      <c r="I650" s="10">
        <v>45623</v>
      </c>
    </row>
    <row r="651" spans="1:9" x14ac:dyDescent="0.15">
      <c r="A651" s="9">
        <v>650</v>
      </c>
      <c r="B651" s="9" t="s">
        <v>9</v>
      </c>
      <c r="C651" s="9">
        <v>1927</v>
      </c>
      <c r="D651" s="10">
        <v>45729</v>
      </c>
      <c r="E651" s="11" t="str">
        <f>+HYPERLINK("http://trademark.i-assist.jp/data/china/image_1927th/82227006.pdf","82227006")</f>
        <v>82227006</v>
      </c>
      <c r="F651" s="9" t="s">
        <v>1977</v>
      </c>
      <c r="G651" s="9" t="s">
        <v>1978</v>
      </c>
      <c r="H651" s="9" t="s">
        <v>1979</v>
      </c>
      <c r="I651" s="10">
        <v>45624</v>
      </c>
    </row>
    <row r="652" spans="1:9" x14ac:dyDescent="0.15">
      <c r="A652" s="9">
        <v>651</v>
      </c>
      <c r="B652" s="9" t="s">
        <v>9</v>
      </c>
      <c r="C652" s="9">
        <v>1927</v>
      </c>
      <c r="D652" s="10">
        <v>45729</v>
      </c>
      <c r="E652" s="11" t="str">
        <f>+HYPERLINK("http://trademark.i-assist.jp/data/china/image_1927th/82227851.pdf","82227851")</f>
        <v>82227851</v>
      </c>
      <c r="F652" s="9" t="s">
        <v>1980</v>
      </c>
      <c r="G652" s="9" t="s">
        <v>1981</v>
      </c>
      <c r="H652" s="9" t="s">
        <v>1982</v>
      </c>
      <c r="I652" s="10">
        <v>45624</v>
      </c>
    </row>
    <row r="653" spans="1:9" x14ac:dyDescent="0.15">
      <c r="A653" s="9">
        <v>652</v>
      </c>
      <c r="B653" s="9" t="s">
        <v>9</v>
      </c>
      <c r="C653" s="9">
        <v>1927</v>
      </c>
      <c r="D653" s="10">
        <v>45729</v>
      </c>
      <c r="E653" s="11" t="str">
        <f>+HYPERLINK("http://trademark.i-assist.jp/data/china/image_1927th/82228244.pdf","82228244")</f>
        <v>82228244</v>
      </c>
      <c r="F653" s="9" t="s">
        <v>1983</v>
      </c>
      <c r="G653" s="12" t="s">
        <v>1984</v>
      </c>
      <c r="H653" s="9" t="s">
        <v>1985</v>
      </c>
      <c r="I653" s="10">
        <v>45624</v>
      </c>
    </row>
    <row r="654" spans="1:9" x14ac:dyDescent="0.15">
      <c r="A654" s="9">
        <v>653</v>
      </c>
      <c r="B654" s="9" t="s">
        <v>9</v>
      </c>
      <c r="C654" s="9">
        <v>1927</v>
      </c>
      <c r="D654" s="10">
        <v>45729</v>
      </c>
      <c r="E654" s="11" t="str">
        <f>+HYPERLINK("http://trademark.i-assist.jp/data/china/image_1927th/82229339.pdf","82229339")</f>
        <v>82229339</v>
      </c>
      <c r="F654" s="9" t="s">
        <v>1986</v>
      </c>
      <c r="G654" s="9" t="s">
        <v>1987</v>
      </c>
      <c r="H654" s="9" t="s">
        <v>1988</v>
      </c>
      <c r="I654" s="10">
        <v>45624</v>
      </c>
    </row>
    <row r="655" spans="1:9" x14ac:dyDescent="0.15">
      <c r="A655" s="9">
        <v>654</v>
      </c>
      <c r="B655" s="9" t="s">
        <v>9</v>
      </c>
      <c r="C655" s="9">
        <v>1927</v>
      </c>
      <c r="D655" s="10">
        <v>45729</v>
      </c>
      <c r="E655" s="11" t="str">
        <f>+HYPERLINK("http://trademark.i-assist.jp/data/china/image_1927th/82229766.pdf","82229766")</f>
        <v>82229766</v>
      </c>
      <c r="F655" s="9" t="s">
        <v>1989</v>
      </c>
      <c r="G655" s="12" t="s">
        <v>150</v>
      </c>
      <c r="H655" s="9" t="s">
        <v>1990</v>
      </c>
      <c r="I655" s="10">
        <v>45624</v>
      </c>
    </row>
    <row r="656" spans="1:9" x14ac:dyDescent="0.15">
      <c r="A656" s="9">
        <v>655</v>
      </c>
      <c r="B656" s="9" t="s">
        <v>9</v>
      </c>
      <c r="C656" s="9">
        <v>1927</v>
      </c>
      <c r="D656" s="10">
        <v>45729</v>
      </c>
      <c r="E656" s="11" t="str">
        <f>+HYPERLINK("http://trademark.i-assist.jp/data/china/image_1927th/82230033.pdf","82230033")</f>
        <v>82230033</v>
      </c>
      <c r="F656" s="9" t="s">
        <v>1991</v>
      </c>
      <c r="G656" s="9" t="s">
        <v>134</v>
      </c>
      <c r="H656" s="9" t="s">
        <v>1992</v>
      </c>
      <c r="I656" s="10">
        <v>45624</v>
      </c>
    </row>
    <row r="657" spans="1:9" x14ac:dyDescent="0.15">
      <c r="A657" s="9">
        <v>656</v>
      </c>
      <c r="B657" s="9" t="s">
        <v>9</v>
      </c>
      <c r="C657" s="9">
        <v>1927</v>
      </c>
      <c r="D657" s="10">
        <v>45729</v>
      </c>
      <c r="E657" s="11" t="str">
        <f>+HYPERLINK("http://trademark.i-assist.jp/data/china/image_1927th/82230338.pdf","82230338")</f>
        <v>82230338</v>
      </c>
      <c r="F657" s="9" t="s">
        <v>1993</v>
      </c>
      <c r="G657" s="9" t="s">
        <v>1994</v>
      </c>
      <c r="H657" s="9" t="s">
        <v>1995</v>
      </c>
      <c r="I657" s="10">
        <v>45624</v>
      </c>
    </row>
    <row r="658" spans="1:9" x14ac:dyDescent="0.15">
      <c r="A658" s="9">
        <v>657</v>
      </c>
      <c r="B658" s="9" t="s">
        <v>9</v>
      </c>
      <c r="C658" s="9">
        <v>1927</v>
      </c>
      <c r="D658" s="10">
        <v>45729</v>
      </c>
      <c r="E658" s="11" t="str">
        <f>+HYPERLINK("http://trademark.i-assist.jp/data/china/image_1927th/82230518.pdf","82230518")</f>
        <v>82230518</v>
      </c>
      <c r="F658" s="9" t="s">
        <v>1996</v>
      </c>
      <c r="G658" s="9" t="s">
        <v>1997</v>
      </c>
      <c r="H658" s="9" t="s">
        <v>1998</v>
      </c>
      <c r="I658" s="10">
        <v>45624</v>
      </c>
    </row>
    <row r="659" spans="1:9" x14ac:dyDescent="0.15">
      <c r="A659" s="9">
        <v>658</v>
      </c>
      <c r="B659" s="9" t="s">
        <v>9</v>
      </c>
      <c r="C659" s="9">
        <v>1927</v>
      </c>
      <c r="D659" s="10">
        <v>45729</v>
      </c>
      <c r="E659" s="11" t="str">
        <f>+HYPERLINK("http://trademark.i-assist.jp/data/china/image_1927th/82230783.pdf","82230783")</f>
        <v>82230783</v>
      </c>
      <c r="F659" s="9" t="s">
        <v>1999</v>
      </c>
      <c r="G659" s="9" t="s">
        <v>2000</v>
      </c>
      <c r="H659" s="9" t="s">
        <v>2001</v>
      </c>
      <c r="I659" s="10">
        <v>45624</v>
      </c>
    </row>
    <row r="660" spans="1:9" x14ac:dyDescent="0.15">
      <c r="A660" s="9">
        <v>659</v>
      </c>
      <c r="B660" s="9" t="s">
        <v>9</v>
      </c>
      <c r="C660" s="9">
        <v>1927</v>
      </c>
      <c r="D660" s="10">
        <v>45729</v>
      </c>
      <c r="E660" s="11" t="str">
        <f>+HYPERLINK("http://trademark.i-assist.jp/data/china/image_1927th/82231123.pdf","82231123")</f>
        <v>82231123</v>
      </c>
      <c r="F660" s="9" t="s">
        <v>2002</v>
      </c>
      <c r="G660" s="9" t="s">
        <v>28</v>
      </c>
      <c r="H660" s="12" t="s">
        <v>2003</v>
      </c>
      <c r="I660" s="10">
        <v>45624</v>
      </c>
    </row>
    <row r="661" spans="1:9" x14ac:dyDescent="0.15">
      <c r="A661" s="9">
        <v>660</v>
      </c>
      <c r="B661" s="9" t="s">
        <v>9</v>
      </c>
      <c r="C661" s="9">
        <v>1927</v>
      </c>
      <c r="D661" s="10">
        <v>45729</v>
      </c>
      <c r="E661" s="11" t="str">
        <f>+HYPERLINK("http://trademark.i-assist.jp/data/china/image_1927th/82231338.pdf","82231338")</f>
        <v>82231338</v>
      </c>
      <c r="F661" s="9" t="s">
        <v>2004</v>
      </c>
      <c r="G661" s="9" t="s">
        <v>54</v>
      </c>
      <c r="H661" s="9" t="s">
        <v>2005</v>
      </c>
      <c r="I661" s="10">
        <v>45624</v>
      </c>
    </row>
    <row r="662" spans="1:9" x14ac:dyDescent="0.15">
      <c r="A662" s="9">
        <v>661</v>
      </c>
      <c r="B662" s="9" t="s">
        <v>9</v>
      </c>
      <c r="C662" s="9">
        <v>1927</v>
      </c>
      <c r="D662" s="10">
        <v>45729</v>
      </c>
      <c r="E662" s="11" t="str">
        <f>+HYPERLINK("http://trademark.i-assist.jp/data/china/image_1927th/82231414.pdf","82231414")</f>
        <v>82231414</v>
      </c>
      <c r="F662" s="9" t="s">
        <v>2006</v>
      </c>
      <c r="G662" s="9" t="s">
        <v>2007</v>
      </c>
      <c r="H662" s="9" t="s">
        <v>2008</v>
      </c>
      <c r="I662" s="10">
        <v>45624</v>
      </c>
    </row>
    <row r="663" spans="1:9" x14ac:dyDescent="0.15">
      <c r="A663" s="9">
        <v>662</v>
      </c>
      <c r="B663" s="9" t="s">
        <v>9</v>
      </c>
      <c r="C663" s="9">
        <v>1927</v>
      </c>
      <c r="D663" s="10">
        <v>45729</v>
      </c>
      <c r="E663" s="11" t="str">
        <f>+HYPERLINK("http://trademark.i-assist.jp/data/china/image_1927th/82232496.pdf","82232496")</f>
        <v>82232496</v>
      </c>
      <c r="F663" s="9" t="s">
        <v>2009</v>
      </c>
      <c r="G663" s="9" t="s">
        <v>133</v>
      </c>
      <c r="H663" s="12" t="s">
        <v>2010</v>
      </c>
      <c r="I663" s="10">
        <v>45624</v>
      </c>
    </row>
    <row r="664" spans="1:9" x14ac:dyDescent="0.15">
      <c r="A664" s="9">
        <v>663</v>
      </c>
      <c r="B664" s="9" t="s">
        <v>9</v>
      </c>
      <c r="C664" s="9">
        <v>1927</v>
      </c>
      <c r="D664" s="10">
        <v>45729</v>
      </c>
      <c r="E664" s="11" t="str">
        <f>+HYPERLINK("http://trademark.i-assist.jp/data/china/image_1927th/82232756.pdf","82232756")</f>
        <v>82232756</v>
      </c>
      <c r="F664" s="9" t="s">
        <v>2011</v>
      </c>
      <c r="G664" s="9" t="s">
        <v>2012</v>
      </c>
      <c r="H664" s="12" t="s">
        <v>2013</v>
      </c>
      <c r="I664" s="10">
        <v>45624</v>
      </c>
    </row>
    <row r="665" spans="1:9" x14ac:dyDescent="0.15">
      <c r="A665" s="9">
        <v>664</v>
      </c>
      <c r="B665" s="9" t="s">
        <v>9</v>
      </c>
      <c r="C665" s="9">
        <v>1927</v>
      </c>
      <c r="D665" s="10">
        <v>45729</v>
      </c>
      <c r="E665" s="11" t="str">
        <f>+HYPERLINK("http://trademark.i-assist.jp/data/china/image_1927th/82233990.pdf","82233990")</f>
        <v>82233990</v>
      </c>
      <c r="F665" s="9" t="s">
        <v>2014</v>
      </c>
      <c r="G665" s="9" t="s">
        <v>28</v>
      </c>
      <c r="H665" s="9" t="s">
        <v>2015</v>
      </c>
      <c r="I665" s="10">
        <v>45624</v>
      </c>
    </row>
    <row r="666" spans="1:9" x14ac:dyDescent="0.15">
      <c r="A666" s="9">
        <v>665</v>
      </c>
      <c r="B666" s="9" t="s">
        <v>9</v>
      </c>
      <c r="C666" s="9">
        <v>1927</v>
      </c>
      <c r="D666" s="10">
        <v>45729</v>
      </c>
      <c r="E666" s="11" t="str">
        <f>+HYPERLINK("http://trademark.i-assist.jp/data/china/image_1927th/82234039.pdf","82234039")</f>
        <v>82234039</v>
      </c>
      <c r="F666" s="9" t="s">
        <v>2016</v>
      </c>
      <c r="G666" s="9" t="s">
        <v>2017</v>
      </c>
      <c r="H666" s="9" t="s">
        <v>2018</v>
      </c>
      <c r="I666" s="10">
        <v>45624</v>
      </c>
    </row>
    <row r="667" spans="1:9" x14ac:dyDescent="0.15">
      <c r="A667" s="9">
        <v>666</v>
      </c>
      <c r="B667" s="9" t="s">
        <v>9</v>
      </c>
      <c r="C667" s="9">
        <v>1927</v>
      </c>
      <c r="D667" s="10">
        <v>45729</v>
      </c>
      <c r="E667" s="11" t="str">
        <f>+HYPERLINK("http://trademark.i-assist.jp/data/china/image_1927th/82234212.pdf","82234212")</f>
        <v>82234212</v>
      </c>
      <c r="F667" s="9" t="s">
        <v>2019</v>
      </c>
      <c r="G667" s="9" t="s">
        <v>2020</v>
      </c>
      <c r="H667" s="12" t="s">
        <v>2021</v>
      </c>
      <c r="I667" s="10">
        <v>45624</v>
      </c>
    </row>
    <row r="668" spans="1:9" x14ac:dyDescent="0.15">
      <c r="A668" s="9">
        <v>667</v>
      </c>
      <c r="B668" s="9" t="s">
        <v>9</v>
      </c>
      <c r="C668" s="9">
        <v>1927</v>
      </c>
      <c r="D668" s="10">
        <v>45729</v>
      </c>
      <c r="E668" s="11" t="str">
        <f>+HYPERLINK("http://trademark.i-assist.jp/data/china/image_1927th/82234548.pdf","82234548")</f>
        <v>82234548</v>
      </c>
      <c r="F668" s="9" t="s">
        <v>2022</v>
      </c>
      <c r="G668" s="9" t="s">
        <v>28</v>
      </c>
      <c r="H668" s="9" t="s">
        <v>2023</v>
      </c>
      <c r="I668" s="10">
        <v>45624</v>
      </c>
    </row>
    <row r="669" spans="1:9" x14ac:dyDescent="0.15">
      <c r="A669" s="9">
        <v>668</v>
      </c>
      <c r="B669" s="9" t="s">
        <v>9</v>
      </c>
      <c r="C669" s="9">
        <v>1927</v>
      </c>
      <c r="D669" s="10">
        <v>45729</v>
      </c>
      <c r="E669" s="11" t="str">
        <f>+HYPERLINK("http://trademark.i-assist.jp/data/china/image_1927th/82234985.pdf","82234985")</f>
        <v>82234985</v>
      </c>
      <c r="F669" s="9" t="s">
        <v>2024</v>
      </c>
      <c r="G669" s="12" t="s">
        <v>2025</v>
      </c>
      <c r="H669" s="9" t="s">
        <v>2026</v>
      </c>
      <c r="I669" s="10">
        <v>45624</v>
      </c>
    </row>
    <row r="670" spans="1:9" x14ac:dyDescent="0.15">
      <c r="A670" s="9">
        <v>669</v>
      </c>
      <c r="B670" s="9" t="s">
        <v>9</v>
      </c>
      <c r="C670" s="9">
        <v>1927</v>
      </c>
      <c r="D670" s="10">
        <v>45729</v>
      </c>
      <c r="E670" s="11" t="str">
        <f>+HYPERLINK("http://trademark.i-assist.jp/data/china/image_1927th/82235241.pdf","82235241")</f>
        <v>82235241</v>
      </c>
      <c r="F670" s="9" t="s">
        <v>2027</v>
      </c>
      <c r="G670" s="9" t="s">
        <v>28</v>
      </c>
      <c r="H670" s="9" t="s">
        <v>2028</v>
      </c>
      <c r="I670" s="10">
        <v>45624</v>
      </c>
    </row>
    <row r="671" spans="1:9" x14ac:dyDescent="0.15">
      <c r="A671" s="9">
        <v>670</v>
      </c>
      <c r="B671" s="9" t="s">
        <v>9</v>
      </c>
      <c r="C671" s="9">
        <v>1927</v>
      </c>
      <c r="D671" s="10">
        <v>45729</v>
      </c>
      <c r="E671" s="11" t="str">
        <f>+HYPERLINK("http://trademark.i-assist.jp/data/china/image_1927th/82236386.pdf","82236386")</f>
        <v>82236386</v>
      </c>
      <c r="F671" s="9" t="s">
        <v>2029</v>
      </c>
      <c r="G671" s="12" t="s">
        <v>2030</v>
      </c>
      <c r="H671" s="9" t="s">
        <v>2031</v>
      </c>
      <c r="I671" s="10">
        <v>45624</v>
      </c>
    </row>
    <row r="672" spans="1:9" x14ac:dyDescent="0.15">
      <c r="A672" s="9">
        <v>671</v>
      </c>
      <c r="B672" s="9" t="s">
        <v>9</v>
      </c>
      <c r="C672" s="9">
        <v>1927</v>
      </c>
      <c r="D672" s="10">
        <v>45729</v>
      </c>
      <c r="E672" s="11" t="str">
        <f>+HYPERLINK("http://trademark.i-assist.jp/data/china/image_1927th/82236834.pdf","82236834")</f>
        <v>82236834</v>
      </c>
      <c r="F672" s="9" t="s">
        <v>2032</v>
      </c>
      <c r="G672" s="9" t="s">
        <v>28</v>
      </c>
      <c r="H672" s="12" t="s">
        <v>2033</v>
      </c>
      <c r="I672" s="10">
        <v>45624</v>
      </c>
    </row>
    <row r="673" spans="1:9" x14ac:dyDescent="0.15">
      <c r="A673" s="9">
        <v>672</v>
      </c>
      <c r="B673" s="9" t="s">
        <v>9</v>
      </c>
      <c r="C673" s="9">
        <v>1927</v>
      </c>
      <c r="D673" s="10">
        <v>45729</v>
      </c>
      <c r="E673" s="11" t="str">
        <f>+HYPERLINK("http://trademark.i-assist.jp/data/china/image_1927th/82236889.pdf","82236889")</f>
        <v>82236889</v>
      </c>
      <c r="F673" s="12" t="s">
        <v>2034</v>
      </c>
      <c r="G673" s="9" t="s">
        <v>2035</v>
      </c>
      <c r="H673" s="12" t="s">
        <v>2036</v>
      </c>
      <c r="I673" s="10">
        <v>45624</v>
      </c>
    </row>
    <row r="674" spans="1:9" x14ac:dyDescent="0.15">
      <c r="A674" s="9">
        <v>673</v>
      </c>
      <c r="B674" s="9" t="s">
        <v>9</v>
      </c>
      <c r="C674" s="9">
        <v>1927</v>
      </c>
      <c r="D674" s="10">
        <v>45729</v>
      </c>
      <c r="E674" s="11" t="str">
        <f>+HYPERLINK("http://trademark.i-assist.jp/data/china/image_1927th/82237165.pdf","82237165")</f>
        <v>82237165</v>
      </c>
      <c r="F674" s="9" t="s">
        <v>2037</v>
      </c>
      <c r="G674" s="9" t="s">
        <v>134</v>
      </c>
      <c r="H674" s="9" t="s">
        <v>2038</v>
      </c>
      <c r="I674" s="10">
        <v>45624</v>
      </c>
    </row>
    <row r="675" spans="1:9" x14ac:dyDescent="0.15">
      <c r="A675" s="9">
        <v>674</v>
      </c>
      <c r="B675" s="9" t="s">
        <v>9</v>
      </c>
      <c r="C675" s="9">
        <v>1927</v>
      </c>
      <c r="D675" s="10">
        <v>45729</v>
      </c>
      <c r="E675" s="11" t="str">
        <f>+HYPERLINK("http://trademark.i-assist.jp/data/china/image_1927th/82237305.pdf","82237305")</f>
        <v>82237305</v>
      </c>
      <c r="F675" s="9" t="s">
        <v>2039</v>
      </c>
      <c r="G675" s="9" t="s">
        <v>2040</v>
      </c>
      <c r="H675" s="9" t="s">
        <v>2041</v>
      </c>
      <c r="I675" s="10">
        <v>45624</v>
      </c>
    </row>
    <row r="676" spans="1:9" x14ac:dyDescent="0.15">
      <c r="A676" s="9">
        <v>675</v>
      </c>
      <c r="B676" s="9" t="s">
        <v>9</v>
      </c>
      <c r="C676" s="9">
        <v>1927</v>
      </c>
      <c r="D676" s="10">
        <v>45729</v>
      </c>
      <c r="E676" s="11" t="str">
        <f>+HYPERLINK("http://trademark.i-assist.jp/data/china/image_1927th/82237384.pdf","82237384")</f>
        <v>82237384</v>
      </c>
      <c r="F676" s="9" t="s">
        <v>2042</v>
      </c>
      <c r="G676" s="9" t="s">
        <v>2043</v>
      </c>
      <c r="H676" s="9" t="s">
        <v>2044</v>
      </c>
      <c r="I676" s="10">
        <v>45624</v>
      </c>
    </row>
    <row r="677" spans="1:9" x14ac:dyDescent="0.15">
      <c r="A677" s="9">
        <v>676</v>
      </c>
      <c r="B677" s="9" t="s">
        <v>9</v>
      </c>
      <c r="C677" s="9">
        <v>1927</v>
      </c>
      <c r="D677" s="10">
        <v>45729</v>
      </c>
      <c r="E677" s="11" t="str">
        <f>+HYPERLINK("http://trademark.i-assist.jp/data/china/image_1927th/82237411.pdf","82237411")</f>
        <v>82237411</v>
      </c>
      <c r="F677" s="9" t="s">
        <v>2045</v>
      </c>
      <c r="G677" s="9" t="s">
        <v>2046</v>
      </c>
      <c r="H677" s="9" t="s">
        <v>2047</v>
      </c>
      <c r="I677" s="10">
        <v>45624</v>
      </c>
    </row>
    <row r="678" spans="1:9" x14ac:dyDescent="0.15">
      <c r="A678" s="9">
        <v>677</v>
      </c>
      <c r="B678" s="9" t="s">
        <v>9</v>
      </c>
      <c r="C678" s="9">
        <v>1927</v>
      </c>
      <c r="D678" s="10">
        <v>45729</v>
      </c>
      <c r="E678" s="11" t="str">
        <f>+HYPERLINK("http://trademark.i-assist.jp/data/china/image_1927th/82237435.pdf","82237435")</f>
        <v>82237435</v>
      </c>
      <c r="F678" s="9" t="s">
        <v>2048</v>
      </c>
      <c r="G678" s="9" t="s">
        <v>2049</v>
      </c>
      <c r="H678" s="9" t="s">
        <v>2050</v>
      </c>
      <c r="I678" s="10">
        <v>45624</v>
      </c>
    </row>
    <row r="679" spans="1:9" x14ac:dyDescent="0.15">
      <c r="A679" s="9">
        <v>678</v>
      </c>
      <c r="B679" s="9" t="s">
        <v>9</v>
      </c>
      <c r="C679" s="9">
        <v>1927</v>
      </c>
      <c r="D679" s="10">
        <v>45729</v>
      </c>
      <c r="E679" s="11" t="str">
        <f>+HYPERLINK("http://trademark.i-assist.jp/data/china/image_1927th/82238457.pdf","82238457")</f>
        <v>82238457</v>
      </c>
      <c r="F679" s="9" t="s">
        <v>2051</v>
      </c>
      <c r="G679" s="9" t="s">
        <v>2052</v>
      </c>
      <c r="H679" s="9" t="s">
        <v>2053</v>
      </c>
      <c r="I679" s="10">
        <v>45624</v>
      </c>
    </row>
    <row r="680" spans="1:9" x14ac:dyDescent="0.15">
      <c r="A680" s="9">
        <v>679</v>
      </c>
      <c r="B680" s="9" t="s">
        <v>9</v>
      </c>
      <c r="C680" s="9">
        <v>1927</v>
      </c>
      <c r="D680" s="10">
        <v>45729</v>
      </c>
      <c r="E680" s="11" t="str">
        <f>+HYPERLINK("http://trademark.i-assist.jp/data/china/image_1927th/82238650.pdf","82238650")</f>
        <v>82238650</v>
      </c>
      <c r="F680" s="9" t="s">
        <v>2054</v>
      </c>
      <c r="G680" s="12" t="s">
        <v>2055</v>
      </c>
      <c r="H680" s="12" t="s">
        <v>2056</v>
      </c>
      <c r="I680" s="10">
        <v>45624</v>
      </c>
    </row>
    <row r="681" spans="1:9" x14ac:dyDescent="0.15">
      <c r="A681" s="9">
        <v>680</v>
      </c>
      <c r="B681" s="9" t="s">
        <v>9</v>
      </c>
      <c r="C681" s="9">
        <v>1927</v>
      </c>
      <c r="D681" s="10">
        <v>45729</v>
      </c>
      <c r="E681" s="11" t="str">
        <f>+HYPERLINK("http://trademark.i-assist.jp/data/china/image_1927th/82238856.pdf","82238856")</f>
        <v>82238856</v>
      </c>
      <c r="F681" s="9" t="s">
        <v>2057</v>
      </c>
      <c r="G681" s="12" t="s">
        <v>2058</v>
      </c>
      <c r="H681" s="9" t="s">
        <v>2059</v>
      </c>
      <c r="I681" s="10">
        <v>45624</v>
      </c>
    </row>
    <row r="682" spans="1:9" x14ac:dyDescent="0.15">
      <c r="A682" s="9">
        <v>681</v>
      </c>
      <c r="B682" s="9" t="s">
        <v>9</v>
      </c>
      <c r="C682" s="9">
        <v>1927</v>
      </c>
      <c r="D682" s="10">
        <v>45729</v>
      </c>
      <c r="E682" s="11" t="str">
        <f>+HYPERLINK("http://trademark.i-assist.jp/data/china/image_1927th/82238902.pdf","82238902")</f>
        <v>82238902</v>
      </c>
      <c r="F682" s="9" t="s">
        <v>2060</v>
      </c>
      <c r="G682" s="9" t="s">
        <v>2061</v>
      </c>
      <c r="H682" s="9" t="s">
        <v>2062</v>
      </c>
      <c r="I682" s="10">
        <v>45624</v>
      </c>
    </row>
    <row r="683" spans="1:9" x14ac:dyDescent="0.15">
      <c r="A683" s="9">
        <v>682</v>
      </c>
      <c r="B683" s="9" t="s">
        <v>9</v>
      </c>
      <c r="C683" s="9">
        <v>1927</v>
      </c>
      <c r="D683" s="10">
        <v>45729</v>
      </c>
      <c r="E683" s="11" t="str">
        <f>+HYPERLINK("http://trademark.i-assist.jp/data/china/image_1927th/82238962.pdf","82238962")</f>
        <v>82238962</v>
      </c>
      <c r="F683" s="9" t="s">
        <v>2063</v>
      </c>
      <c r="G683" s="9" t="s">
        <v>28</v>
      </c>
      <c r="H683" s="9" t="s">
        <v>2064</v>
      </c>
      <c r="I683" s="10">
        <v>45624</v>
      </c>
    </row>
    <row r="684" spans="1:9" x14ac:dyDescent="0.15">
      <c r="A684" s="9">
        <v>683</v>
      </c>
      <c r="B684" s="9" t="s">
        <v>9</v>
      </c>
      <c r="C684" s="9">
        <v>1927</v>
      </c>
      <c r="D684" s="10">
        <v>45729</v>
      </c>
      <c r="E684" s="11" t="str">
        <f>+HYPERLINK("http://trademark.i-assist.jp/data/china/image_1927th/82239334.pdf","82239334")</f>
        <v>82239334</v>
      </c>
      <c r="F684" s="9" t="s">
        <v>2065</v>
      </c>
      <c r="G684" s="12" t="s">
        <v>33</v>
      </c>
      <c r="H684" s="9" t="s">
        <v>2066</v>
      </c>
      <c r="I684" s="10">
        <v>45624</v>
      </c>
    </row>
    <row r="685" spans="1:9" x14ac:dyDescent="0.15">
      <c r="A685" s="9">
        <v>684</v>
      </c>
      <c r="B685" s="9" t="s">
        <v>9</v>
      </c>
      <c r="C685" s="9">
        <v>1927</v>
      </c>
      <c r="D685" s="10">
        <v>45729</v>
      </c>
      <c r="E685" s="11" t="str">
        <f>+HYPERLINK("http://trademark.i-assist.jp/data/china/image_1927th/82239410.pdf","82239410")</f>
        <v>82239410</v>
      </c>
      <c r="F685" s="9" t="s">
        <v>2067</v>
      </c>
      <c r="G685" s="12" t="s">
        <v>2068</v>
      </c>
      <c r="H685" s="12" t="s">
        <v>2069</v>
      </c>
      <c r="I685" s="10">
        <v>45624</v>
      </c>
    </row>
    <row r="686" spans="1:9" x14ac:dyDescent="0.15">
      <c r="A686" s="9">
        <v>685</v>
      </c>
      <c r="B686" s="9" t="s">
        <v>9</v>
      </c>
      <c r="C686" s="9">
        <v>1927</v>
      </c>
      <c r="D686" s="10">
        <v>45729</v>
      </c>
      <c r="E686" s="11" t="str">
        <f>+HYPERLINK("http://trademark.i-assist.jp/data/china/image_1927th/82239565.pdf","82239565")</f>
        <v>82239565</v>
      </c>
      <c r="F686" s="9" t="s">
        <v>2070</v>
      </c>
      <c r="G686" s="9" t="s">
        <v>2071</v>
      </c>
      <c r="H686" s="9" t="s">
        <v>2072</v>
      </c>
      <c r="I686" s="10">
        <v>45624</v>
      </c>
    </row>
    <row r="687" spans="1:9" x14ac:dyDescent="0.15">
      <c r="A687" s="9">
        <v>686</v>
      </c>
      <c r="B687" s="9" t="s">
        <v>9</v>
      </c>
      <c r="C687" s="9">
        <v>1927</v>
      </c>
      <c r="D687" s="10">
        <v>45729</v>
      </c>
      <c r="E687" s="11" t="str">
        <f>+HYPERLINK("http://trademark.i-assist.jp/data/china/image_1927th/82239567.pdf","82239567")</f>
        <v>82239567</v>
      </c>
      <c r="F687" s="9" t="s">
        <v>2073</v>
      </c>
      <c r="G687" s="9" t="s">
        <v>2074</v>
      </c>
      <c r="H687" s="9" t="s">
        <v>2075</v>
      </c>
      <c r="I687" s="10">
        <v>45624</v>
      </c>
    </row>
    <row r="688" spans="1:9" x14ac:dyDescent="0.15">
      <c r="A688" s="9">
        <v>687</v>
      </c>
      <c r="B688" s="9" t="s">
        <v>9</v>
      </c>
      <c r="C688" s="9">
        <v>1927</v>
      </c>
      <c r="D688" s="10">
        <v>45729</v>
      </c>
      <c r="E688" s="11" t="str">
        <f>+HYPERLINK("http://trademark.i-assist.jp/data/china/image_1927th/82239920.pdf","82239920")</f>
        <v>82239920</v>
      </c>
      <c r="F688" s="9" t="s">
        <v>2076</v>
      </c>
      <c r="G688" s="9" t="s">
        <v>28</v>
      </c>
      <c r="H688" s="12" t="s">
        <v>2077</v>
      </c>
      <c r="I688" s="10">
        <v>45624</v>
      </c>
    </row>
    <row r="689" spans="1:9" x14ac:dyDescent="0.15">
      <c r="A689" s="9">
        <v>688</v>
      </c>
      <c r="B689" s="9" t="s">
        <v>9</v>
      </c>
      <c r="C689" s="9">
        <v>1927</v>
      </c>
      <c r="D689" s="10">
        <v>45729</v>
      </c>
      <c r="E689" s="11" t="str">
        <f>+HYPERLINK("http://trademark.i-assist.jp/data/china/image_1927th/82240199.pdf","82240199")</f>
        <v>82240199</v>
      </c>
      <c r="F689" s="12" t="s">
        <v>2078</v>
      </c>
      <c r="G689" s="9" t="s">
        <v>2079</v>
      </c>
      <c r="H689" s="9" t="s">
        <v>2080</v>
      </c>
      <c r="I689" s="10">
        <v>45624</v>
      </c>
    </row>
    <row r="690" spans="1:9" x14ac:dyDescent="0.15">
      <c r="A690" s="9">
        <v>689</v>
      </c>
      <c r="B690" s="9" t="s">
        <v>9</v>
      </c>
      <c r="C690" s="9">
        <v>1927</v>
      </c>
      <c r="D690" s="10">
        <v>45729</v>
      </c>
      <c r="E690" s="11" t="str">
        <f>+HYPERLINK("http://trademark.i-assist.jp/data/china/image_1927th/82240473.pdf","82240473")</f>
        <v>82240473</v>
      </c>
      <c r="F690" s="12" t="s">
        <v>2081</v>
      </c>
      <c r="G690" s="9" t="s">
        <v>2082</v>
      </c>
      <c r="H690" s="9" t="s">
        <v>2083</v>
      </c>
      <c r="I690" s="10">
        <v>45624</v>
      </c>
    </row>
    <row r="691" spans="1:9" x14ac:dyDescent="0.15">
      <c r="A691" s="9">
        <v>690</v>
      </c>
      <c r="B691" s="9" t="s">
        <v>9</v>
      </c>
      <c r="C691" s="9">
        <v>1927</v>
      </c>
      <c r="D691" s="10">
        <v>45729</v>
      </c>
      <c r="E691" s="11" t="str">
        <f>+HYPERLINK("http://trademark.i-assist.jp/data/china/image_1927th/82241053.pdf","82241053")</f>
        <v>82241053</v>
      </c>
      <c r="F691" s="9" t="s">
        <v>2084</v>
      </c>
      <c r="G691" s="9" t="s">
        <v>28</v>
      </c>
      <c r="H691" s="9" t="s">
        <v>2085</v>
      </c>
      <c r="I691" s="10">
        <v>45624</v>
      </c>
    </row>
    <row r="692" spans="1:9" x14ac:dyDescent="0.15">
      <c r="A692" s="9">
        <v>691</v>
      </c>
      <c r="B692" s="9" t="s">
        <v>9</v>
      </c>
      <c r="C692" s="9">
        <v>1927</v>
      </c>
      <c r="D692" s="10">
        <v>45729</v>
      </c>
      <c r="E692" s="11" t="str">
        <f>+HYPERLINK("http://trademark.i-assist.jp/data/china/image_1927th/82241099.pdf","82241099")</f>
        <v>82241099</v>
      </c>
      <c r="F692" s="9" t="s">
        <v>2086</v>
      </c>
      <c r="G692" s="12" t="s">
        <v>2087</v>
      </c>
      <c r="H692" s="9" t="s">
        <v>2088</v>
      </c>
      <c r="I692" s="10">
        <v>45624</v>
      </c>
    </row>
    <row r="693" spans="1:9" x14ac:dyDescent="0.15">
      <c r="A693" s="9">
        <v>692</v>
      </c>
      <c r="B693" s="9" t="s">
        <v>9</v>
      </c>
      <c r="C693" s="9">
        <v>1927</v>
      </c>
      <c r="D693" s="10">
        <v>45729</v>
      </c>
      <c r="E693" s="11" t="str">
        <f>+HYPERLINK("http://trademark.i-assist.jp/data/china/image_1927th/82241119.pdf","82241119")</f>
        <v>82241119</v>
      </c>
      <c r="F693" s="12" t="s">
        <v>2089</v>
      </c>
      <c r="G693" s="9" t="s">
        <v>2090</v>
      </c>
      <c r="H693" s="9" t="s">
        <v>2091</v>
      </c>
      <c r="I693" s="10">
        <v>45624</v>
      </c>
    </row>
    <row r="694" spans="1:9" x14ac:dyDescent="0.15">
      <c r="A694" s="9">
        <v>693</v>
      </c>
      <c r="B694" s="9" t="s">
        <v>9</v>
      </c>
      <c r="C694" s="9">
        <v>1927</v>
      </c>
      <c r="D694" s="10">
        <v>45729</v>
      </c>
      <c r="E694" s="11" t="str">
        <f>+HYPERLINK("http://trademark.i-assist.jp/data/china/image_1927th/82241428.pdf","82241428")</f>
        <v>82241428</v>
      </c>
      <c r="F694" s="9" t="s">
        <v>2092</v>
      </c>
      <c r="G694" s="9" t="s">
        <v>2093</v>
      </c>
      <c r="H694" s="9" t="s">
        <v>2094</v>
      </c>
      <c r="I694" s="10">
        <v>45624</v>
      </c>
    </row>
    <row r="695" spans="1:9" x14ac:dyDescent="0.15">
      <c r="A695" s="9">
        <v>694</v>
      </c>
      <c r="B695" s="9" t="s">
        <v>9</v>
      </c>
      <c r="C695" s="9">
        <v>1927</v>
      </c>
      <c r="D695" s="10">
        <v>45729</v>
      </c>
      <c r="E695" s="11" t="str">
        <f>+HYPERLINK("http://trademark.i-assist.jp/data/china/image_1927th/82241808.pdf","82241808")</f>
        <v>82241808</v>
      </c>
      <c r="F695" s="9" t="s">
        <v>2095</v>
      </c>
      <c r="G695" s="9" t="s">
        <v>28</v>
      </c>
      <c r="H695" s="9" t="s">
        <v>2096</v>
      </c>
      <c r="I695" s="10">
        <v>45624</v>
      </c>
    </row>
    <row r="696" spans="1:9" x14ac:dyDescent="0.15">
      <c r="A696" s="9">
        <v>695</v>
      </c>
      <c r="B696" s="9" t="s">
        <v>9</v>
      </c>
      <c r="C696" s="9">
        <v>1927</v>
      </c>
      <c r="D696" s="10">
        <v>45729</v>
      </c>
      <c r="E696" s="11" t="str">
        <f>+HYPERLINK("http://trademark.i-assist.jp/data/china/image_1927th/82242277.pdf","82242277")</f>
        <v>82242277</v>
      </c>
      <c r="F696" s="9" t="s">
        <v>2097</v>
      </c>
      <c r="G696" s="12" t="s">
        <v>2098</v>
      </c>
      <c r="H696" s="9" t="s">
        <v>2099</v>
      </c>
      <c r="I696" s="10">
        <v>45624</v>
      </c>
    </row>
    <row r="697" spans="1:9" x14ac:dyDescent="0.15">
      <c r="A697" s="9">
        <v>696</v>
      </c>
      <c r="B697" s="9" t="s">
        <v>9</v>
      </c>
      <c r="C697" s="9">
        <v>1927</v>
      </c>
      <c r="D697" s="10">
        <v>45729</v>
      </c>
      <c r="E697" s="11" t="str">
        <f>+HYPERLINK("http://trademark.i-assist.jp/data/china/image_1927th/82242931.pdf","82242931")</f>
        <v>82242931</v>
      </c>
      <c r="F697" s="12" t="s">
        <v>16</v>
      </c>
      <c r="G697" s="9" t="s">
        <v>2100</v>
      </c>
      <c r="H697" s="9" t="s">
        <v>2101</v>
      </c>
      <c r="I697" s="10">
        <v>45624</v>
      </c>
    </row>
    <row r="698" spans="1:9" x14ac:dyDescent="0.15">
      <c r="A698" s="9">
        <v>697</v>
      </c>
      <c r="B698" s="9" t="s">
        <v>9</v>
      </c>
      <c r="C698" s="9">
        <v>1927</v>
      </c>
      <c r="D698" s="10">
        <v>45729</v>
      </c>
      <c r="E698" s="11" t="str">
        <f>+HYPERLINK("http://trademark.i-assist.jp/data/china/image_1927th/82243298.pdf","82243298")</f>
        <v>82243298</v>
      </c>
      <c r="F698" s="9" t="s">
        <v>2102</v>
      </c>
      <c r="G698" s="9" t="s">
        <v>2103</v>
      </c>
      <c r="H698" s="9" t="s">
        <v>2104</v>
      </c>
      <c r="I698" s="10">
        <v>45624</v>
      </c>
    </row>
    <row r="699" spans="1:9" x14ac:dyDescent="0.15">
      <c r="A699" s="9">
        <v>698</v>
      </c>
      <c r="B699" s="9" t="s">
        <v>9</v>
      </c>
      <c r="C699" s="9">
        <v>1927</v>
      </c>
      <c r="D699" s="10">
        <v>45729</v>
      </c>
      <c r="E699" s="11" t="str">
        <f>+HYPERLINK("http://trademark.i-assist.jp/data/china/image_1927th/82243304.pdf","82243304")</f>
        <v>82243304</v>
      </c>
      <c r="F699" s="9" t="s">
        <v>2105</v>
      </c>
      <c r="G699" s="9" t="s">
        <v>2106</v>
      </c>
      <c r="H699" s="9" t="s">
        <v>2107</v>
      </c>
      <c r="I699" s="10">
        <v>45624</v>
      </c>
    </row>
    <row r="700" spans="1:9" x14ac:dyDescent="0.15">
      <c r="A700" s="9">
        <v>699</v>
      </c>
      <c r="B700" s="9" t="s">
        <v>9</v>
      </c>
      <c r="C700" s="9">
        <v>1927</v>
      </c>
      <c r="D700" s="10">
        <v>45729</v>
      </c>
      <c r="E700" s="11" t="str">
        <f>+HYPERLINK("http://trademark.i-assist.jp/data/china/image_1927th/82243305.pdf","82243305")</f>
        <v>82243305</v>
      </c>
      <c r="F700" s="9" t="s">
        <v>2108</v>
      </c>
      <c r="G700" s="12" t="s">
        <v>2109</v>
      </c>
      <c r="H700" s="9" t="s">
        <v>2110</v>
      </c>
      <c r="I700" s="10">
        <v>45624</v>
      </c>
    </row>
    <row r="701" spans="1:9" x14ac:dyDescent="0.15">
      <c r="A701" s="9">
        <v>700</v>
      </c>
      <c r="B701" s="9" t="s">
        <v>9</v>
      </c>
      <c r="C701" s="9">
        <v>1927</v>
      </c>
      <c r="D701" s="10">
        <v>45729</v>
      </c>
      <c r="E701" s="11" t="str">
        <f>+HYPERLINK("http://trademark.i-assist.jp/data/china/image_1927th/82244086.pdf","82244086")</f>
        <v>82244086</v>
      </c>
      <c r="F701" s="9" t="s">
        <v>2111</v>
      </c>
      <c r="G701" s="9" t="s">
        <v>2112</v>
      </c>
      <c r="H701" s="9" t="s">
        <v>2113</v>
      </c>
      <c r="I701" s="10">
        <v>45624</v>
      </c>
    </row>
    <row r="702" spans="1:9" x14ac:dyDescent="0.15">
      <c r="A702" s="9">
        <v>701</v>
      </c>
      <c r="B702" s="9" t="s">
        <v>9</v>
      </c>
      <c r="C702" s="9">
        <v>1927</v>
      </c>
      <c r="D702" s="10">
        <v>45729</v>
      </c>
      <c r="E702" s="11" t="str">
        <f>+HYPERLINK("http://trademark.i-assist.jp/data/china/image_1927th/82245674.pdf","82245674")</f>
        <v>82245674</v>
      </c>
      <c r="F702" s="9" t="s">
        <v>2114</v>
      </c>
      <c r="G702" s="9" t="s">
        <v>2115</v>
      </c>
      <c r="H702" s="9" t="s">
        <v>2116</v>
      </c>
      <c r="I702" s="10">
        <v>45624</v>
      </c>
    </row>
    <row r="703" spans="1:9" x14ac:dyDescent="0.15">
      <c r="A703" s="9">
        <v>702</v>
      </c>
      <c r="B703" s="9" t="s">
        <v>9</v>
      </c>
      <c r="C703" s="9">
        <v>1927</v>
      </c>
      <c r="D703" s="10">
        <v>45729</v>
      </c>
      <c r="E703" s="11" t="str">
        <f>+HYPERLINK("http://trademark.i-assist.jp/data/china/image_1927th/82246170.pdf","82246170")</f>
        <v>82246170</v>
      </c>
      <c r="F703" s="9" t="s">
        <v>2117</v>
      </c>
      <c r="G703" s="9" t="s">
        <v>2118</v>
      </c>
      <c r="H703" s="9" t="s">
        <v>2119</v>
      </c>
      <c r="I703" s="10">
        <v>45624</v>
      </c>
    </row>
    <row r="704" spans="1:9" x14ac:dyDescent="0.15">
      <c r="A704" s="9">
        <v>703</v>
      </c>
      <c r="B704" s="9" t="s">
        <v>9</v>
      </c>
      <c r="C704" s="9">
        <v>1927</v>
      </c>
      <c r="D704" s="10">
        <v>45729</v>
      </c>
      <c r="E704" s="11" t="str">
        <f>+HYPERLINK("http://trademark.i-assist.jp/data/china/image_1927th/82246612.pdf","82246612")</f>
        <v>82246612</v>
      </c>
      <c r="F704" s="9" t="s">
        <v>2120</v>
      </c>
      <c r="G704" s="12" t="s">
        <v>2121</v>
      </c>
      <c r="H704" s="9" t="s">
        <v>2122</v>
      </c>
      <c r="I704" s="10">
        <v>45624</v>
      </c>
    </row>
    <row r="705" spans="1:9" x14ac:dyDescent="0.15">
      <c r="A705" s="9">
        <v>704</v>
      </c>
      <c r="B705" s="9" t="s">
        <v>9</v>
      </c>
      <c r="C705" s="9">
        <v>1927</v>
      </c>
      <c r="D705" s="10">
        <v>45729</v>
      </c>
      <c r="E705" s="11" t="str">
        <f>+HYPERLINK("http://trademark.i-assist.jp/data/china/image_1927th/82246737.pdf","82246737")</f>
        <v>82246737</v>
      </c>
      <c r="F705" s="9" t="s">
        <v>2123</v>
      </c>
      <c r="G705" s="9" t="s">
        <v>2124</v>
      </c>
      <c r="H705" s="9" t="s">
        <v>2125</v>
      </c>
      <c r="I705" s="10">
        <v>45624</v>
      </c>
    </row>
    <row r="706" spans="1:9" x14ac:dyDescent="0.15">
      <c r="A706" s="9">
        <v>705</v>
      </c>
      <c r="B706" s="9" t="s">
        <v>9</v>
      </c>
      <c r="C706" s="9">
        <v>1927</v>
      </c>
      <c r="D706" s="10">
        <v>45729</v>
      </c>
      <c r="E706" s="11" t="str">
        <f>+HYPERLINK("http://trademark.i-assist.jp/data/china/image_1927th/82247065.pdf","82247065")</f>
        <v>82247065</v>
      </c>
      <c r="F706" s="9" t="s">
        <v>2126</v>
      </c>
      <c r="G706" s="9" t="s">
        <v>28</v>
      </c>
      <c r="H706" s="9" t="s">
        <v>2127</v>
      </c>
      <c r="I706" s="10">
        <v>45624</v>
      </c>
    </row>
    <row r="707" spans="1:9" x14ac:dyDescent="0.15">
      <c r="A707" s="9">
        <v>706</v>
      </c>
      <c r="B707" s="9" t="s">
        <v>9</v>
      </c>
      <c r="C707" s="9">
        <v>1927</v>
      </c>
      <c r="D707" s="10">
        <v>45729</v>
      </c>
      <c r="E707" s="11" t="str">
        <f>+HYPERLINK("http://trademark.i-assist.jp/data/china/image_1927th/82247323.pdf","82247323")</f>
        <v>82247323</v>
      </c>
      <c r="F707" s="9" t="s">
        <v>2128</v>
      </c>
      <c r="G707" s="9" t="s">
        <v>2129</v>
      </c>
      <c r="H707" s="9" t="s">
        <v>2130</v>
      </c>
      <c r="I707" s="10">
        <v>45624</v>
      </c>
    </row>
    <row r="708" spans="1:9" x14ac:dyDescent="0.15">
      <c r="A708" s="9">
        <v>707</v>
      </c>
      <c r="B708" s="9" t="s">
        <v>9</v>
      </c>
      <c r="C708" s="9">
        <v>1927</v>
      </c>
      <c r="D708" s="10">
        <v>45729</v>
      </c>
      <c r="E708" s="11" t="str">
        <f>+HYPERLINK("http://trademark.i-assist.jp/data/china/image_1927th/82247866.pdf","82247866")</f>
        <v>82247866</v>
      </c>
      <c r="F708" s="12" t="s">
        <v>2131</v>
      </c>
      <c r="G708" s="9" t="s">
        <v>2132</v>
      </c>
      <c r="H708" s="12" t="s">
        <v>2133</v>
      </c>
      <c r="I708" s="10">
        <v>45624</v>
      </c>
    </row>
    <row r="709" spans="1:9" x14ac:dyDescent="0.15">
      <c r="A709" s="9">
        <v>708</v>
      </c>
      <c r="B709" s="9" t="s">
        <v>9</v>
      </c>
      <c r="C709" s="9">
        <v>1927</v>
      </c>
      <c r="D709" s="10">
        <v>45729</v>
      </c>
      <c r="E709" s="11" t="str">
        <f>+HYPERLINK("http://trademark.i-assist.jp/data/china/image_1927th/82248160.pdf","82248160")</f>
        <v>82248160</v>
      </c>
      <c r="F709" s="9" t="s">
        <v>2134</v>
      </c>
      <c r="G709" s="12" t="s">
        <v>135</v>
      </c>
      <c r="H709" s="9" t="s">
        <v>2135</v>
      </c>
      <c r="I709" s="10">
        <v>45624</v>
      </c>
    </row>
    <row r="710" spans="1:9" x14ac:dyDescent="0.15">
      <c r="A710" s="9">
        <v>709</v>
      </c>
      <c r="B710" s="9" t="s">
        <v>9</v>
      </c>
      <c r="C710" s="9">
        <v>1927</v>
      </c>
      <c r="D710" s="10">
        <v>45729</v>
      </c>
      <c r="E710" s="11" t="str">
        <f>+HYPERLINK("http://trademark.i-assist.jp/data/china/image_1927th/82248474.pdf","82248474")</f>
        <v>82248474</v>
      </c>
      <c r="F710" s="9" t="s">
        <v>2136</v>
      </c>
      <c r="G710" s="12" t="s">
        <v>2137</v>
      </c>
      <c r="H710" s="9" t="s">
        <v>2138</v>
      </c>
      <c r="I710" s="10">
        <v>45624</v>
      </c>
    </row>
    <row r="711" spans="1:9" x14ac:dyDescent="0.15">
      <c r="A711" s="9">
        <v>710</v>
      </c>
      <c r="B711" s="9" t="s">
        <v>9</v>
      </c>
      <c r="C711" s="9">
        <v>1927</v>
      </c>
      <c r="D711" s="10">
        <v>45729</v>
      </c>
      <c r="E711" s="11" t="str">
        <f>+HYPERLINK("http://trademark.i-assist.jp/data/china/image_1927th/82248484.pdf","82248484")</f>
        <v>82248484</v>
      </c>
      <c r="F711" s="9" t="s">
        <v>2139</v>
      </c>
      <c r="G711" s="9" t="s">
        <v>28</v>
      </c>
      <c r="H711" s="9" t="s">
        <v>2140</v>
      </c>
      <c r="I711" s="10">
        <v>45624</v>
      </c>
    </row>
    <row r="712" spans="1:9" x14ac:dyDescent="0.15">
      <c r="A712" s="9">
        <v>711</v>
      </c>
      <c r="B712" s="9" t="s">
        <v>9</v>
      </c>
      <c r="C712" s="9">
        <v>1927</v>
      </c>
      <c r="D712" s="10">
        <v>45729</v>
      </c>
      <c r="E712" s="11" t="str">
        <f>+HYPERLINK("http://trademark.i-assist.jp/data/china/image_1927th/82248849.pdf","82248849")</f>
        <v>82248849</v>
      </c>
      <c r="F712" s="9" t="s">
        <v>2141</v>
      </c>
      <c r="G712" s="12" t="s">
        <v>2142</v>
      </c>
      <c r="H712" s="9" t="s">
        <v>2143</v>
      </c>
      <c r="I712" s="10">
        <v>45624</v>
      </c>
    </row>
    <row r="713" spans="1:9" x14ac:dyDescent="0.15">
      <c r="A713" s="9">
        <v>712</v>
      </c>
      <c r="B713" s="9" t="s">
        <v>9</v>
      </c>
      <c r="C713" s="9">
        <v>1927</v>
      </c>
      <c r="D713" s="10">
        <v>45729</v>
      </c>
      <c r="E713" s="11" t="str">
        <f>+HYPERLINK("http://trademark.i-assist.jp/data/china/image_1927th/82249206.pdf","82249206")</f>
        <v>82249206</v>
      </c>
      <c r="F713" s="9" t="s">
        <v>2144</v>
      </c>
      <c r="G713" s="9" t="s">
        <v>91</v>
      </c>
      <c r="H713" s="9" t="s">
        <v>2145</v>
      </c>
      <c r="I713" s="10">
        <v>45624</v>
      </c>
    </row>
    <row r="714" spans="1:9" x14ac:dyDescent="0.15">
      <c r="A714" s="9">
        <v>713</v>
      </c>
      <c r="B714" s="9" t="s">
        <v>9</v>
      </c>
      <c r="C714" s="9">
        <v>1927</v>
      </c>
      <c r="D714" s="10">
        <v>45729</v>
      </c>
      <c r="E714" s="11" t="str">
        <f>+HYPERLINK("http://trademark.i-assist.jp/data/china/image_1927th/82249256.pdf","82249256")</f>
        <v>82249256</v>
      </c>
      <c r="F714" s="12" t="s">
        <v>2146</v>
      </c>
      <c r="G714" s="12" t="s">
        <v>2147</v>
      </c>
      <c r="H714" s="9" t="s">
        <v>2148</v>
      </c>
      <c r="I714" s="10">
        <v>45624</v>
      </c>
    </row>
    <row r="715" spans="1:9" x14ac:dyDescent="0.15">
      <c r="A715" s="9">
        <v>714</v>
      </c>
      <c r="B715" s="9" t="s">
        <v>9</v>
      </c>
      <c r="C715" s="9">
        <v>1927</v>
      </c>
      <c r="D715" s="10">
        <v>45729</v>
      </c>
      <c r="E715" s="11" t="str">
        <f>+HYPERLINK("http://trademark.i-assist.jp/data/china/image_1927th/82249782.pdf","82249782")</f>
        <v>82249782</v>
      </c>
      <c r="F715" s="9" t="s">
        <v>2149</v>
      </c>
      <c r="G715" s="9" t="s">
        <v>2150</v>
      </c>
      <c r="H715" s="9" t="s">
        <v>2151</v>
      </c>
      <c r="I715" s="10">
        <v>45624</v>
      </c>
    </row>
    <row r="716" spans="1:9" x14ac:dyDescent="0.15">
      <c r="A716" s="9">
        <v>715</v>
      </c>
      <c r="B716" s="9" t="s">
        <v>9</v>
      </c>
      <c r="C716" s="9">
        <v>1927</v>
      </c>
      <c r="D716" s="10">
        <v>45729</v>
      </c>
      <c r="E716" s="11" t="str">
        <f>+HYPERLINK("http://trademark.i-assist.jp/data/china/image_1927th/82250109.pdf","82250109")</f>
        <v>82250109</v>
      </c>
      <c r="F716" s="9" t="s">
        <v>2152</v>
      </c>
      <c r="G716" s="9" t="s">
        <v>39</v>
      </c>
      <c r="H716" s="9" t="s">
        <v>2153</v>
      </c>
      <c r="I716" s="10">
        <v>45624</v>
      </c>
    </row>
    <row r="717" spans="1:9" x14ac:dyDescent="0.15">
      <c r="A717" s="9">
        <v>716</v>
      </c>
      <c r="B717" s="9" t="s">
        <v>9</v>
      </c>
      <c r="C717" s="9">
        <v>1927</v>
      </c>
      <c r="D717" s="10">
        <v>45729</v>
      </c>
      <c r="E717" s="11" t="str">
        <f>+HYPERLINK("http://trademark.i-assist.jp/data/china/image_1927th/82250290.pdf","82250290")</f>
        <v>82250290</v>
      </c>
      <c r="F717" s="9" t="s">
        <v>2154</v>
      </c>
      <c r="G717" s="12" t="s">
        <v>2155</v>
      </c>
      <c r="H717" s="9" t="s">
        <v>2156</v>
      </c>
      <c r="I717" s="10">
        <v>45624</v>
      </c>
    </row>
    <row r="718" spans="1:9" x14ac:dyDescent="0.15">
      <c r="A718" s="9">
        <v>717</v>
      </c>
      <c r="B718" s="9" t="s">
        <v>9</v>
      </c>
      <c r="C718" s="9">
        <v>1927</v>
      </c>
      <c r="D718" s="10">
        <v>45729</v>
      </c>
      <c r="E718" s="11" t="str">
        <f>+HYPERLINK("http://trademark.i-assist.jp/data/china/image_1927th/82250342.pdf","82250342")</f>
        <v>82250342</v>
      </c>
      <c r="F718" s="9" t="s">
        <v>2157</v>
      </c>
      <c r="G718" s="9" t="s">
        <v>2158</v>
      </c>
      <c r="H718" s="9" t="s">
        <v>2159</v>
      </c>
      <c r="I718" s="10">
        <v>45624</v>
      </c>
    </row>
    <row r="719" spans="1:9" x14ac:dyDescent="0.15">
      <c r="A719" s="9">
        <v>718</v>
      </c>
      <c r="B719" s="9" t="s">
        <v>9</v>
      </c>
      <c r="C719" s="9">
        <v>1927</v>
      </c>
      <c r="D719" s="10">
        <v>45729</v>
      </c>
      <c r="E719" s="11" t="str">
        <f>+HYPERLINK("http://trademark.i-assist.jp/data/china/image_1927th/82250416.pdf","82250416")</f>
        <v>82250416</v>
      </c>
      <c r="F719" s="9" t="s">
        <v>2160</v>
      </c>
      <c r="G719" s="9" t="s">
        <v>2103</v>
      </c>
      <c r="H719" s="9" t="s">
        <v>2161</v>
      </c>
      <c r="I719" s="10">
        <v>45624</v>
      </c>
    </row>
    <row r="720" spans="1:9" x14ac:dyDescent="0.15">
      <c r="A720" s="9">
        <v>719</v>
      </c>
      <c r="B720" s="9" t="s">
        <v>9</v>
      </c>
      <c r="C720" s="9">
        <v>1927</v>
      </c>
      <c r="D720" s="10">
        <v>45729</v>
      </c>
      <c r="E720" s="11" t="str">
        <f>+HYPERLINK("http://trademark.i-assist.jp/data/china/image_1927th/82250823.pdf","82250823")</f>
        <v>82250823</v>
      </c>
      <c r="F720" s="12" t="s">
        <v>16</v>
      </c>
      <c r="G720" s="9" t="s">
        <v>2162</v>
      </c>
      <c r="H720" s="9" t="s">
        <v>2163</v>
      </c>
      <c r="I720" s="10">
        <v>45624</v>
      </c>
    </row>
    <row r="721" spans="1:9" x14ac:dyDescent="0.15">
      <c r="A721" s="9">
        <v>720</v>
      </c>
      <c r="B721" s="9" t="s">
        <v>9</v>
      </c>
      <c r="C721" s="9">
        <v>1927</v>
      </c>
      <c r="D721" s="10">
        <v>45729</v>
      </c>
      <c r="E721" s="11" t="str">
        <f>+HYPERLINK("http://trademark.i-assist.jp/data/china/image_1927th/82251004.pdf","82251004")</f>
        <v>82251004</v>
      </c>
      <c r="F721" s="9" t="s">
        <v>2164</v>
      </c>
      <c r="G721" s="9" t="s">
        <v>2165</v>
      </c>
      <c r="H721" s="9" t="s">
        <v>2166</v>
      </c>
      <c r="I721" s="10">
        <v>45624</v>
      </c>
    </row>
    <row r="722" spans="1:9" x14ac:dyDescent="0.15">
      <c r="A722" s="9">
        <v>721</v>
      </c>
      <c r="B722" s="9" t="s">
        <v>9</v>
      </c>
      <c r="C722" s="9">
        <v>1927</v>
      </c>
      <c r="D722" s="10">
        <v>45729</v>
      </c>
      <c r="E722" s="11" t="str">
        <f>+HYPERLINK("http://trademark.i-assist.jp/data/china/image_1927th/82251149.pdf","82251149")</f>
        <v>82251149</v>
      </c>
      <c r="F722" s="9" t="s">
        <v>2167</v>
      </c>
      <c r="G722" s="12" t="s">
        <v>135</v>
      </c>
      <c r="H722" s="12" t="s">
        <v>2168</v>
      </c>
      <c r="I722" s="10">
        <v>45624</v>
      </c>
    </row>
    <row r="723" spans="1:9" x14ac:dyDescent="0.15">
      <c r="A723" s="9">
        <v>722</v>
      </c>
      <c r="B723" s="9" t="s">
        <v>9</v>
      </c>
      <c r="C723" s="9">
        <v>1927</v>
      </c>
      <c r="D723" s="10">
        <v>45729</v>
      </c>
      <c r="E723" s="11" t="str">
        <f>+HYPERLINK("http://trademark.i-assist.jp/data/china/image_1927th/82252162.pdf","82252162")</f>
        <v>82252162</v>
      </c>
      <c r="F723" s="9" t="s">
        <v>2169</v>
      </c>
      <c r="G723" s="12" t="s">
        <v>2170</v>
      </c>
      <c r="H723" s="9" t="s">
        <v>2171</v>
      </c>
      <c r="I723" s="10">
        <v>45625</v>
      </c>
    </row>
    <row r="724" spans="1:9" x14ac:dyDescent="0.15">
      <c r="A724" s="9">
        <v>723</v>
      </c>
      <c r="B724" s="9" t="s">
        <v>9</v>
      </c>
      <c r="C724" s="9">
        <v>1927</v>
      </c>
      <c r="D724" s="10">
        <v>45729</v>
      </c>
      <c r="E724" s="11" t="str">
        <f>+HYPERLINK("http://trademark.i-assist.jp/data/china/image_1927th/82252475.pdf","82252475")</f>
        <v>82252475</v>
      </c>
      <c r="F724" s="9" t="s">
        <v>2172</v>
      </c>
      <c r="G724" s="9" t="s">
        <v>56</v>
      </c>
      <c r="H724" s="9" t="s">
        <v>2173</v>
      </c>
      <c r="I724" s="10">
        <v>45625</v>
      </c>
    </row>
    <row r="725" spans="1:9" x14ac:dyDescent="0.15">
      <c r="A725" s="9">
        <v>724</v>
      </c>
      <c r="B725" s="9" t="s">
        <v>9</v>
      </c>
      <c r="C725" s="9">
        <v>1927</v>
      </c>
      <c r="D725" s="10">
        <v>45729</v>
      </c>
      <c r="E725" s="11" t="str">
        <f>+HYPERLINK("http://trademark.i-assist.jp/data/china/image_1927th/82252819.pdf","82252819")</f>
        <v>82252819</v>
      </c>
      <c r="F725" s="9" t="s">
        <v>2174</v>
      </c>
      <c r="G725" s="12" t="s">
        <v>2175</v>
      </c>
      <c r="H725" s="9" t="s">
        <v>2176</v>
      </c>
      <c r="I725" s="10">
        <v>45625</v>
      </c>
    </row>
    <row r="726" spans="1:9" x14ac:dyDescent="0.15">
      <c r="A726" s="9">
        <v>725</v>
      </c>
      <c r="B726" s="9" t="s">
        <v>9</v>
      </c>
      <c r="C726" s="9">
        <v>1927</v>
      </c>
      <c r="D726" s="10">
        <v>45729</v>
      </c>
      <c r="E726" s="11" t="str">
        <f>+HYPERLINK("http://trademark.i-assist.jp/data/china/image_1927th/82253088.pdf","82253088")</f>
        <v>82253088</v>
      </c>
      <c r="F726" s="13" t="s">
        <v>2177</v>
      </c>
      <c r="G726" s="9" t="s">
        <v>2178</v>
      </c>
      <c r="H726" s="9" t="s">
        <v>2179</v>
      </c>
      <c r="I726" s="10">
        <v>45625</v>
      </c>
    </row>
    <row r="727" spans="1:9" x14ac:dyDescent="0.15">
      <c r="A727" s="9">
        <v>726</v>
      </c>
      <c r="B727" s="9" t="s">
        <v>9</v>
      </c>
      <c r="C727" s="9">
        <v>1927</v>
      </c>
      <c r="D727" s="10">
        <v>45729</v>
      </c>
      <c r="E727" s="11" t="str">
        <f>+HYPERLINK("http://trademark.i-assist.jp/data/china/image_1927th/82253121.pdf","82253121")</f>
        <v>82253121</v>
      </c>
      <c r="F727" s="12" t="s">
        <v>2180</v>
      </c>
      <c r="G727" s="9" t="s">
        <v>2181</v>
      </c>
      <c r="H727" s="9" t="s">
        <v>2182</v>
      </c>
      <c r="I727" s="10">
        <v>45625</v>
      </c>
    </row>
    <row r="728" spans="1:9" x14ac:dyDescent="0.15">
      <c r="A728" s="9">
        <v>727</v>
      </c>
      <c r="B728" s="9" t="s">
        <v>9</v>
      </c>
      <c r="C728" s="9">
        <v>1927</v>
      </c>
      <c r="D728" s="10">
        <v>45729</v>
      </c>
      <c r="E728" s="11" t="str">
        <f>+HYPERLINK("http://trademark.i-assist.jp/data/china/image_1927th/82253624.pdf","82253624")</f>
        <v>82253624</v>
      </c>
      <c r="F728" s="12" t="s">
        <v>2183</v>
      </c>
      <c r="G728" s="9" t="s">
        <v>2184</v>
      </c>
      <c r="H728" s="9" t="s">
        <v>2185</v>
      </c>
      <c r="I728" s="10">
        <v>45625</v>
      </c>
    </row>
    <row r="729" spans="1:9" x14ac:dyDescent="0.15">
      <c r="A729" s="9">
        <v>728</v>
      </c>
      <c r="B729" s="9" t="s">
        <v>9</v>
      </c>
      <c r="C729" s="9">
        <v>1927</v>
      </c>
      <c r="D729" s="10">
        <v>45729</v>
      </c>
      <c r="E729" s="11" t="str">
        <f>+HYPERLINK("http://trademark.i-assist.jp/data/china/image_1927th/82253951.pdf","82253951")</f>
        <v>82253951</v>
      </c>
      <c r="F729" s="12" t="s">
        <v>16</v>
      </c>
      <c r="G729" s="9" t="s">
        <v>2186</v>
      </c>
      <c r="H729" s="9" t="s">
        <v>2187</v>
      </c>
      <c r="I729" s="10">
        <v>45625</v>
      </c>
    </row>
    <row r="730" spans="1:9" x14ac:dyDescent="0.15">
      <c r="A730" s="9">
        <v>729</v>
      </c>
      <c r="B730" s="9" t="s">
        <v>9</v>
      </c>
      <c r="C730" s="9">
        <v>1927</v>
      </c>
      <c r="D730" s="10">
        <v>45729</v>
      </c>
      <c r="E730" s="11" t="str">
        <f>+HYPERLINK("http://trademark.i-assist.jp/data/china/image_1927th/82254065.pdf","82254065")</f>
        <v>82254065</v>
      </c>
      <c r="F730" s="9" t="s">
        <v>2188</v>
      </c>
      <c r="G730" s="9" t="s">
        <v>2189</v>
      </c>
      <c r="H730" s="9" t="s">
        <v>2190</v>
      </c>
      <c r="I730" s="10">
        <v>45625</v>
      </c>
    </row>
    <row r="731" spans="1:9" x14ac:dyDescent="0.15">
      <c r="A731" s="9">
        <v>730</v>
      </c>
      <c r="B731" s="9" t="s">
        <v>9</v>
      </c>
      <c r="C731" s="9">
        <v>1927</v>
      </c>
      <c r="D731" s="10">
        <v>45729</v>
      </c>
      <c r="E731" s="11" t="str">
        <f>+HYPERLINK("http://trademark.i-assist.jp/data/china/image_1927th/82254103.pdf","82254103")</f>
        <v>82254103</v>
      </c>
      <c r="F731" s="9" t="s">
        <v>2191</v>
      </c>
      <c r="G731" s="9" t="s">
        <v>2192</v>
      </c>
      <c r="H731" s="12" t="s">
        <v>2193</v>
      </c>
      <c r="I731" s="10">
        <v>45625</v>
      </c>
    </row>
    <row r="732" spans="1:9" x14ac:dyDescent="0.15">
      <c r="A732" s="9">
        <v>731</v>
      </c>
      <c r="B732" s="9" t="s">
        <v>9</v>
      </c>
      <c r="C732" s="9">
        <v>1927</v>
      </c>
      <c r="D732" s="10">
        <v>45729</v>
      </c>
      <c r="E732" s="11" t="str">
        <f>+HYPERLINK("http://trademark.i-assist.jp/data/china/image_1927th/82255023.pdf","82255023")</f>
        <v>82255023</v>
      </c>
      <c r="F732" s="9" t="s">
        <v>2194</v>
      </c>
      <c r="G732" s="12" t="s">
        <v>117</v>
      </c>
      <c r="H732" s="9" t="s">
        <v>2195</v>
      </c>
      <c r="I732" s="10">
        <v>45625</v>
      </c>
    </row>
    <row r="733" spans="1:9" x14ac:dyDescent="0.15">
      <c r="A733" s="9">
        <v>732</v>
      </c>
      <c r="B733" s="9" t="s">
        <v>9</v>
      </c>
      <c r="C733" s="9">
        <v>1927</v>
      </c>
      <c r="D733" s="10">
        <v>45729</v>
      </c>
      <c r="E733" s="11" t="str">
        <f>+HYPERLINK("http://trademark.i-assist.jp/data/china/image_1927th/82255091.pdf","82255091")</f>
        <v>82255091</v>
      </c>
      <c r="F733" s="9" t="s">
        <v>2196</v>
      </c>
      <c r="G733" s="9" t="s">
        <v>2197</v>
      </c>
      <c r="H733" s="12" t="s">
        <v>2198</v>
      </c>
      <c r="I733" s="10">
        <v>45625</v>
      </c>
    </row>
    <row r="734" spans="1:9" x14ac:dyDescent="0.15">
      <c r="A734" s="9">
        <v>733</v>
      </c>
      <c r="B734" s="9" t="s">
        <v>9</v>
      </c>
      <c r="C734" s="9">
        <v>1927</v>
      </c>
      <c r="D734" s="10">
        <v>45729</v>
      </c>
      <c r="E734" s="11" t="str">
        <f>+HYPERLINK("http://trademark.i-assist.jp/data/china/image_1927th/82256883.pdf","82256883")</f>
        <v>82256883</v>
      </c>
      <c r="F734" s="9" t="s">
        <v>2199</v>
      </c>
      <c r="G734" s="9" t="s">
        <v>2200</v>
      </c>
      <c r="H734" s="9" t="s">
        <v>2201</v>
      </c>
      <c r="I734" s="10">
        <v>45625</v>
      </c>
    </row>
    <row r="735" spans="1:9" x14ac:dyDescent="0.15">
      <c r="A735" s="9">
        <v>734</v>
      </c>
      <c r="B735" s="9" t="s">
        <v>9</v>
      </c>
      <c r="C735" s="9">
        <v>1927</v>
      </c>
      <c r="D735" s="10">
        <v>45729</v>
      </c>
      <c r="E735" s="11" t="str">
        <f>+HYPERLINK("http://trademark.i-assist.jp/data/china/image_1927th/82256927.pdf","82256927")</f>
        <v>82256927</v>
      </c>
      <c r="F735" s="9" t="s">
        <v>2202</v>
      </c>
      <c r="G735" s="9" t="s">
        <v>2203</v>
      </c>
      <c r="H735" s="9" t="s">
        <v>2204</v>
      </c>
      <c r="I735" s="10">
        <v>45625</v>
      </c>
    </row>
    <row r="736" spans="1:9" x14ac:dyDescent="0.15">
      <c r="A736" s="9">
        <v>735</v>
      </c>
      <c r="B736" s="9" t="s">
        <v>9</v>
      </c>
      <c r="C736" s="9">
        <v>1927</v>
      </c>
      <c r="D736" s="10">
        <v>45729</v>
      </c>
      <c r="E736" s="11" t="str">
        <f>+HYPERLINK("http://trademark.i-assist.jp/data/china/image_1927th/82257702.pdf","82257702")</f>
        <v>82257702</v>
      </c>
      <c r="F736" s="9" t="s">
        <v>2205</v>
      </c>
      <c r="G736" s="12" t="s">
        <v>2206</v>
      </c>
      <c r="H736" s="9" t="s">
        <v>2207</v>
      </c>
      <c r="I736" s="10">
        <v>45625</v>
      </c>
    </row>
    <row r="737" spans="1:9" x14ac:dyDescent="0.15">
      <c r="A737" s="9">
        <v>736</v>
      </c>
      <c r="B737" s="9" t="s">
        <v>9</v>
      </c>
      <c r="C737" s="9">
        <v>1927</v>
      </c>
      <c r="D737" s="10">
        <v>45729</v>
      </c>
      <c r="E737" s="11" t="str">
        <f>+HYPERLINK("http://trademark.i-assist.jp/data/china/image_1927th/82258296.pdf","82258296")</f>
        <v>82258296</v>
      </c>
      <c r="F737" s="9" t="s">
        <v>2208</v>
      </c>
      <c r="G737" s="9" t="s">
        <v>2209</v>
      </c>
      <c r="H737" s="9" t="s">
        <v>2210</v>
      </c>
      <c r="I737" s="10">
        <v>45625</v>
      </c>
    </row>
    <row r="738" spans="1:9" x14ac:dyDescent="0.15">
      <c r="A738" s="9">
        <v>737</v>
      </c>
      <c r="B738" s="9" t="s">
        <v>9</v>
      </c>
      <c r="C738" s="9">
        <v>1927</v>
      </c>
      <c r="D738" s="10">
        <v>45729</v>
      </c>
      <c r="E738" s="11" t="str">
        <f>+HYPERLINK("http://trademark.i-assist.jp/data/china/image_1927th/82258501.pdf","82258501")</f>
        <v>82258501</v>
      </c>
      <c r="F738" s="12" t="s">
        <v>2211</v>
      </c>
      <c r="G738" s="12" t="s">
        <v>117</v>
      </c>
      <c r="H738" s="9" t="s">
        <v>2212</v>
      </c>
      <c r="I738" s="10">
        <v>45625</v>
      </c>
    </row>
    <row r="739" spans="1:9" x14ac:dyDescent="0.15">
      <c r="A739" s="9">
        <v>738</v>
      </c>
      <c r="B739" s="9" t="s">
        <v>9</v>
      </c>
      <c r="C739" s="9">
        <v>1927</v>
      </c>
      <c r="D739" s="10">
        <v>45729</v>
      </c>
      <c r="E739" s="11" t="str">
        <f>+HYPERLINK("http://trademark.i-assist.jp/data/china/image_1927th/82258811.pdf","82258811")</f>
        <v>82258811</v>
      </c>
      <c r="F739" s="9" t="s">
        <v>2213</v>
      </c>
      <c r="G739" s="9" t="s">
        <v>138</v>
      </c>
      <c r="H739" s="9" t="s">
        <v>2214</v>
      </c>
      <c r="I739" s="10">
        <v>45625</v>
      </c>
    </row>
    <row r="740" spans="1:9" x14ac:dyDescent="0.15">
      <c r="A740" s="9">
        <v>739</v>
      </c>
      <c r="B740" s="9" t="s">
        <v>9</v>
      </c>
      <c r="C740" s="9">
        <v>1927</v>
      </c>
      <c r="D740" s="10">
        <v>45729</v>
      </c>
      <c r="E740" s="11" t="str">
        <f>+HYPERLINK("http://trademark.i-assist.jp/data/china/image_1927th/82259356.pdf","82259356")</f>
        <v>82259356</v>
      </c>
      <c r="F740" s="9" t="s">
        <v>2215</v>
      </c>
      <c r="G740" s="12" t="s">
        <v>136</v>
      </c>
      <c r="H740" s="9" t="s">
        <v>2216</v>
      </c>
      <c r="I740" s="10">
        <v>45625</v>
      </c>
    </row>
    <row r="741" spans="1:9" x14ac:dyDescent="0.15">
      <c r="A741" s="9">
        <v>740</v>
      </c>
      <c r="B741" s="9" t="s">
        <v>9</v>
      </c>
      <c r="C741" s="9">
        <v>1927</v>
      </c>
      <c r="D741" s="10">
        <v>45729</v>
      </c>
      <c r="E741" s="11" t="str">
        <f>+HYPERLINK("http://trademark.i-assist.jp/data/china/image_1927th/82259378.pdf","82259378")</f>
        <v>82259378</v>
      </c>
      <c r="F741" s="9" t="s">
        <v>2217</v>
      </c>
      <c r="G741" s="12" t="s">
        <v>136</v>
      </c>
      <c r="H741" s="9" t="s">
        <v>2218</v>
      </c>
      <c r="I741" s="10">
        <v>45625</v>
      </c>
    </row>
    <row r="742" spans="1:9" x14ac:dyDescent="0.15">
      <c r="A742" s="9">
        <v>741</v>
      </c>
      <c r="B742" s="9" t="s">
        <v>9</v>
      </c>
      <c r="C742" s="9">
        <v>1927</v>
      </c>
      <c r="D742" s="10">
        <v>45729</v>
      </c>
      <c r="E742" s="11" t="str">
        <f>+HYPERLINK("http://trademark.i-assist.jp/data/china/image_1927th/82260108.pdf","82260108")</f>
        <v>82260108</v>
      </c>
      <c r="F742" s="12" t="s">
        <v>2219</v>
      </c>
      <c r="G742" s="9" t="s">
        <v>2220</v>
      </c>
      <c r="H742" s="9" t="s">
        <v>2221</v>
      </c>
      <c r="I742" s="10">
        <v>45625</v>
      </c>
    </row>
    <row r="743" spans="1:9" x14ac:dyDescent="0.15">
      <c r="A743" s="9">
        <v>742</v>
      </c>
      <c r="B743" s="9" t="s">
        <v>9</v>
      </c>
      <c r="C743" s="9">
        <v>1927</v>
      </c>
      <c r="D743" s="10">
        <v>45729</v>
      </c>
      <c r="E743" s="11" t="str">
        <f>+HYPERLINK("http://trademark.i-assist.jp/data/china/image_1927th/82260211.pdf","82260211")</f>
        <v>82260211</v>
      </c>
      <c r="F743" s="9" t="s">
        <v>2222</v>
      </c>
      <c r="G743" s="12" t="s">
        <v>2206</v>
      </c>
      <c r="H743" s="9" t="s">
        <v>2223</v>
      </c>
      <c r="I743" s="10">
        <v>45625</v>
      </c>
    </row>
    <row r="744" spans="1:9" x14ac:dyDescent="0.15">
      <c r="A744" s="9">
        <v>743</v>
      </c>
      <c r="B744" s="9" t="s">
        <v>9</v>
      </c>
      <c r="C744" s="9">
        <v>1927</v>
      </c>
      <c r="D744" s="10">
        <v>45729</v>
      </c>
      <c r="E744" s="11" t="str">
        <f>+HYPERLINK("http://trademark.i-assist.jp/data/china/image_1927th/82260442.pdf","82260442")</f>
        <v>82260442</v>
      </c>
      <c r="F744" s="12" t="s">
        <v>2224</v>
      </c>
      <c r="G744" s="12" t="s">
        <v>2225</v>
      </c>
      <c r="H744" s="12" t="s">
        <v>2226</v>
      </c>
      <c r="I744" s="10">
        <v>45625</v>
      </c>
    </row>
    <row r="745" spans="1:9" x14ac:dyDescent="0.15">
      <c r="A745" s="9">
        <v>744</v>
      </c>
      <c r="B745" s="9" t="s">
        <v>9</v>
      </c>
      <c r="C745" s="9">
        <v>1927</v>
      </c>
      <c r="D745" s="10">
        <v>45729</v>
      </c>
      <c r="E745" s="11" t="str">
        <f>+HYPERLINK("http://trademark.i-assist.jp/data/china/image_1927th/82260510.pdf","82260510")</f>
        <v>82260510</v>
      </c>
      <c r="F745" s="9" t="s">
        <v>2227</v>
      </c>
      <c r="G745" s="9" t="s">
        <v>2228</v>
      </c>
      <c r="H745" s="12" t="s">
        <v>2229</v>
      </c>
      <c r="I745" s="10">
        <v>45625</v>
      </c>
    </row>
    <row r="746" spans="1:9" x14ac:dyDescent="0.15">
      <c r="A746" s="9">
        <v>745</v>
      </c>
      <c r="B746" s="9" t="s">
        <v>9</v>
      </c>
      <c r="C746" s="9">
        <v>1927</v>
      </c>
      <c r="D746" s="10">
        <v>45729</v>
      </c>
      <c r="E746" s="11" t="str">
        <f>+HYPERLINK("http://trademark.i-assist.jp/data/china/image_1927th/82261176.pdf","82261176")</f>
        <v>82261176</v>
      </c>
      <c r="F746" s="9" t="s">
        <v>2230</v>
      </c>
      <c r="G746" s="9" t="s">
        <v>2231</v>
      </c>
      <c r="H746" s="12" t="s">
        <v>2232</v>
      </c>
      <c r="I746" s="10">
        <v>45625</v>
      </c>
    </row>
    <row r="747" spans="1:9" x14ac:dyDescent="0.15">
      <c r="A747" s="9">
        <v>746</v>
      </c>
      <c r="B747" s="9" t="s">
        <v>9</v>
      </c>
      <c r="C747" s="9">
        <v>1927</v>
      </c>
      <c r="D747" s="10">
        <v>45729</v>
      </c>
      <c r="E747" s="11" t="str">
        <f>+HYPERLINK("http://trademark.i-assist.jp/data/china/image_1927th/82261273.pdf","82261273")</f>
        <v>82261273</v>
      </c>
      <c r="F747" s="9" t="s">
        <v>2233</v>
      </c>
      <c r="G747" s="9" t="s">
        <v>143</v>
      </c>
      <c r="H747" s="9" t="s">
        <v>2234</v>
      </c>
      <c r="I747" s="10">
        <v>45625</v>
      </c>
    </row>
    <row r="748" spans="1:9" x14ac:dyDescent="0.15">
      <c r="A748" s="9">
        <v>747</v>
      </c>
      <c r="B748" s="9" t="s">
        <v>9</v>
      </c>
      <c r="C748" s="9">
        <v>1927</v>
      </c>
      <c r="D748" s="10">
        <v>45729</v>
      </c>
      <c r="E748" s="11" t="str">
        <f>+HYPERLINK("http://trademark.i-assist.jp/data/china/image_1927th/82261553.pdf","82261553")</f>
        <v>82261553</v>
      </c>
      <c r="F748" s="9" t="s">
        <v>2235</v>
      </c>
      <c r="G748" s="9" t="s">
        <v>139</v>
      </c>
      <c r="H748" s="9" t="s">
        <v>2236</v>
      </c>
      <c r="I748" s="10">
        <v>45625</v>
      </c>
    </row>
    <row r="749" spans="1:9" x14ac:dyDescent="0.15">
      <c r="A749" s="9">
        <v>748</v>
      </c>
      <c r="B749" s="9" t="s">
        <v>9</v>
      </c>
      <c r="C749" s="9">
        <v>1927</v>
      </c>
      <c r="D749" s="10">
        <v>45729</v>
      </c>
      <c r="E749" s="11" t="str">
        <f>+HYPERLINK("http://trademark.i-assist.jp/data/china/image_1927th/82262066.pdf","82262066")</f>
        <v>82262066</v>
      </c>
      <c r="F749" s="9" t="s">
        <v>2237</v>
      </c>
      <c r="G749" s="9" t="s">
        <v>2238</v>
      </c>
      <c r="H749" s="9" t="s">
        <v>2239</v>
      </c>
      <c r="I749" s="10">
        <v>45625</v>
      </c>
    </row>
    <row r="750" spans="1:9" x14ac:dyDescent="0.15">
      <c r="A750" s="9">
        <v>749</v>
      </c>
      <c r="B750" s="9" t="s">
        <v>9</v>
      </c>
      <c r="C750" s="9">
        <v>1927</v>
      </c>
      <c r="D750" s="10">
        <v>45729</v>
      </c>
      <c r="E750" s="11" t="str">
        <f>+HYPERLINK("http://trademark.i-assist.jp/data/china/image_1927th/82262321.pdf","82262321")</f>
        <v>82262321</v>
      </c>
      <c r="F750" s="12" t="s">
        <v>2240</v>
      </c>
      <c r="G750" s="12" t="s">
        <v>2241</v>
      </c>
      <c r="H750" s="9" t="s">
        <v>2242</v>
      </c>
      <c r="I750" s="10">
        <v>45625</v>
      </c>
    </row>
    <row r="751" spans="1:9" x14ac:dyDescent="0.15">
      <c r="A751" s="9">
        <v>750</v>
      </c>
      <c r="B751" s="9" t="s">
        <v>9</v>
      </c>
      <c r="C751" s="9">
        <v>1927</v>
      </c>
      <c r="D751" s="10">
        <v>45729</v>
      </c>
      <c r="E751" s="11" t="str">
        <f>+HYPERLINK("http://trademark.i-assist.jp/data/china/image_1927th/82262423.pdf","82262423")</f>
        <v>82262423</v>
      </c>
      <c r="F751" s="12" t="s">
        <v>16</v>
      </c>
      <c r="G751" s="12" t="s">
        <v>2243</v>
      </c>
      <c r="H751" s="12" t="s">
        <v>2244</v>
      </c>
      <c r="I751" s="10">
        <v>45625</v>
      </c>
    </row>
    <row r="752" spans="1:9" x14ac:dyDescent="0.15">
      <c r="A752" s="9">
        <v>751</v>
      </c>
      <c r="B752" s="9" t="s">
        <v>9</v>
      </c>
      <c r="C752" s="9">
        <v>1927</v>
      </c>
      <c r="D752" s="10">
        <v>45729</v>
      </c>
      <c r="E752" s="11" t="str">
        <f>+HYPERLINK("http://trademark.i-assist.jp/data/china/image_1927th/82262520.pdf","82262520")</f>
        <v>82262520</v>
      </c>
      <c r="F752" s="12" t="s">
        <v>2245</v>
      </c>
      <c r="G752" s="12" t="s">
        <v>2246</v>
      </c>
      <c r="H752" s="9" t="s">
        <v>2247</v>
      </c>
      <c r="I752" s="10">
        <v>45625</v>
      </c>
    </row>
    <row r="753" spans="1:9" x14ac:dyDescent="0.15">
      <c r="A753" s="9">
        <v>752</v>
      </c>
      <c r="B753" s="9" t="s">
        <v>9</v>
      </c>
      <c r="C753" s="9">
        <v>1927</v>
      </c>
      <c r="D753" s="10">
        <v>45729</v>
      </c>
      <c r="E753" s="11" t="str">
        <f>+HYPERLINK("http://trademark.i-assist.jp/data/china/image_1927th/82262524.pdf","82262524")</f>
        <v>82262524</v>
      </c>
      <c r="F753" s="9" t="s">
        <v>2248</v>
      </c>
      <c r="G753" s="12" t="s">
        <v>2249</v>
      </c>
      <c r="H753" s="9" t="s">
        <v>2250</v>
      </c>
      <c r="I753" s="10">
        <v>45625</v>
      </c>
    </row>
    <row r="754" spans="1:9" x14ac:dyDescent="0.15">
      <c r="A754" s="9">
        <v>753</v>
      </c>
      <c r="B754" s="9" t="s">
        <v>9</v>
      </c>
      <c r="C754" s="9">
        <v>1927</v>
      </c>
      <c r="D754" s="10">
        <v>45729</v>
      </c>
      <c r="E754" s="11" t="str">
        <f>+HYPERLINK("http://trademark.i-assist.jp/data/china/image_1927th/82263013.pdf","82263013")</f>
        <v>82263013</v>
      </c>
      <c r="F754" s="9" t="s">
        <v>2251</v>
      </c>
      <c r="G754" s="9" t="s">
        <v>2252</v>
      </c>
      <c r="H754" s="9" t="s">
        <v>2253</v>
      </c>
      <c r="I754" s="10">
        <v>45625</v>
      </c>
    </row>
    <row r="755" spans="1:9" x14ac:dyDescent="0.15">
      <c r="A755" s="9">
        <v>754</v>
      </c>
      <c r="B755" s="9" t="s">
        <v>9</v>
      </c>
      <c r="C755" s="9">
        <v>1927</v>
      </c>
      <c r="D755" s="10">
        <v>45729</v>
      </c>
      <c r="E755" s="11" t="str">
        <f>+HYPERLINK("http://trademark.i-assist.jp/data/china/image_1927th/82264393.pdf","82264393")</f>
        <v>82264393</v>
      </c>
      <c r="F755" s="9" t="s">
        <v>2254</v>
      </c>
      <c r="G755" s="12" t="s">
        <v>2255</v>
      </c>
      <c r="H755" s="12" t="s">
        <v>2256</v>
      </c>
      <c r="I755" s="10">
        <v>45625</v>
      </c>
    </row>
    <row r="756" spans="1:9" x14ac:dyDescent="0.15">
      <c r="A756" s="9">
        <v>755</v>
      </c>
      <c r="B756" s="9" t="s">
        <v>9</v>
      </c>
      <c r="C756" s="9">
        <v>1927</v>
      </c>
      <c r="D756" s="10">
        <v>45729</v>
      </c>
      <c r="E756" s="11" t="str">
        <f>+HYPERLINK("http://trademark.i-assist.jp/data/china/image_1927th/82265039.pdf","82265039")</f>
        <v>82265039</v>
      </c>
      <c r="F756" s="9" t="s">
        <v>2257</v>
      </c>
      <c r="G756" s="9" t="s">
        <v>2200</v>
      </c>
      <c r="H756" s="12" t="s">
        <v>2258</v>
      </c>
      <c r="I756" s="10">
        <v>45625</v>
      </c>
    </row>
    <row r="757" spans="1:9" x14ac:dyDescent="0.15">
      <c r="A757" s="9">
        <v>756</v>
      </c>
      <c r="B757" s="9" t="s">
        <v>9</v>
      </c>
      <c r="C757" s="9">
        <v>1927</v>
      </c>
      <c r="D757" s="10">
        <v>45729</v>
      </c>
      <c r="E757" s="11" t="str">
        <f>+HYPERLINK("http://trademark.i-assist.jp/data/china/image_1927th/82265070.pdf","82265070")</f>
        <v>82265070</v>
      </c>
      <c r="F757" s="9" t="s">
        <v>2259</v>
      </c>
      <c r="G757" s="9" t="s">
        <v>2260</v>
      </c>
      <c r="H757" s="9" t="s">
        <v>2261</v>
      </c>
      <c r="I757" s="10">
        <v>45625</v>
      </c>
    </row>
    <row r="758" spans="1:9" x14ac:dyDescent="0.15">
      <c r="A758" s="9">
        <v>757</v>
      </c>
      <c r="B758" s="9" t="s">
        <v>9</v>
      </c>
      <c r="C758" s="9">
        <v>1927</v>
      </c>
      <c r="D758" s="10">
        <v>45729</v>
      </c>
      <c r="E758" s="11" t="str">
        <f>+HYPERLINK("http://trademark.i-assist.jp/data/china/image_1927th/82265674.pdf","82265674")</f>
        <v>82265674</v>
      </c>
      <c r="F758" s="9" t="s">
        <v>2262</v>
      </c>
      <c r="G758" s="12" t="s">
        <v>149</v>
      </c>
      <c r="H758" s="9" t="s">
        <v>2263</v>
      </c>
      <c r="I758" s="10">
        <v>45625</v>
      </c>
    </row>
    <row r="759" spans="1:9" x14ac:dyDescent="0.15">
      <c r="A759" s="9">
        <v>758</v>
      </c>
      <c r="B759" s="9" t="s">
        <v>9</v>
      </c>
      <c r="C759" s="9">
        <v>1927</v>
      </c>
      <c r="D759" s="10">
        <v>45729</v>
      </c>
      <c r="E759" s="11" t="str">
        <f>+HYPERLINK("http://trademark.i-assist.jp/data/china/image_1927th/82266701.pdf","82266701")</f>
        <v>82266701</v>
      </c>
      <c r="F759" s="12" t="s">
        <v>2264</v>
      </c>
      <c r="G759" s="12" t="s">
        <v>2265</v>
      </c>
      <c r="H759" s="9" t="s">
        <v>2266</v>
      </c>
      <c r="I759" s="10">
        <v>45625</v>
      </c>
    </row>
    <row r="760" spans="1:9" x14ac:dyDescent="0.15">
      <c r="A760" s="9">
        <v>759</v>
      </c>
      <c r="B760" s="9" t="s">
        <v>9</v>
      </c>
      <c r="C760" s="9">
        <v>1927</v>
      </c>
      <c r="D760" s="10">
        <v>45729</v>
      </c>
      <c r="E760" s="11" t="str">
        <f>+HYPERLINK("http://trademark.i-assist.jp/data/china/image_1927th/82266758.pdf","82266758")</f>
        <v>82266758</v>
      </c>
      <c r="F760" s="12" t="s">
        <v>2267</v>
      </c>
      <c r="G760" s="9" t="s">
        <v>2268</v>
      </c>
      <c r="H760" s="9" t="s">
        <v>2269</v>
      </c>
      <c r="I760" s="10">
        <v>45625</v>
      </c>
    </row>
    <row r="761" spans="1:9" x14ac:dyDescent="0.15">
      <c r="A761" s="9">
        <v>760</v>
      </c>
      <c r="B761" s="9" t="s">
        <v>9</v>
      </c>
      <c r="C761" s="9">
        <v>1927</v>
      </c>
      <c r="D761" s="10">
        <v>45729</v>
      </c>
      <c r="E761" s="11" t="str">
        <f>+HYPERLINK("http://trademark.i-assist.jp/data/china/image_1927th/82266770.pdf","82266770")</f>
        <v>82266770</v>
      </c>
      <c r="F761" s="9" t="s">
        <v>2270</v>
      </c>
      <c r="G761" s="9" t="s">
        <v>2271</v>
      </c>
      <c r="H761" s="9" t="s">
        <v>2272</v>
      </c>
      <c r="I761" s="10">
        <v>45625</v>
      </c>
    </row>
    <row r="762" spans="1:9" x14ac:dyDescent="0.15">
      <c r="A762" s="9">
        <v>761</v>
      </c>
      <c r="B762" s="9" t="s">
        <v>9</v>
      </c>
      <c r="C762" s="9">
        <v>1927</v>
      </c>
      <c r="D762" s="10">
        <v>45729</v>
      </c>
      <c r="E762" s="11" t="str">
        <f>+HYPERLINK("http://trademark.i-assist.jp/data/china/image_1927th/82268073.pdf","82268073")</f>
        <v>82268073</v>
      </c>
      <c r="F762" s="9" t="s">
        <v>2273</v>
      </c>
      <c r="G762" s="9" t="s">
        <v>2274</v>
      </c>
      <c r="H762" s="9" t="s">
        <v>2275</v>
      </c>
      <c r="I762" s="10">
        <v>45625</v>
      </c>
    </row>
    <row r="763" spans="1:9" x14ac:dyDescent="0.15">
      <c r="A763" s="9">
        <v>762</v>
      </c>
      <c r="B763" s="9" t="s">
        <v>9</v>
      </c>
      <c r="C763" s="9">
        <v>1927</v>
      </c>
      <c r="D763" s="10">
        <v>45729</v>
      </c>
      <c r="E763" s="11" t="str">
        <f>+HYPERLINK("http://trademark.i-assist.jp/data/china/image_1927th/82270241.pdf","82270241")</f>
        <v>82270241</v>
      </c>
      <c r="F763" s="9" t="s">
        <v>2276</v>
      </c>
      <c r="G763" s="9" t="s">
        <v>138</v>
      </c>
      <c r="H763" s="12" t="s">
        <v>2277</v>
      </c>
      <c r="I763" s="10">
        <v>45625</v>
      </c>
    </row>
    <row r="764" spans="1:9" x14ac:dyDescent="0.15">
      <c r="A764" s="9">
        <v>763</v>
      </c>
      <c r="B764" s="9" t="s">
        <v>9</v>
      </c>
      <c r="C764" s="9">
        <v>1927</v>
      </c>
      <c r="D764" s="10">
        <v>45729</v>
      </c>
      <c r="E764" s="11" t="str">
        <f>+HYPERLINK("http://trademark.i-assist.jp/data/china/image_1927th/82270358.pdf","82270358")</f>
        <v>82270358</v>
      </c>
      <c r="F764" s="9" t="s">
        <v>2278</v>
      </c>
      <c r="G764" s="9" t="s">
        <v>2279</v>
      </c>
      <c r="H764" s="9" t="s">
        <v>2280</v>
      </c>
      <c r="I764" s="10">
        <v>45625</v>
      </c>
    </row>
    <row r="765" spans="1:9" x14ac:dyDescent="0.15">
      <c r="A765" s="9">
        <v>764</v>
      </c>
      <c r="B765" s="9" t="s">
        <v>9</v>
      </c>
      <c r="C765" s="9">
        <v>1927</v>
      </c>
      <c r="D765" s="10">
        <v>45729</v>
      </c>
      <c r="E765" s="11" t="str">
        <f>+HYPERLINK("http://trademark.i-assist.jp/data/china/image_1927th/82270818.pdf","82270818")</f>
        <v>82270818</v>
      </c>
      <c r="F765" s="9" t="s">
        <v>2281</v>
      </c>
      <c r="G765" s="9" t="s">
        <v>2282</v>
      </c>
      <c r="H765" s="9" t="s">
        <v>2283</v>
      </c>
      <c r="I765" s="10">
        <v>45625</v>
      </c>
    </row>
    <row r="766" spans="1:9" x14ac:dyDescent="0.15">
      <c r="A766" s="9">
        <v>765</v>
      </c>
      <c r="B766" s="9" t="s">
        <v>9</v>
      </c>
      <c r="C766" s="9">
        <v>1927</v>
      </c>
      <c r="D766" s="10">
        <v>45729</v>
      </c>
      <c r="E766" s="11" t="str">
        <f>+HYPERLINK("http://trademark.i-assist.jp/data/china/image_1927th/82271206.pdf","82271206")</f>
        <v>82271206</v>
      </c>
      <c r="F766" s="12" t="s">
        <v>2284</v>
      </c>
      <c r="G766" s="9" t="s">
        <v>2285</v>
      </c>
      <c r="H766" s="9" t="s">
        <v>2286</v>
      </c>
      <c r="I766" s="10">
        <v>45625</v>
      </c>
    </row>
    <row r="767" spans="1:9" x14ac:dyDescent="0.15">
      <c r="A767" s="9">
        <v>766</v>
      </c>
      <c r="B767" s="9" t="s">
        <v>9</v>
      </c>
      <c r="C767" s="9">
        <v>1927</v>
      </c>
      <c r="D767" s="10">
        <v>45729</v>
      </c>
      <c r="E767" s="11" t="str">
        <f>+HYPERLINK("http://trademark.i-assist.jp/data/china/image_1927th/82271388.pdf","82271388")</f>
        <v>82271388</v>
      </c>
      <c r="F767" s="9" t="s">
        <v>2287</v>
      </c>
      <c r="G767" s="9" t="s">
        <v>92</v>
      </c>
      <c r="H767" s="9" t="s">
        <v>2288</v>
      </c>
      <c r="I767" s="10">
        <v>45625</v>
      </c>
    </row>
    <row r="768" spans="1:9" x14ac:dyDescent="0.15">
      <c r="A768" s="9">
        <v>767</v>
      </c>
      <c r="B768" s="9" t="s">
        <v>9</v>
      </c>
      <c r="C768" s="9">
        <v>1927</v>
      </c>
      <c r="D768" s="10">
        <v>45729</v>
      </c>
      <c r="E768" s="11" t="str">
        <f>+HYPERLINK("http://trademark.i-assist.jp/data/china/image_1927th/82271552.pdf","82271552")</f>
        <v>82271552</v>
      </c>
      <c r="F768" s="9" t="s">
        <v>2289</v>
      </c>
      <c r="G768" s="9" t="s">
        <v>2290</v>
      </c>
      <c r="H768" s="12" t="s">
        <v>2291</v>
      </c>
      <c r="I768" s="10">
        <v>45625</v>
      </c>
    </row>
    <row r="769" spans="1:9" x14ac:dyDescent="0.15">
      <c r="A769" s="9">
        <v>768</v>
      </c>
      <c r="B769" s="9" t="s">
        <v>9</v>
      </c>
      <c r="C769" s="9">
        <v>1927</v>
      </c>
      <c r="D769" s="10">
        <v>45729</v>
      </c>
      <c r="E769" s="11" t="str">
        <f>+HYPERLINK("http://trademark.i-assist.jp/data/china/image_1927th/82271868.pdf","82271868")</f>
        <v>82271868</v>
      </c>
      <c r="F769" s="9" t="s">
        <v>2292</v>
      </c>
      <c r="G769" s="9" t="s">
        <v>2293</v>
      </c>
      <c r="H769" s="9" t="s">
        <v>2294</v>
      </c>
      <c r="I769" s="10">
        <v>45625</v>
      </c>
    </row>
    <row r="770" spans="1:9" x14ac:dyDescent="0.15">
      <c r="A770" s="9">
        <v>769</v>
      </c>
      <c r="B770" s="9" t="s">
        <v>9</v>
      </c>
      <c r="C770" s="9">
        <v>1927</v>
      </c>
      <c r="D770" s="10">
        <v>45729</v>
      </c>
      <c r="E770" s="11" t="str">
        <f>+HYPERLINK("http://trademark.i-assist.jp/data/china/image_1927th/82272246.pdf","82272246")</f>
        <v>82272246</v>
      </c>
      <c r="F770" s="9" t="s">
        <v>2295</v>
      </c>
      <c r="G770" s="9" t="s">
        <v>60</v>
      </c>
      <c r="H770" s="9" t="s">
        <v>2296</v>
      </c>
      <c r="I770" s="10">
        <v>45625</v>
      </c>
    </row>
    <row r="771" spans="1:9" x14ac:dyDescent="0.15">
      <c r="A771" s="9">
        <v>770</v>
      </c>
      <c r="B771" s="9" t="s">
        <v>9</v>
      </c>
      <c r="C771" s="9">
        <v>1927</v>
      </c>
      <c r="D771" s="10">
        <v>45729</v>
      </c>
      <c r="E771" s="11" t="str">
        <f>+HYPERLINK("http://trademark.i-assist.jp/data/china/image_1927th/82272250.pdf","82272250")</f>
        <v>82272250</v>
      </c>
      <c r="F771" s="9" t="s">
        <v>2297</v>
      </c>
      <c r="G771" s="12" t="s">
        <v>2206</v>
      </c>
      <c r="H771" s="9" t="s">
        <v>2298</v>
      </c>
      <c r="I771" s="10">
        <v>45625</v>
      </c>
    </row>
    <row r="772" spans="1:9" x14ac:dyDescent="0.15">
      <c r="A772" s="9">
        <v>771</v>
      </c>
      <c r="B772" s="9" t="s">
        <v>9</v>
      </c>
      <c r="C772" s="9">
        <v>1927</v>
      </c>
      <c r="D772" s="10">
        <v>45729</v>
      </c>
      <c r="E772" s="11" t="str">
        <f>+HYPERLINK("http://trademark.i-assist.jp/data/china/image_1927th/82272328.pdf","82272328")</f>
        <v>82272328</v>
      </c>
      <c r="F772" s="9" t="s">
        <v>2299</v>
      </c>
      <c r="G772" s="12" t="s">
        <v>2300</v>
      </c>
      <c r="H772" s="9" t="s">
        <v>2301</v>
      </c>
      <c r="I772" s="10">
        <v>45625</v>
      </c>
    </row>
    <row r="773" spans="1:9" x14ac:dyDescent="0.15">
      <c r="A773" s="9">
        <v>772</v>
      </c>
      <c r="B773" s="9" t="s">
        <v>9</v>
      </c>
      <c r="C773" s="9">
        <v>1927</v>
      </c>
      <c r="D773" s="10">
        <v>45729</v>
      </c>
      <c r="E773" s="11" t="str">
        <f>+HYPERLINK("http://trademark.i-assist.jp/data/china/image_1927th/82272522.pdf","82272522")</f>
        <v>82272522</v>
      </c>
      <c r="F773" s="9" t="s">
        <v>2302</v>
      </c>
      <c r="G773" s="9" t="s">
        <v>139</v>
      </c>
      <c r="H773" s="9" t="s">
        <v>2303</v>
      </c>
      <c r="I773" s="10">
        <v>45625</v>
      </c>
    </row>
    <row r="774" spans="1:9" x14ac:dyDescent="0.15">
      <c r="A774" s="9">
        <v>773</v>
      </c>
      <c r="B774" s="9" t="s">
        <v>9</v>
      </c>
      <c r="C774" s="9">
        <v>1927</v>
      </c>
      <c r="D774" s="10">
        <v>45729</v>
      </c>
      <c r="E774" s="11" t="str">
        <f>+HYPERLINK("http://trademark.i-assist.jp/data/china/image_1927th/82272928.pdf","82272928")</f>
        <v>82272928</v>
      </c>
      <c r="F774" s="9" t="s">
        <v>2304</v>
      </c>
      <c r="G774" s="9" t="s">
        <v>2260</v>
      </c>
      <c r="H774" s="9" t="s">
        <v>2305</v>
      </c>
      <c r="I774" s="10">
        <v>45625</v>
      </c>
    </row>
    <row r="775" spans="1:9" x14ac:dyDescent="0.15">
      <c r="A775" s="9">
        <v>774</v>
      </c>
      <c r="B775" s="9" t="s">
        <v>9</v>
      </c>
      <c r="C775" s="9">
        <v>1927</v>
      </c>
      <c r="D775" s="10">
        <v>45729</v>
      </c>
      <c r="E775" s="11" t="str">
        <f>+HYPERLINK("http://trademark.i-assist.jp/data/china/image_1927th/82274046.pdf","82274046")</f>
        <v>82274046</v>
      </c>
      <c r="F775" s="9" t="s">
        <v>2306</v>
      </c>
      <c r="G775" s="9" t="s">
        <v>2307</v>
      </c>
      <c r="H775" s="9" t="s">
        <v>2308</v>
      </c>
      <c r="I775" s="10">
        <v>45625</v>
      </c>
    </row>
    <row r="776" spans="1:9" x14ac:dyDescent="0.15">
      <c r="A776" s="9">
        <v>775</v>
      </c>
      <c r="B776" s="9" t="s">
        <v>9</v>
      </c>
      <c r="C776" s="9">
        <v>1927</v>
      </c>
      <c r="D776" s="10">
        <v>45729</v>
      </c>
      <c r="E776" s="11" t="str">
        <f>+HYPERLINK("http://trademark.i-assist.jp/data/china/image_1927th/82274152.pdf","82274152")</f>
        <v>82274152</v>
      </c>
      <c r="F776" s="9" t="s">
        <v>2309</v>
      </c>
      <c r="G776" s="9" t="s">
        <v>2310</v>
      </c>
      <c r="H776" s="9" t="s">
        <v>2311</v>
      </c>
      <c r="I776" s="10">
        <v>45625</v>
      </c>
    </row>
    <row r="777" spans="1:9" x14ac:dyDescent="0.15">
      <c r="A777" s="9">
        <v>776</v>
      </c>
      <c r="B777" s="9" t="s">
        <v>9</v>
      </c>
      <c r="C777" s="9">
        <v>1927</v>
      </c>
      <c r="D777" s="10">
        <v>45729</v>
      </c>
      <c r="E777" s="11" t="str">
        <f>+HYPERLINK("http://trademark.i-assist.jp/data/china/image_1927th/82274626.pdf","82274626")</f>
        <v>82274626</v>
      </c>
      <c r="F777" s="12" t="s">
        <v>2312</v>
      </c>
      <c r="G777" s="9" t="s">
        <v>874</v>
      </c>
      <c r="H777" s="9" t="s">
        <v>2313</v>
      </c>
      <c r="I777" s="10">
        <v>45625</v>
      </c>
    </row>
    <row r="778" spans="1:9" x14ac:dyDescent="0.15">
      <c r="A778" s="9">
        <v>777</v>
      </c>
      <c r="B778" s="9" t="s">
        <v>9</v>
      </c>
      <c r="C778" s="9">
        <v>1927</v>
      </c>
      <c r="D778" s="10">
        <v>45729</v>
      </c>
      <c r="E778" s="11" t="str">
        <f>+HYPERLINK("http://trademark.i-assist.jp/data/china/image_1927th/82274919.pdf","82274919")</f>
        <v>82274919</v>
      </c>
      <c r="F778" s="9" t="s">
        <v>2314</v>
      </c>
      <c r="G778" s="9" t="s">
        <v>2315</v>
      </c>
      <c r="H778" s="9" t="s">
        <v>2316</v>
      </c>
      <c r="I778" s="10">
        <v>45625</v>
      </c>
    </row>
    <row r="779" spans="1:9" x14ac:dyDescent="0.15">
      <c r="A779" s="9">
        <v>778</v>
      </c>
      <c r="B779" s="9" t="s">
        <v>9</v>
      </c>
      <c r="C779" s="9">
        <v>1927</v>
      </c>
      <c r="D779" s="10">
        <v>45729</v>
      </c>
      <c r="E779" s="11" t="str">
        <f>+HYPERLINK("http://trademark.i-assist.jp/data/china/image_1927th/82275135.pdf","82275135")</f>
        <v>82275135</v>
      </c>
      <c r="F779" s="9" t="s">
        <v>2281</v>
      </c>
      <c r="G779" s="9" t="s">
        <v>2282</v>
      </c>
      <c r="H779" s="9" t="s">
        <v>2317</v>
      </c>
      <c r="I779" s="10">
        <v>45625</v>
      </c>
    </row>
    <row r="780" spans="1:9" x14ac:dyDescent="0.15">
      <c r="A780" s="9">
        <v>779</v>
      </c>
      <c r="B780" s="9" t="s">
        <v>9</v>
      </c>
      <c r="C780" s="9">
        <v>1927</v>
      </c>
      <c r="D780" s="10">
        <v>45729</v>
      </c>
      <c r="E780" s="11" t="str">
        <f>+HYPERLINK("http://trademark.i-assist.jp/data/china/image_1927th/82275274.pdf","82275274")</f>
        <v>82275274</v>
      </c>
      <c r="F780" s="9" t="s">
        <v>2318</v>
      </c>
      <c r="G780" s="9" t="s">
        <v>2268</v>
      </c>
      <c r="H780" s="9" t="s">
        <v>2319</v>
      </c>
      <c r="I780" s="10">
        <v>45625</v>
      </c>
    </row>
    <row r="781" spans="1:9" x14ac:dyDescent="0.15">
      <c r="A781" s="9">
        <v>780</v>
      </c>
      <c r="B781" s="9" t="s">
        <v>9</v>
      </c>
      <c r="C781" s="9">
        <v>1927</v>
      </c>
      <c r="D781" s="10">
        <v>45729</v>
      </c>
      <c r="E781" s="11" t="str">
        <f>+HYPERLINK("http://trademark.i-assist.jp/data/china/image_1927th/82275742.pdf","82275742")</f>
        <v>82275742</v>
      </c>
      <c r="F781" s="12" t="s">
        <v>2320</v>
      </c>
      <c r="G781" s="9" t="s">
        <v>2321</v>
      </c>
      <c r="H781" s="9" t="s">
        <v>2322</v>
      </c>
      <c r="I781" s="10">
        <v>45625</v>
      </c>
    </row>
    <row r="782" spans="1:9" x14ac:dyDescent="0.15">
      <c r="A782" s="9">
        <v>781</v>
      </c>
      <c r="B782" s="9" t="s">
        <v>9</v>
      </c>
      <c r="C782" s="9">
        <v>1927</v>
      </c>
      <c r="D782" s="10">
        <v>45729</v>
      </c>
      <c r="E782" s="11" t="str">
        <f>+HYPERLINK("http://trademark.i-assist.jp/data/china/image_1927th/82276067.pdf","82276067")</f>
        <v>82276067</v>
      </c>
      <c r="F782" s="12" t="s">
        <v>2323</v>
      </c>
      <c r="G782" s="9" t="s">
        <v>25</v>
      </c>
      <c r="H782" s="9" t="s">
        <v>2324</v>
      </c>
      <c r="I782" s="10">
        <v>45625</v>
      </c>
    </row>
    <row r="783" spans="1:9" x14ac:dyDescent="0.15">
      <c r="A783" s="9">
        <v>782</v>
      </c>
      <c r="B783" s="9" t="s">
        <v>9</v>
      </c>
      <c r="C783" s="9">
        <v>1927</v>
      </c>
      <c r="D783" s="10">
        <v>45729</v>
      </c>
      <c r="E783" s="11" t="str">
        <f>+HYPERLINK("http://trademark.i-assist.jp/data/china/image_1927th/82276081.pdf","82276081")</f>
        <v>82276081</v>
      </c>
      <c r="F783" s="9" t="s">
        <v>2325</v>
      </c>
      <c r="G783" s="9" t="s">
        <v>2326</v>
      </c>
      <c r="H783" s="9" t="s">
        <v>2327</v>
      </c>
      <c r="I783" s="10">
        <v>45625</v>
      </c>
    </row>
    <row r="784" spans="1:9" x14ac:dyDescent="0.15">
      <c r="A784" s="9">
        <v>783</v>
      </c>
      <c r="B784" s="9" t="s">
        <v>9</v>
      </c>
      <c r="C784" s="9">
        <v>1927</v>
      </c>
      <c r="D784" s="10">
        <v>45729</v>
      </c>
      <c r="E784" s="11" t="str">
        <f>+HYPERLINK("http://trademark.i-assist.jp/data/china/image_1927th/82276252.pdf","82276252")</f>
        <v>82276252</v>
      </c>
      <c r="F784" s="9" t="s">
        <v>2328</v>
      </c>
      <c r="G784" s="9" t="s">
        <v>2329</v>
      </c>
      <c r="H784" s="9" t="s">
        <v>2330</v>
      </c>
      <c r="I784" s="10">
        <v>45625</v>
      </c>
    </row>
    <row r="785" spans="1:9" x14ac:dyDescent="0.15">
      <c r="A785" s="9">
        <v>784</v>
      </c>
      <c r="B785" s="9" t="s">
        <v>9</v>
      </c>
      <c r="C785" s="9">
        <v>1927</v>
      </c>
      <c r="D785" s="10">
        <v>45729</v>
      </c>
      <c r="E785" s="11" t="str">
        <f>+HYPERLINK("http://trademark.i-assist.jp/data/china/image_1927th/82276425.pdf","82276425")</f>
        <v>82276425</v>
      </c>
      <c r="F785" s="9" t="s">
        <v>2331</v>
      </c>
      <c r="G785" s="9" t="s">
        <v>2332</v>
      </c>
      <c r="H785" s="9" t="s">
        <v>2333</v>
      </c>
      <c r="I785" s="10">
        <v>45625</v>
      </c>
    </row>
    <row r="786" spans="1:9" x14ac:dyDescent="0.15">
      <c r="A786" s="9">
        <v>785</v>
      </c>
      <c r="B786" s="9" t="s">
        <v>9</v>
      </c>
      <c r="C786" s="9">
        <v>1927</v>
      </c>
      <c r="D786" s="10">
        <v>45729</v>
      </c>
      <c r="E786" s="11" t="str">
        <f>+HYPERLINK("http://trademark.i-assist.jp/data/china/image_1927th/82276543.pdf","82276543")</f>
        <v>82276543</v>
      </c>
      <c r="F786" s="9" t="s">
        <v>2334</v>
      </c>
      <c r="G786" s="12" t="s">
        <v>142</v>
      </c>
      <c r="H786" s="12" t="s">
        <v>2335</v>
      </c>
      <c r="I786" s="10">
        <v>45625</v>
      </c>
    </row>
    <row r="787" spans="1:9" x14ac:dyDescent="0.15">
      <c r="A787" s="9">
        <v>786</v>
      </c>
      <c r="B787" s="9" t="s">
        <v>9</v>
      </c>
      <c r="C787" s="9">
        <v>1927</v>
      </c>
      <c r="D787" s="10">
        <v>45729</v>
      </c>
      <c r="E787" s="11" t="str">
        <f>+HYPERLINK("http://trademark.i-assist.jp/data/china/image_1927th/82277029.pdf","82277029")</f>
        <v>82277029</v>
      </c>
      <c r="F787" s="9" t="s">
        <v>2336</v>
      </c>
      <c r="G787" s="9" t="s">
        <v>2337</v>
      </c>
      <c r="H787" s="9" t="s">
        <v>2338</v>
      </c>
      <c r="I787" s="10">
        <v>45625</v>
      </c>
    </row>
    <row r="788" spans="1:9" x14ac:dyDescent="0.15">
      <c r="A788" s="9">
        <v>787</v>
      </c>
      <c r="B788" s="9" t="s">
        <v>9</v>
      </c>
      <c r="C788" s="9">
        <v>1927</v>
      </c>
      <c r="D788" s="10">
        <v>45729</v>
      </c>
      <c r="E788" s="11" t="str">
        <f>+HYPERLINK("http://trademark.i-assist.jp/data/china/image_1927th/82277844.pdf","82277844")</f>
        <v>82277844</v>
      </c>
      <c r="F788" s="9" t="s">
        <v>2339</v>
      </c>
      <c r="G788" s="9" t="s">
        <v>92</v>
      </c>
      <c r="H788" s="9" t="s">
        <v>2340</v>
      </c>
      <c r="I788" s="10">
        <v>45625</v>
      </c>
    </row>
    <row r="789" spans="1:9" x14ac:dyDescent="0.15">
      <c r="A789" s="9">
        <v>788</v>
      </c>
      <c r="B789" s="9" t="s">
        <v>9</v>
      </c>
      <c r="C789" s="9">
        <v>1927</v>
      </c>
      <c r="D789" s="10">
        <v>45729</v>
      </c>
      <c r="E789" s="11" t="str">
        <f>+HYPERLINK("http://trademark.i-assist.jp/data/china/image_1927th/82279374.pdf","82279374")</f>
        <v>82279374</v>
      </c>
      <c r="F789" s="9" t="s">
        <v>2341</v>
      </c>
      <c r="G789" s="12" t="s">
        <v>2342</v>
      </c>
      <c r="H789" s="9" t="s">
        <v>2343</v>
      </c>
      <c r="I789" s="10">
        <v>45626</v>
      </c>
    </row>
    <row r="790" spans="1:9" x14ac:dyDescent="0.15">
      <c r="A790" s="9">
        <v>789</v>
      </c>
      <c r="B790" s="9" t="s">
        <v>9</v>
      </c>
      <c r="C790" s="9">
        <v>1927</v>
      </c>
      <c r="D790" s="10">
        <v>45729</v>
      </c>
      <c r="E790" s="11" t="str">
        <f>+HYPERLINK("http://trademark.i-assist.jp/data/china/image_1927th/82279422.pdf","82279422")</f>
        <v>82279422</v>
      </c>
      <c r="F790" s="9" t="s">
        <v>2344</v>
      </c>
      <c r="G790" s="9" t="s">
        <v>2345</v>
      </c>
      <c r="H790" s="9" t="s">
        <v>2346</v>
      </c>
      <c r="I790" s="10">
        <v>45626</v>
      </c>
    </row>
    <row r="791" spans="1:9" x14ac:dyDescent="0.15">
      <c r="A791" s="9">
        <v>790</v>
      </c>
      <c r="B791" s="9" t="s">
        <v>9</v>
      </c>
      <c r="C791" s="9">
        <v>1927</v>
      </c>
      <c r="D791" s="10">
        <v>45729</v>
      </c>
      <c r="E791" s="11" t="str">
        <f>+HYPERLINK("http://trademark.i-assist.jp/data/china/image_1927th/82280450.pdf","82280450")</f>
        <v>82280450</v>
      </c>
      <c r="F791" s="12" t="s">
        <v>2347</v>
      </c>
      <c r="G791" s="12" t="s">
        <v>2348</v>
      </c>
      <c r="H791" s="9" t="s">
        <v>2349</v>
      </c>
      <c r="I791" s="10">
        <v>45626</v>
      </c>
    </row>
    <row r="792" spans="1:9" x14ac:dyDescent="0.15">
      <c r="A792" s="9">
        <v>791</v>
      </c>
      <c r="B792" s="9" t="s">
        <v>9</v>
      </c>
      <c r="C792" s="9">
        <v>1927</v>
      </c>
      <c r="D792" s="10">
        <v>45729</v>
      </c>
      <c r="E792" s="11" t="str">
        <f>+HYPERLINK("http://trademark.i-assist.jp/data/china/image_1927th/82280843.pdf","82280843")</f>
        <v>82280843</v>
      </c>
      <c r="F792" s="12" t="s">
        <v>2350</v>
      </c>
      <c r="G792" s="9" t="s">
        <v>2351</v>
      </c>
      <c r="H792" s="9" t="s">
        <v>2352</v>
      </c>
      <c r="I792" s="10">
        <v>45626</v>
      </c>
    </row>
    <row r="793" spans="1:9" x14ac:dyDescent="0.15">
      <c r="A793" s="9">
        <v>792</v>
      </c>
      <c r="B793" s="9" t="s">
        <v>9</v>
      </c>
      <c r="C793" s="9">
        <v>1927</v>
      </c>
      <c r="D793" s="10">
        <v>45729</v>
      </c>
      <c r="E793" s="11" t="str">
        <f>+HYPERLINK("http://trademark.i-assist.jp/data/china/image_1927th/82281523.pdf","82281523")</f>
        <v>82281523</v>
      </c>
      <c r="F793" s="9" t="s">
        <v>2353</v>
      </c>
      <c r="G793" s="12" t="s">
        <v>2354</v>
      </c>
      <c r="H793" s="9" t="s">
        <v>10</v>
      </c>
      <c r="I793" s="10">
        <v>45626</v>
      </c>
    </row>
    <row r="794" spans="1:9" x14ac:dyDescent="0.15">
      <c r="A794" s="9">
        <v>793</v>
      </c>
      <c r="B794" s="9" t="s">
        <v>9</v>
      </c>
      <c r="C794" s="9">
        <v>1927</v>
      </c>
      <c r="D794" s="10">
        <v>45729</v>
      </c>
      <c r="E794" s="11" t="str">
        <f>+HYPERLINK("http://trademark.i-assist.jp/data/china/image_1927th/82282449.pdf","82282449")</f>
        <v>82282449</v>
      </c>
      <c r="F794" s="9" t="s">
        <v>2355</v>
      </c>
      <c r="G794" s="9" t="s">
        <v>2356</v>
      </c>
      <c r="H794" s="9" t="s">
        <v>2357</v>
      </c>
      <c r="I794" s="10">
        <v>45626</v>
      </c>
    </row>
    <row r="795" spans="1:9" x14ac:dyDescent="0.15">
      <c r="A795" s="9">
        <v>794</v>
      </c>
      <c r="B795" s="9" t="s">
        <v>9</v>
      </c>
      <c r="C795" s="9">
        <v>1927</v>
      </c>
      <c r="D795" s="10">
        <v>45729</v>
      </c>
      <c r="E795" s="11" t="str">
        <f>+HYPERLINK("http://trademark.i-assist.jp/data/china/image_1927th/82282654.pdf","82282654")</f>
        <v>82282654</v>
      </c>
      <c r="F795" s="12" t="s">
        <v>2358</v>
      </c>
      <c r="G795" s="9" t="s">
        <v>2359</v>
      </c>
      <c r="H795" s="9" t="s">
        <v>2360</v>
      </c>
      <c r="I795" s="10">
        <v>45626</v>
      </c>
    </row>
    <row r="796" spans="1:9" x14ac:dyDescent="0.15">
      <c r="A796" s="9">
        <v>795</v>
      </c>
      <c r="B796" s="9" t="s">
        <v>9</v>
      </c>
      <c r="C796" s="9">
        <v>1927</v>
      </c>
      <c r="D796" s="10">
        <v>45729</v>
      </c>
      <c r="E796" s="11" t="str">
        <f>+HYPERLINK("http://trademark.i-assist.jp/data/china/image_1927th/82283156.pdf","82283156")</f>
        <v>82283156</v>
      </c>
      <c r="F796" s="12" t="s">
        <v>2361</v>
      </c>
      <c r="G796" s="9" t="s">
        <v>2362</v>
      </c>
      <c r="H796" s="9" t="s">
        <v>2363</v>
      </c>
      <c r="I796" s="10">
        <v>45626</v>
      </c>
    </row>
    <row r="797" spans="1:9" x14ac:dyDescent="0.15">
      <c r="A797" s="9">
        <v>796</v>
      </c>
      <c r="B797" s="9" t="s">
        <v>9</v>
      </c>
      <c r="C797" s="9">
        <v>1927</v>
      </c>
      <c r="D797" s="10">
        <v>45729</v>
      </c>
      <c r="E797" s="11" t="str">
        <f>+HYPERLINK("http://trademark.i-assist.jp/data/china/image_1927th/82283833.pdf","82283833")</f>
        <v>82283833</v>
      </c>
      <c r="F797" s="12" t="s">
        <v>2364</v>
      </c>
      <c r="G797" s="12" t="s">
        <v>1353</v>
      </c>
      <c r="H797" s="9" t="s">
        <v>2365</v>
      </c>
      <c r="I797" s="10">
        <v>45626</v>
      </c>
    </row>
    <row r="798" spans="1:9" x14ac:dyDescent="0.15">
      <c r="A798" s="9">
        <v>797</v>
      </c>
      <c r="B798" s="9" t="s">
        <v>9</v>
      </c>
      <c r="C798" s="9">
        <v>1927</v>
      </c>
      <c r="D798" s="10">
        <v>45729</v>
      </c>
      <c r="E798" s="11" t="str">
        <f>+HYPERLINK("http://trademark.i-assist.jp/data/china/image_1927th/82284426.pdf","82284426")</f>
        <v>82284426</v>
      </c>
      <c r="F798" s="9" t="s">
        <v>2366</v>
      </c>
      <c r="G798" s="9" t="s">
        <v>2367</v>
      </c>
      <c r="H798" s="9" t="s">
        <v>2368</v>
      </c>
      <c r="I798" s="10">
        <v>45626</v>
      </c>
    </row>
    <row r="799" spans="1:9" x14ac:dyDescent="0.15">
      <c r="A799" s="9">
        <v>798</v>
      </c>
      <c r="B799" s="9" t="s">
        <v>9</v>
      </c>
      <c r="C799" s="9">
        <v>1927</v>
      </c>
      <c r="D799" s="10">
        <v>45729</v>
      </c>
      <c r="E799" s="11" t="str">
        <f>+HYPERLINK("http://trademark.i-assist.jp/data/china/image_1927th/82284641.pdf","82284641")</f>
        <v>82284641</v>
      </c>
      <c r="F799" s="9" t="s">
        <v>2369</v>
      </c>
      <c r="G799" s="9" t="s">
        <v>2370</v>
      </c>
      <c r="H799" s="9" t="s">
        <v>2371</v>
      </c>
      <c r="I799" s="10">
        <v>45626</v>
      </c>
    </row>
    <row r="800" spans="1:9" x14ac:dyDescent="0.15">
      <c r="A800" s="9">
        <v>799</v>
      </c>
      <c r="B800" s="9" t="s">
        <v>9</v>
      </c>
      <c r="C800" s="9">
        <v>1927</v>
      </c>
      <c r="D800" s="10">
        <v>45729</v>
      </c>
      <c r="E800" s="11" t="str">
        <f>+HYPERLINK("http://trademark.i-assist.jp/data/china/image_1927th/82284654.pdf","82284654")</f>
        <v>82284654</v>
      </c>
      <c r="F800" s="9" t="s">
        <v>2372</v>
      </c>
      <c r="G800" s="12" t="s">
        <v>2348</v>
      </c>
      <c r="H800" s="9" t="s">
        <v>2373</v>
      </c>
      <c r="I800" s="10">
        <v>45626</v>
      </c>
    </row>
    <row r="801" spans="1:9" x14ac:dyDescent="0.15">
      <c r="A801" s="9">
        <v>800</v>
      </c>
      <c r="B801" s="9" t="s">
        <v>9</v>
      </c>
      <c r="C801" s="9">
        <v>1927</v>
      </c>
      <c r="D801" s="10">
        <v>45729</v>
      </c>
      <c r="E801" s="11" t="str">
        <f>+HYPERLINK("http://trademark.i-assist.jp/data/china/image_1927th/82285266.pdf","82285266")</f>
        <v>82285266</v>
      </c>
      <c r="F801" s="12" t="s">
        <v>2374</v>
      </c>
      <c r="G801" s="9" t="s">
        <v>88</v>
      </c>
      <c r="H801" s="9" t="s">
        <v>2375</v>
      </c>
      <c r="I801" s="10">
        <v>45627</v>
      </c>
    </row>
    <row r="802" spans="1:9" x14ac:dyDescent="0.15">
      <c r="A802" s="9">
        <v>801</v>
      </c>
      <c r="B802" s="9" t="s">
        <v>9</v>
      </c>
      <c r="C802" s="9">
        <v>1927</v>
      </c>
      <c r="D802" s="10">
        <v>45729</v>
      </c>
      <c r="E802" s="11" t="str">
        <f>+HYPERLINK("http://trademark.i-assist.jp/data/china/image_1927th/82286526.pdf","82286526")</f>
        <v>82286526</v>
      </c>
      <c r="F802" s="9" t="s">
        <v>2376</v>
      </c>
      <c r="G802" s="12" t="s">
        <v>151</v>
      </c>
      <c r="H802" s="9" t="s">
        <v>2377</v>
      </c>
      <c r="I802" s="10">
        <v>45627</v>
      </c>
    </row>
    <row r="803" spans="1:9" x14ac:dyDescent="0.15">
      <c r="A803" s="9">
        <v>802</v>
      </c>
      <c r="B803" s="9" t="s">
        <v>9</v>
      </c>
      <c r="C803" s="9">
        <v>1927</v>
      </c>
      <c r="D803" s="10">
        <v>45729</v>
      </c>
      <c r="E803" s="11" t="str">
        <f>+HYPERLINK("http://trademark.i-assist.jp/data/china/image_1927th/82286937.pdf","82286937")</f>
        <v>82286937</v>
      </c>
      <c r="F803" s="9" t="s">
        <v>2378</v>
      </c>
      <c r="G803" s="12" t="s">
        <v>2379</v>
      </c>
      <c r="H803" s="9" t="s">
        <v>2380</v>
      </c>
      <c r="I803" s="10">
        <v>45627</v>
      </c>
    </row>
    <row r="804" spans="1:9" x14ac:dyDescent="0.15">
      <c r="A804" s="9">
        <v>803</v>
      </c>
      <c r="B804" s="9" t="s">
        <v>9</v>
      </c>
      <c r="C804" s="9">
        <v>1927</v>
      </c>
      <c r="D804" s="10">
        <v>45729</v>
      </c>
      <c r="E804" s="11" t="str">
        <f>+HYPERLINK("http://trademark.i-assist.jp/data/china/image_1927th/82286945.pdf","82286945")</f>
        <v>82286945</v>
      </c>
      <c r="F804" s="12" t="s">
        <v>2381</v>
      </c>
      <c r="G804" s="9" t="s">
        <v>2382</v>
      </c>
      <c r="H804" s="9" t="s">
        <v>2383</v>
      </c>
      <c r="I804" s="10">
        <v>45627</v>
      </c>
    </row>
    <row r="805" spans="1:9" x14ac:dyDescent="0.15">
      <c r="A805" s="9">
        <v>804</v>
      </c>
      <c r="B805" s="9" t="s">
        <v>9</v>
      </c>
      <c r="C805" s="9">
        <v>1927</v>
      </c>
      <c r="D805" s="10">
        <v>45729</v>
      </c>
      <c r="E805" s="11" t="str">
        <f>+HYPERLINK("http://trademark.i-assist.jp/data/china/image_1927th/82286946.pdf","82286946")</f>
        <v>82286946</v>
      </c>
      <c r="F805" s="12" t="s">
        <v>2384</v>
      </c>
      <c r="G805" s="9" t="s">
        <v>2382</v>
      </c>
      <c r="H805" s="9" t="s">
        <v>2385</v>
      </c>
      <c r="I805" s="10">
        <v>45627</v>
      </c>
    </row>
    <row r="806" spans="1:9" x14ac:dyDescent="0.15">
      <c r="A806" s="9">
        <v>805</v>
      </c>
      <c r="B806" s="9" t="s">
        <v>9</v>
      </c>
      <c r="C806" s="9">
        <v>1927</v>
      </c>
      <c r="D806" s="10">
        <v>45729</v>
      </c>
      <c r="E806" s="11" t="str">
        <f>+HYPERLINK("http://trademark.i-assist.jp/data/china/image_1927th/82287006.pdf","82287006")</f>
        <v>82287006</v>
      </c>
      <c r="F806" s="9" t="s">
        <v>2386</v>
      </c>
      <c r="G806" s="9" t="s">
        <v>2387</v>
      </c>
      <c r="H806" s="12" t="s">
        <v>2388</v>
      </c>
      <c r="I806" s="10">
        <v>45627</v>
      </c>
    </row>
    <row r="807" spans="1:9" x14ac:dyDescent="0.15">
      <c r="A807" s="9">
        <v>806</v>
      </c>
      <c r="B807" s="9" t="s">
        <v>9</v>
      </c>
      <c r="C807" s="9">
        <v>1927</v>
      </c>
      <c r="D807" s="10">
        <v>45729</v>
      </c>
      <c r="E807" s="11" t="str">
        <f>+HYPERLINK("http://trademark.i-assist.jp/data/china/image_1927th/82288777.pdf","82288777")</f>
        <v>82288777</v>
      </c>
      <c r="F807" s="9" t="s">
        <v>2389</v>
      </c>
      <c r="G807" s="9" t="s">
        <v>2390</v>
      </c>
      <c r="H807" s="9" t="s">
        <v>2391</v>
      </c>
      <c r="I807" s="10">
        <v>45628</v>
      </c>
    </row>
    <row r="808" spans="1:9" x14ac:dyDescent="0.15">
      <c r="A808" s="9">
        <v>807</v>
      </c>
      <c r="B808" s="9" t="s">
        <v>9</v>
      </c>
      <c r="C808" s="9">
        <v>1927</v>
      </c>
      <c r="D808" s="10">
        <v>45729</v>
      </c>
      <c r="E808" s="11" t="str">
        <f>+HYPERLINK("http://trademark.i-assist.jp/data/china/image_1927th/82289394.pdf","82289394")</f>
        <v>82289394</v>
      </c>
      <c r="F808" s="9" t="s">
        <v>2392</v>
      </c>
      <c r="G808" s="9" t="s">
        <v>2393</v>
      </c>
      <c r="H808" s="9" t="s">
        <v>2394</v>
      </c>
      <c r="I808" s="10">
        <v>45628</v>
      </c>
    </row>
    <row r="809" spans="1:9" x14ac:dyDescent="0.15">
      <c r="A809" s="9">
        <v>808</v>
      </c>
      <c r="B809" s="9" t="s">
        <v>9</v>
      </c>
      <c r="C809" s="9">
        <v>1927</v>
      </c>
      <c r="D809" s="10">
        <v>45729</v>
      </c>
      <c r="E809" s="11" t="str">
        <f>+HYPERLINK("http://trademark.i-assist.jp/data/china/image_1927th/82289519.pdf","82289519")</f>
        <v>82289519</v>
      </c>
      <c r="F809" s="12" t="s">
        <v>2395</v>
      </c>
      <c r="G809" s="9" t="s">
        <v>2396</v>
      </c>
      <c r="H809" s="9" t="s">
        <v>2397</v>
      </c>
      <c r="I809" s="10">
        <v>45628</v>
      </c>
    </row>
    <row r="810" spans="1:9" x14ac:dyDescent="0.15">
      <c r="A810" s="9">
        <v>809</v>
      </c>
      <c r="B810" s="9" t="s">
        <v>9</v>
      </c>
      <c r="C810" s="9">
        <v>1927</v>
      </c>
      <c r="D810" s="10">
        <v>45729</v>
      </c>
      <c r="E810" s="11" t="str">
        <f>+HYPERLINK("http://trademark.i-assist.jp/data/china/image_1927th/82289638.pdf","82289638")</f>
        <v>82289638</v>
      </c>
      <c r="F810" s="9" t="s">
        <v>2398</v>
      </c>
      <c r="G810" s="9" t="s">
        <v>155</v>
      </c>
      <c r="H810" s="12" t="s">
        <v>2399</v>
      </c>
      <c r="I810" s="10">
        <v>45628</v>
      </c>
    </row>
    <row r="811" spans="1:9" x14ac:dyDescent="0.15">
      <c r="A811" s="9">
        <v>810</v>
      </c>
      <c r="B811" s="9" t="s">
        <v>9</v>
      </c>
      <c r="C811" s="9">
        <v>1927</v>
      </c>
      <c r="D811" s="10">
        <v>45729</v>
      </c>
      <c r="E811" s="11" t="str">
        <f>+HYPERLINK("http://trademark.i-assist.jp/data/china/image_1927th/82289950.pdf","82289950")</f>
        <v>82289950</v>
      </c>
      <c r="F811" s="9" t="s">
        <v>2400</v>
      </c>
      <c r="G811" s="9" t="s">
        <v>2401</v>
      </c>
      <c r="H811" s="9" t="s">
        <v>2402</v>
      </c>
      <c r="I811" s="10">
        <v>45628</v>
      </c>
    </row>
    <row r="812" spans="1:9" x14ac:dyDescent="0.15">
      <c r="A812" s="9">
        <v>811</v>
      </c>
      <c r="B812" s="9" t="s">
        <v>9</v>
      </c>
      <c r="C812" s="9">
        <v>1927</v>
      </c>
      <c r="D812" s="10">
        <v>45729</v>
      </c>
      <c r="E812" s="11" t="str">
        <f>+HYPERLINK("http://trademark.i-assist.jp/data/china/image_1927th/82290107.pdf","82290107")</f>
        <v>82290107</v>
      </c>
      <c r="F812" s="12" t="s">
        <v>2403</v>
      </c>
      <c r="G812" s="9" t="s">
        <v>2404</v>
      </c>
      <c r="H812" s="9" t="s">
        <v>2405</v>
      </c>
      <c r="I812" s="10">
        <v>45628</v>
      </c>
    </row>
    <row r="813" spans="1:9" x14ac:dyDescent="0.15">
      <c r="A813" s="9">
        <v>812</v>
      </c>
      <c r="B813" s="9" t="s">
        <v>9</v>
      </c>
      <c r="C813" s="9">
        <v>1927</v>
      </c>
      <c r="D813" s="10">
        <v>45729</v>
      </c>
      <c r="E813" s="11" t="str">
        <f>+HYPERLINK("http://trademark.i-assist.jp/data/china/image_1927th/82290579.pdf","82290579")</f>
        <v>82290579</v>
      </c>
      <c r="F813" s="12" t="s">
        <v>2406</v>
      </c>
      <c r="G813" s="9" t="s">
        <v>2407</v>
      </c>
      <c r="H813" s="12" t="s">
        <v>2408</v>
      </c>
      <c r="I813" s="10">
        <v>45628</v>
      </c>
    </row>
    <row r="814" spans="1:9" x14ac:dyDescent="0.15">
      <c r="A814" s="9">
        <v>813</v>
      </c>
      <c r="B814" s="9" t="s">
        <v>9</v>
      </c>
      <c r="C814" s="9">
        <v>1927</v>
      </c>
      <c r="D814" s="10">
        <v>45729</v>
      </c>
      <c r="E814" s="11" t="str">
        <f>+HYPERLINK("http://trademark.i-assist.jp/data/china/image_1927th/82290585.pdf","82290585")</f>
        <v>82290585</v>
      </c>
      <c r="F814" s="12" t="s">
        <v>2409</v>
      </c>
      <c r="G814" s="9" t="s">
        <v>2407</v>
      </c>
      <c r="H814" s="9" t="s">
        <v>2410</v>
      </c>
      <c r="I814" s="10">
        <v>45628</v>
      </c>
    </row>
    <row r="815" spans="1:9" x14ac:dyDescent="0.15">
      <c r="A815" s="9">
        <v>814</v>
      </c>
      <c r="B815" s="9" t="s">
        <v>9</v>
      </c>
      <c r="C815" s="9">
        <v>1927</v>
      </c>
      <c r="D815" s="10">
        <v>45729</v>
      </c>
      <c r="E815" s="11" t="str">
        <f>+HYPERLINK("http://trademark.i-assist.jp/data/china/image_1927th/82291000.pdf","82291000")</f>
        <v>82291000</v>
      </c>
      <c r="F815" s="9" t="s">
        <v>2411</v>
      </c>
      <c r="G815" s="9" t="s">
        <v>31</v>
      </c>
      <c r="H815" s="9" t="s">
        <v>2412</v>
      </c>
      <c r="I815" s="10">
        <v>45628</v>
      </c>
    </row>
    <row r="816" spans="1:9" x14ac:dyDescent="0.15">
      <c r="A816" s="9">
        <v>815</v>
      </c>
      <c r="B816" s="9" t="s">
        <v>9</v>
      </c>
      <c r="C816" s="9">
        <v>1927</v>
      </c>
      <c r="D816" s="10">
        <v>45729</v>
      </c>
      <c r="E816" s="11" t="str">
        <f>+HYPERLINK("http://trademark.i-assist.jp/data/china/image_1927th/82291170.pdf","82291170")</f>
        <v>82291170</v>
      </c>
      <c r="F816" s="9" t="s">
        <v>2413</v>
      </c>
      <c r="G816" s="9" t="s">
        <v>2414</v>
      </c>
      <c r="H816" s="9" t="s">
        <v>2415</v>
      </c>
      <c r="I816" s="10">
        <v>45628</v>
      </c>
    </row>
    <row r="817" spans="1:9" x14ac:dyDescent="0.15">
      <c r="A817" s="9">
        <v>816</v>
      </c>
      <c r="B817" s="9" t="s">
        <v>9</v>
      </c>
      <c r="C817" s="9">
        <v>1927</v>
      </c>
      <c r="D817" s="10">
        <v>45729</v>
      </c>
      <c r="E817" s="11" t="str">
        <f>+HYPERLINK("http://trademark.i-assist.jp/data/china/image_1927th/82291509.pdf","82291509")</f>
        <v>82291509</v>
      </c>
      <c r="F817" s="9" t="s">
        <v>2416</v>
      </c>
      <c r="G817" s="9" t="s">
        <v>2417</v>
      </c>
      <c r="H817" s="9" t="s">
        <v>2418</v>
      </c>
      <c r="I817" s="10">
        <v>45628</v>
      </c>
    </row>
    <row r="818" spans="1:9" x14ac:dyDescent="0.15">
      <c r="A818" s="9">
        <v>817</v>
      </c>
      <c r="B818" s="9" t="s">
        <v>9</v>
      </c>
      <c r="C818" s="9">
        <v>1927</v>
      </c>
      <c r="D818" s="10">
        <v>45729</v>
      </c>
      <c r="E818" s="11" t="str">
        <f>+HYPERLINK("http://trademark.i-assist.jp/data/china/image_1927th/82291513.pdf","82291513")</f>
        <v>82291513</v>
      </c>
      <c r="F818" s="9" t="s">
        <v>2419</v>
      </c>
      <c r="G818" s="9" t="s">
        <v>2420</v>
      </c>
      <c r="H818" s="9" t="s">
        <v>2421</v>
      </c>
      <c r="I818" s="10">
        <v>45628</v>
      </c>
    </row>
    <row r="819" spans="1:9" x14ac:dyDescent="0.15">
      <c r="A819" s="9">
        <v>818</v>
      </c>
      <c r="B819" s="9" t="s">
        <v>9</v>
      </c>
      <c r="C819" s="9">
        <v>1927</v>
      </c>
      <c r="D819" s="10">
        <v>45729</v>
      </c>
      <c r="E819" s="11" t="str">
        <f>+HYPERLINK("http://trademark.i-assist.jp/data/china/image_1927th/82291817.pdf","82291817")</f>
        <v>82291817</v>
      </c>
      <c r="F819" s="9" t="s">
        <v>2422</v>
      </c>
      <c r="G819" s="12" t="s">
        <v>2423</v>
      </c>
      <c r="H819" s="9" t="s">
        <v>2424</v>
      </c>
      <c r="I819" s="10">
        <v>45628</v>
      </c>
    </row>
    <row r="820" spans="1:9" x14ac:dyDescent="0.15">
      <c r="A820" s="9">
        <v>819</v>
      </c>
      <c r="B820" s="9" t="s">
        <v>9</v>
      </c>
      <c r="C820" s="9">
        <v>1927</v>
      </c>
      <c r="D820" s="10">
        <v>45729</v>
      </c>
      <c r="E820" s="11" t="str">
        <f>+HYPERLINK("http://trademark.i-assist.jp/data/china/image_1927th/82291925.pdf","82291925")</f>
        <v>82291925</v>
      </c>
      <c r="F820" s="12" t="s">
        <v>2425</v>
      </c>
      <c r="G820" s="9" t="s">
        <v>2426</v>
      </c>
      <c r="H820" s="12" t="s">
        <v>2427</v>
      </c>
      <c r="I820" s="10">
        <v>45628</v>
      </c>
    </row>
    <row r="821" spans="1:9" x14ac:dyDescent="0.15">
      <c r="A821" s="9">
        <v>820</v>
      </c>
      <c r="B821" s="9" t="s">
        <v>9</v>
      </c>
      <c r="C821" s="9">
        <v>1927</v>
      </c>
      <c r="D821" s="10">
        <v>45729</v>
      </c>
      <c r="E821" s="11" t="str">
        <f>+HYPERLINK("http://trademark.i-assist.jp/data/china/image_1927th/82292318.pdf","82292318")</f>
        <v>82292318</v>
      </c>
      <c r="F821" s="9" t="s">
        <v>2428</v>
      </c>
      <c r="G821" s="9" t="s">
        <v>2429</v>
      </c>
      <c r="H821" s="9" t="s">
        <v>2430</v>
      </c>
      <c r="I821" s="10">
        <v>45628</v>
      </c>
    </row>
    <row r="822" spans="1:9" x14ac:dyDescent="0.15">
      <c r="A822" s="9">
        <v>821</v>
      </c>
      <c r="B822" s="9" t="s">
        <v>9</v>
      </c>
      <c r="C822" s="9">
        <v>1927</v>
      </c>
      <c r="D822" s="10">
        <v>45729</v>
      </c>
      <c r="E822" s="11" t="str">
        <f>+HYPERLINK("http://trademark.i-assist.jp/data/china/image_1927th/82292346.pdf","82292346")</f>
        <v>82292346</v>
      </c>
      <c r="F822" s="9" t="s">
        <v>2431</v>
      </c>
      <c r="G822" s="9" t="s">
        <v>31</v>
      </c>
      <c r="H822" s="9" t="s">
        <v>2432</v>
      </c>
      <c r="I822" s="10">
        <v>45628</v>
      </c>
    </row>
    <row r="823" spans="1:9" x14ac:dyDescent="0.15">
      <c r="A823" s="9">
        <v>822</v>
      </c>
      <c r="B823" s="9" t="s">
        <v>9</v>
      </c>
      <c r="C823" s="9">
        <v>1927</v>
      </c>
      <c r="D823" s="10">
        <v>45729</v>
      </c>
      <c r="E823" s="11" t="str">
        <f>+HYPERLINK("http://trademark.i-assist.jp/data/china/image_1927th/82292718.pdf","82292718")</f>
        <v>82292718</v>
      </c>
      <c r="F823" s="12" t="s">
        <v>2395</v>
      </c>
      <c r="G823" s="9" t="s">
        <v>2396</v>
      </c>
      <c r="H823" s="9" t="s">
        <v>2433</v>
      </c>
      <c r="I823" s="10">
        <v>45628</v>
      </c>
    </row>
    <row r="824" spans="1:9" x14ac:dyDescent="0.15">
      <c r="A824" s="9">
        <v>823</v>
      </c>
      <c r="B824" s="9" t="s">
        <v>9</v>
      </c>
      <c r="C824" s="9">
        <v>1927</v>
      </c>
      <c r="D824" s="10">
        <v>45729</v>
      </c>
      <c r="E824" s="11" t="str">
        <f>+HYPERLINK("http://trademark.i-assist.jp/data/china/image_1927th/82292740.pdf","82292740")</f>
        <v>82292740</v>
      </c>
      <c r="F824" s="9" t="s">
        <v>2434</v>
      </c>
      <c r="G824" s="12" t="s">
        <v>2435</v>
      </c>
      <c r="H824" s="9" t="s">
        <v>2436</v>
      </c>
      <c r="I824" s="10">
        <v>45628</v>
      </c>
    </row>
    <row r="825" spans="1:9" x14ac:dyDescent="0.15">
      <c r="A825" s="9">
        <v>824</v>
      </c>
      <c r="B825" s="9" t="s">
        <v>9</v>
      </c>
      <c r="C825" s="9">
        <v>1927</v>
      </c>
      <c r="D825" s="10">
        <v>45729</v>
      </c>
      <c r="E825" s="11" t="str">
        <f>+HYPERLINK("http://trademark.i-assist.jp/data/china/image_1927th/82292743.pdf","82292743")</f>
        <v>82292743</v>
      </c>
      <c r="F825" s="12" t="s">
        <v>2437</v>
      </c>
      <c r="G825" s="12" t="s">
        <v>2438</v>
      </c>
      <c r="H825" s="12" t="s">
        <v>2439</v>
      </c>
      <c r="I825" s="10">
        <v>45628</v>
      </c>
    </row>
    <row r="826" spans="1:9" x14ac:dyDescent="0.15">
      <c r="A826" s="9">
        <v>825</v>
      </c>
      <c r="B826" s="9" t="s">
        <v>9</v>
      </c>
      <c r="C826" s="9">
        <v>1927</v>
      </c>
      <c r="D826" s="10">
        <v>45729</v>
      </c>
      <c r="E826" s="11" t="str">
        <f>+HYPERLINK("http://trademark.i-assist.jp/data/china/image_1927th/82292808.pdf","82292808")</f>
        <v>82292808</v>
      </c>
      <c r="F826" s="9" t="s">
        <v>2440</v>
      </c>
      <c r="G826" s="12" t="s">
        <v>2441</v>
      </c>
      <c r="H826" s="9" t="s">
        <v>2442</v>
      </c>
      <c r="I826" s="10">
        <v>45628</v>
      </c>
    </row>
    <row r="827" spans="1:9" x14ac:dyDescent="0.15">
      <c r="A827" s="9">
        <v>826</v>
      </c>
      <c r="B827" s="9" t="s">
        <v>9</v>
      </c>
      <c r="C827" s="9">
        <v>1927</v>
      </c>
      <c r="D827" s="10">
        <v>45729</v>
      </c>
      <c r="E827" s="11" t="str">
        <f>+HYPERLINK("http://trademark.i-assist.jp/data/china/image_1927th/82292910.pdf","82292910")</f>
        <v>82292910</v>
      </c>
      <c r="F827" s="9" t="s">
        <v>2443</v>
      </c>
      <c r="G827" s="9" t="s">
        <v>2444</v>
      </c>
      <c r="H827" s="9" t="s">
        <v>2445</v>
      </c>
      <c r="I827" s="10">
        <v>45628</v>
      </c>
    </row>
    <row r="828" spans="1:9" x14ac:dyDescent="0.15">
      <c r="A828" s="9">
        <v>827</v>
      </c>
      <c r="B828" s="9" t="s">
        <v>9</v>
      </c>
      <c r="C828" s="9">
        <v>1927</v>
      </c>
      <c r="D828" s="10">
        <v>45729</v>
      </c>
      <c r="E828" s="11" t="str">
        <f>+HYPERLINK("http://trademark.i-assist.jp/data/china/image_1927th/82292912.pdf","82292912")</f>
        <v>82292912</v>
      </c>
      <c r="F828" s="12" t="s">
        <v>2446</v>
      </c>
      <c r="G828" s="12" t="s">
        <v>2447</v>
      </c>
      <c r="H828" s="9" t="s">
        <v>2448</v>
      </c>
      <c r="I828" s="10">
        <v>45628</v>
      </c>
    </row>
    <row r="829" spans="1:9" x14ac:dyDescent="0.15">
      <c r="A829" s="9">
        <v>828</v>
      </c>
      <c r="B829" s="9" t="s">
        <v>9</v>
      </c>
      <c r="C829" s="9">
        <v>1927</v>
      </c>
      <c r="D829" s="10">
        <v>45729</v>
      </c>
      <c r="E829" s="11" t="str">
        <f>+HYPERLINK("http://trademark.i-assist.jp/data/china/image_1927th/82293209.pdf","82293209")</f>
        <v>82293209</v>
      </c>
      <c r="F829" s="9" t="s">
        <v>2449</v>
      </c>
      <c r="G829" s="9" t="s">
        <v>31</v>
      </c>
      <c r="H829" s="9" t="s">
        <v>2450</v>
      </c>
      <c r="I829" s="10">
        <v>45628</v>
      </c>
    </row>
    <row r="830" spans="1:9" x14ac:dyDescent="0.15">
      <c r="A830" s="9">
        <v>829</v>
      </c>
      <c r="B830" s="9" t="s">
        <v>9</v>
      </c>
      <c r="C830" s="9">
        <v>1927</v>
      </c>
      <c r="D830" s="10">
        <v>45729</v>
      </c>
      <c r="E830" s="11" t="str">
        <f>+HYPERLINK("http://trademark.i-assist.jp/data/china/image_1927th/82293526.pdf","82293526")</f>
        <v>82293526</v>
      </c>
      <c r="F830" s="9" t="s">
        <v>2451</v>
      </c>
      <c r="G830" s="9" t="s">
        <v>2393</v>
      </c>
      <c r="H830" s="9" t="s">
        <v>2452</v>
      </c>
      <c r="I830" s="10">
        <v>45628</v>
      </c>
    </row>
    <row r="831" spans="1:9" x14ac:dyDescent="0.15">
      <c r="A831" s="9">
        <v>830</v>
      </c>
      <c r="B831" s="9" t="s">
        <v>9</v>
      </c>
      <c r="C831" s="9">
        <v>1927</v>
      </c>
      <c r="D831" s="10">
        <v>45729</v>
      </c>
      <c r="E831" s="11" t="str">
        <f>+HYPERLINK("http://trademark.i-assist.jp/data/china/image_1927th/82294378.pdf","82294378")</f>
        <v>82294378</v>
      </c>
      <c r="F831" s="9" t="s">
        <v>2453</v>
      </c>
      <c r="G831" s="12" t="s">
        <v>2454</v>
      </c>
      <c r="H831" s="9" t="s">
        <v>2455</v>
      </c>
      <c r="I831" s="10">
        <v>45628</v>
      </c>
    </row>
    <row r="832" spans="1:9" x14ac:dyDescent="0.15">
      <c r="A832" s="9">
        <v>831</v>
      </c>
      <c r="B832" s="9" t="s">
        <v>9</v>
      </c>
      <c r="C832" s="9">
        <v>1927</v>
      </c>
      <c r="D832" s="10">
        <v>45729</v>
      </c>
      <c r="E832" s="11" t="str">
        <f>+HYPERLINK("http://trademark.i-assist.jp/data/china/image_1927th/82294762.pdf","82294762")</f>
        <v>82294762</v>
      </c>
      <c r="F832" s="12" t="s">
        <v>16</v>
      </c>
      <c r="G832" s="9" t="s">
        <v>2456</v>
      </c>
      <c r="H832" s="9" t="s">
        <v>2457</v>
      </c>
      <c r="I832" s="10">
        <v>45628</v>
      </c>
    </row>
    <row r="833" spans="1:9" x14ac:dyDescent="0.15">
      <c r="A833" s="9">
        <v>832</v>
      </c>
      <c r="B833" s="9" t="s">
        <v>9</v>
      </c>
      <c r="C833" s="9">
        <v>1927</v>
      </c>
      <c r="D833" s="10">
        <v>45729</v>
      </c>
      <c r="E833" s="11" t="str">
        <f>+HYPERLINK("http://trademark.i-assist.jp/data/china/image_1927th/82295594.pdf","82295594")</f>
        <v>82295594</v>
      </c>
      <c r="F833" s="9" t="s">
        <v>2458</v>
      </c>
      <c r="G833" s="12" t="s">
        <v>127</v>
      </c>
      <c r="H833" s="9" t="s">
        <v>2459</v>
      </c>
      <c r="I833" s="10">
        <v>45628</v>
      </c>
    </row>
    <row r="834" spans="1:9" x14ac:dyDescent="0.15">
      <c r="A834" s="9">
        <v>833</v>
      </c>
      <c r="B834" s="9" t="s">
        <v>9</v>
      </c>
      <c r="C834" s="9">
        <v>1927</v>
      </c>
      <c r="D834" s="10">
        <v>45729</v>
      </c>
      <c r="E834" s="11" t="str">
        <f>+HYPERLINK("http://trademark.i-assist.jp/data/china/image_1927th/82296470.pdf","82296470")</f>
        <v>82296470</v>
      </c>
      <c r="F834" s="12" t="s">
        <v>2460</v>
      </c>
      <c r="G834" s="9" t="s">
        <v>2461</v>
      </c>
      <c r="H834" s="9" t="s">
        <v>2462</v>
      </c>
      <c r="I834" s="10">
        <v>45628</v>
      </c>
    </row>
    <row r="835" spans="1:9" x14ac:dyDescent="0.15">
      <c r="A835" s="9">
        <v>834</v>
      </c>
      <c r="B835" s="9" t="s">
        <v>9</v>
      </c>
      <c r="C835" s="9">
        <v>1927</v>
      </c>
      <c r="D835" s="10">
        <v>45729</v>
      </c>
      <c r="E835" s="11" t="str">
        <f>+HYPERLINK("http://trademark.i-assist.jp/data/china/image_1927th/82296820.pdf","82296820")</f>
        <v>82296820</v>
      </c>
      <c r="F835" s="9" t="s">
        <v>2463</v>
      </c>
      <c r="G835" s="12" t="s">
        <v>2464</v>
      </c>
      <c r="H835" s="9" t="s">
        <v>2465</v>
      </c>
      <c r="I835" s="10">
        <v>45628</v>
      </c>
    </row>
    <row r="836" spans="1:9" x14ac:dyDescent="0.15">
      <c r="A836" s="9">
        <v>835</v>
      </c>
      <c r="B836" s="9" t="s">
        <v>9</v>
      </c>
      <c r="C836" s="9">
        <v>1927</v>
      </c>
      <c r="D836" s="10">
        <v>45729</v>
      </c>
      <c r="E836" s="11" t="str">
        <f>+HYPERLINK("http://trademark.i-assist.jp/data/china/image_1927th/82297026.pdf","82297026")</f>
        <v>82297026</v>
      </c>
      <c r="F836" s="9" t="s">
        <v>2466</v>
      </c>
      <c r="G836" s="12" t="s">
        <v>2467</v>
      </c>
      <c r="H836" s="9" t="s">
        <v>2468</v>
      </c>
      <c r="I836" s="10">
        <v>45628</v>
      </c>
    </row>
    <row r="837" spans="1:9" x14ac:dyDescent="0.15">
      <c r="A837" s="9">
        <v>836</v>
      </c>
      <c r="B837" s="9" t="s">
        <v>9</v>
      </c>
      <c r="C837" s="9">
        <v>1927</v>
      </c>
      <c r="D837" s="10">
        <v>45729</v>
      </c>
      <c r="E837" s="11" t="str">
        <f>+HYPERLINK("http://trademark.i-assist.jp/data/china/image_1927th/82297539.pdf","82297539")</f>
        <v>82297539</v>
      </c>
      <c r="F837" s="9" t="s">
        <v>2469</v>
      </c>
      <c r="G837" s="9" t="s">
        <v>31</v>
      </c>
      <c r="H837" s="9" t="s">
        <v>2470</v>
      </c>
      <c r="I837" s="10">
        <v>45628</v>
      </c>
    </row>
    <row r="838" spans="1:9" x14ac:dyDescent="0.15">
      <c r="A838" s="9">
        <v>837</v>
      </c>
      <c r="B838" s="9" t="s">
        <v>9</v>
      </c>
      <c r="C838" s="9">
        <v>1927</v>
      </c>
      <c r="D838" s="10">
        <v>45729</v>
      </c>
      <c r="E838" s="11" t="str">
        <f>+HYPERLINK("http://trademark.i-assist.jp/data/china/image_1927th/82298161.pdf","82298161")</f>
        <v>82298161</v>
      </c>
      <c r="F838" s="12" t="s">
        <v>2471</v>
      </c>
      <c r="G838" s="12" t="s">
        <v>2467</v>
      </c>
      <c r="H838" s="9" t="s">
        <v>2472</v>
      </c>
      <c r="I838" s="10">
        <v>45628</v>
      </c>
    </row>
    <row r="839" spans="1:9" x14ac:dyDescent="0.15">
      <c r="A839" s="9">
        <v>838</v>
      </c>
      <c r="B839" s="9" t="s">
        <v>9</v>
      </c>
      <c r="C839" s="9">
        <v>1927</v>
      </c>
      <c r="D839" s="10">
        <v>45729</v>
      </c>
      <c r="E839" s="11" t="str">
        <f>+HYPERLINK("http://trademark.i-assist.jp/data/china/image_1927th/82298194.pdf","82298194")</f>
        <v>82298194</v>
      </c>
      <c r="F839" s="12" t="s">
        <v>2473</v>
      </c>
      <c r="G839" s="9" t="s">
        <v>2474</v>
      </c>
      <c r="H839" s="9" t="s">
        <v>2475</v>
      </c>
      <c r="I839" s="10">
        <v>45628</v>
      </c>
    </row>
    <row r="840" spans="1:9" x14ac:dyDescent="0.15">
      <c r="A840" s="9">
        <v>839</v>
      </c>
      <c r="B840" s="9" t="s">
        <v>9</v>
      </c>
      <c r="C840" s="9">
        <v>1927</v>
      </c>
      <c r="D840" s="10">
        <v>45729</v>
      </c>
      <c r="E840" s="11" t="str">
        <f>+HYPERLINK("http://trademark.i-assist.jp/data/china/image_1927th/82298366.pdf","82298366")</f>
        <v>82298366</v>
      </c>
      <c r="F840" s="9" t="s">
        <v>2476</v>
      </c>
      <c r="G840" s="9" t="s">
        <v>2477</v>
      </c>
      <c r="H840" s="9" t="s">
        <v>2478</v>
      </c>
      <c r="I840" s="10">
        <v>45628</v>
      </c>
    </row>
    <row r="841" spans="1:9" x14ac:dyDescent="0.15">
      <c r="A841" s="9">
        <v>840</v>
      </c>
      <c r="B841" s="9" t="s">
        <v>9</v>
      </c>
      <c r="C841" s="9">
        <v>1927</v>
      </c>
      <c r="D841" s="10">
        <v>45729</v>
      </c>
      <c r="E841" s="11" t="str">
        <f>+HYPERLINK("http://trademark.i-assist.jp/data/china/image_1927th/82298732.pdf","82298732")</f>
        <v>82298732</v>
      </c>
      <c r="F841" s="9" t="s">
        <v>2479</v>
      </c>
      <c r="G841" s="9" t="s">
        <v>2480</v>
      </c>
      <c r="H841" s="9" t="s">
        <v>2481</v>
      </c>
      <c r="I841" s="10">
        <v>45628</v>
      </c>
    </row>
    <row r="842" spans="1:9" x14ac:dyDescent="0.15">
      <c r="A842" s="9">
        <v>841</v>
      </c>
      <c r="B842" s="9" t="s">
        <v>9</v>
      </c>
      <c r="C842" s="9">
        <v>1927</v>
      </c>
      <c r="D842" s="10">
        <v>45729</v>
      </c>
      <c r="E842" s="11" t="str">
        <f>+HYPERLINK("http://trademark.i-assist.jp/data/china/image_1927th/82298813.pdf","82298813")</f>
        <v>82298813</v>
      </c>
      <c r="F842" s="9" t="s">
        <v>2482</v>
      </c>
      <c r="G842" s="12" t="s">
        <v>2447</v>
      </c>
      <c r="H842" s="9" t="s">
        <v>2483</v>
      </c>
      <c r="I842" s="10">
        <v>45628</v>
      </c>
    </row>
    <row r="843" spans="1:9" x14ac:dyDescent="0.15">
      <c r="A843" s="9">
        <v>842</v>
      </c>
      <c r="B843" s="9" t="s">
        <v>9</v>
      </c>
      <c r="C843" s="9">
        <v>1927</v>
      </c>
      <c r="D843" s="10">
        <v>45729</v>
      </c>
      <c r="E843" s="11" t="str">
        <f>+HYPERLINK("http://trademark.i-assist.jp/data/china/image_1927th/82300511.pdf","82300511")</f>
        <v>82300511</v>
      </c>
      <c r="F843" s="12" t="s">
        <v>16</v>
      </c>
      <c r="G843" s="9" t="s">
        <v>2484</v>
      </c>
      <c r="H843" s="9" t="s">
        <v>2485</v>
      </c>
      <c r="I843" s="10">
        <v>45628</v>
      </c>
    </row>
    <row r="844" spans="1:9" x14ac:dyDescent="0.15">
      <c r="A844" s="9">
        <v>843</v>
      </c>
      <c r="B844" s="9" t="s">
        <v>9</v>
      </c>
      <c r="C844" s="9">
        <v>1927</v>
      </c>
      <c r="D844" s="10">
        <v>45729</v>
      </c>
      <c r="E844" s="11" t="str">
        <f>+HYPERLINK("http://trademark.i-assist.jp/data/china/image_1927th/82300513.pdf","82300513")</f>
        <v>82300513</v>
      </c>
      <c r="F844" s="12" t="s">
        <v>2486</v>
      </c>
      <c r="G844" s="9" t="s">
        <v>152</v>
      </c>
      <c r="H844" s="9" t="s">
        <v>2487</v>
      </c>
      <c r="I844" s="10">
        <v>45628</v>
      </c>
    </row>
    <row r="845" spans="1:9" x14ac:dyDescent="0.15">
      <c r="A845" s="9">
        <v>844</v>
      </c>
      <c r="B845" s="9" t="s">
        <v>9</v>
      </c>
      <c r="C845" s="9">
        <v>1927</v>
      </c>
      <c r="D845" s="10">
        <v>45729</v>
      </c>
      <c r="E845" s="11" t="str">
        <f>+HYPERLINK("http://trademark.i-assist.jp/data/china/image_1927th/82300648.pdf","82300648")</f>
        <v>82300648</v>
      </c>
      <c r="F845" s="9" t="s">
        <v>2488</v>
      </c>
      <c r="G845" s="9" t="s">
        <v>2489</v>
      </c>
      <c r="H845" s="9" t="s">
        <v>2490</v>
      </c>
      <c r="I845" s="10">
        <v>45628</v>
      </c>
    </row>
    <row r="846" spans="1:9" x14ac:dyDescent="0.15">
      <c r="A846" s="9">
        <v>845</v>
      </c>
      <c r="B846" s="9" t="s">
        <v>9</v>
      </c>
      <c r="C846" s="9">
        <v>1927</v>
      </c>
      <c r="D846" s="10">
        <v>45729</v>
      </c>
      <c r="E846" s="11" t="str">
        <f>+HYPERLINK("http://trademark.i-assist.jp/data/china/image_1927th/82301028.pdf","82301028")</f>
        <v>82301028</v>
      </c>
      <c r="F846" s="9" t="s">
        <v>2491</v>
      </c>
      <c r="G846" s="9" t="s">
        <v>2492</v>
      </c>
      <c r="H846" s="9" t="s">
        <v>2493</v>
      </c>
      <c r="I846" s="10">
        <v>45628</v>
      </c>
    </row>
    <row r="847" spans="1:9" x14ac:dyDescent="0.15">
      <c r="A847" s="9">
        <v>846</v>
      </c>
      <c r="B847" s="9" t="s">
        <v>9</v>
      </c>
      <c r="C847" s="9">
        <v>1927</v>
      </c>
      <c r="D847" s="10">
        <v>45729</v>
      </c>
      <c r="E847" s="11" t="str">
        <f>+HYPERLINK("http://trademark.i-assist.jp/data/china/image_1927th/82301202.pdf","82301202")</f>
        <v>82301202</v>
      </c>
      <c r="F847" s="9" t="s">
        <v>2494</v>
      </c>
      <c r="G847" s="9" t="s">
        <v>2495</v>
      </c>
      <c r="H847" s="12" t="s">
        <v>2496</v>
      </c>
      <c r="I847" s="10">
        <v>45628</v>
      </c>
    </row>
    <row r="848" spans="1:9" x14ac:dyDescent="0.15">
      <c r="A848" s="9">
        <v>847</v>
      </c>
      <c r="B848" s="9" t="s">
        <v>9</v>
      </c>
      <c r="C848" s="9">
        <v>1927</v>
      </c>
      <c r="D848" s="10">
        <v>45729</v>
      </c>
      <c r="E848" s="11" t="str">
        <f>+HYPERLINK("http://trademark.i-assist.jp/data/china/image_1927th/82301272.pdf","82301272")</f>
        <v>82301272</v>
      </c>
      <c r="F848" s="9" t="s">
        <v>2497</v>
      </c>
      <c r="G848" s="9" t="s">
        <v>2498</v>
      </c>
      <c r="H848" s="9" t="s">
        <v>2499</v>
      </c>
      <c r="I848" s="10">
        <v>45628</v>
      </c>
    </row>
    <row r="849" spans="1:9" x14ac:dyDescent="0.15">
      <c r="A849" s="9">
        <v>848</v>
      </c>
      <c r="B849" s="9" t="s">
        <v>9</v>
      </c>
      <c r="C849" s="9">
        <v>1927</v>
      </c>
      <c r="D849" s="10">
        <v>45729</v>
      </c>
      <c r="E849" s="11" t="str">
        <f>+HYPERLINK("http://trademark.i-assist.jp/data/china/image_1927th/82301358.pdf","82301358")</f>
        <v>82301358</v>
      </c>
      <c r="F849" s="9" t="s">
        <v>2500</v>
      </c>
      <c r="G849" s="9" t="s">
        <v>2501</v>
      </c>
      <c r="H849" s="9" t="s">
        <v>2502</v>
      </c>
      <c r="I849" s="10">
        <v>45628</v>
      </c>
    </row>
    <row r="850" spans="1:9" x14ac:dyDescent="0.15">
      <c r="A850" s="9">
        <v>849</v>
      </c>
      <c r="B850" s="9" t="s">
        <v>9</v>
      </c>
      <c r="C850" s="9">
        <v>1927</v>
      </c>
      <c r="D850" s="10">
        <v>45729</v>
      </c>
      <c r="E850" s="11" t="str">
        <f>+HYPERLINK("http://trademark.i-assist.jp/data/china/image_1927th/82301950.pdf","82301950")</f>
        <v>82301950</v>
      </c>
      <c r="F850" s="12" t="s">
        <v>2503</v>
      </c>
      <c r="G850" s="9" t="s">
        <v>59</v>
      </c>
      <c r="H850" s="9" t="s">
        <v>2504</v>
      </c>
      <c r="I850" s="10">
        <v>45628</v>
      </c>
    </row>
    <row r="851" spans="1:9" x14ac:dyDescent="0.15">
      <c r="A851" s="9">
        <v>850</v>
      </c>
      <c r="B851" s="9" t="s">
        <v>9</v>
      </c>
      <c r="C851" s="9">
        <v>1927</v>
      </c>
      <c r="D851" s="10">
        <v>45729</v>
      </c>
      <c r="E851" s="11" t="str">
        <f>+HYPERLINK("http://trademark.i-assist.jp/data/china/image_1927th/82302030.pdf","82302030")</f>
        <v>82302030</v>
      </c>
      <c r="F851" s="9" t="s">
        <v>2505</v>
      </c>
      <c r="G851" s="9" t="s">
        <v>2506</v>
      </c>
      <c r="H851" s="9" t="s">
        <v>2507</v>
      </c>
      <c r="I851" s="10">
        <v>45628</v>
      </c>
    </row>
    <row r="852" spans="1:9" x14ac:dyDescent="0.15">
      <c r="A852" s="9">
        <v>851</v>
      </c>
      <c r="B852" s="9" t="s">
        <v>9</v>
      </c>
      <c r="C852" s="9">
        <v>1927</v>
      </c>
      <c r="D852" s="10">
        <v>45729</v>
      </c>
      <c r="E852" s="11" t="str">
        <f>+HYPERLINK("http://trademark.i-assist.jp/data/china/image_1927th/82302064.pdf","82302064")</f>
        <v>82302064</v>
      </c>
      <c r="F852" s="9" t="s">
        <v>2508</v>
      </c>
      <c r="G852" s="9" t="s">
        <v>2509</v>
      </c>
      <c r="H852" s="9" t="s">
        <v>2510</v>
      </c>
      <c r="I852" s="10">
        <v>45628</v>
      </c>
    </row>
    <row r="853" spans="1:9" x14ac:dyDescent="0.15">
      <c r="A853" s="9">
        <v>852</v>
      </c>
      <c r="B853" s="9" t="s">
        <v>9</v>
      </c>
      <c r="C853" s="9">
        <v>1927</v>
      </c>
      <c r="D853" s="10">
        <v>45729</v>
      </c>
      <c r="E853" s="11" t="str">
        <f>+HYPERLINK("http://trademark.i-assist.jp/data/china/image_1927th/82302438.pdf","82302438")</f>
        <v>82302438</v>
      </c>
      <c r="F853" s="9" t="s">
        <v>2511</v>
      </c>
      <c r="G853" s="12" t="s">
        <v>2512</v>
      </c>
      <c r="H853" s="9" t="s">
        <v>2513</v>
      </c>
      <c r="I853" s="10">
        <v>45628</v>
      </c>
    </row>
    <row r="854" spans="1:9" x14ac:dyDescent="0.15">
      <c r="A854" s="9">
        <v>853</v>
      </c>
      <c r="B854" s="9" t="s">
        <v>9</v>
      </c>
      <c r="C854" s="9">
        <v>1927</v>
      </c>
      <c r="D854" s="10">
        <v>45729</v>
      </c>
      <c r="E854" s="11" t="str">
        <f>+HYPERLINK("http://trademark.i-assist.jp/data/china/image_1927th/82302797.pdf","82302797")</f>
        <v>82302797</v>
      </c>
      <c r="F854" s="9" t="s">
        <v>2514</v>
      </c>
      <c r="G854" s="12" t="s">
        <v>2515</v>
      </c>
      <c r="H854" s="9" t="s">
        <v>2516</v>
      </c>
      <c r="I854" s="10">
        <v>45628</v>
      </c>
    </row>
    <row r="855" spans="1:9" x14ac:dyDescent="0.15">
      <c r="A855" s="9">
        <v>854</v>
      </c>
      <c r="B855" s="9" t="s">
        <v>9</v>
      </c>
      <c r="C855" s="9">
        <v>1927</v>
      </c>
      <c r="D855" s="10">
        <v>45729</v>
      </c>
      <c r="E855" s="11" t="str">
        <f>+HYPERLINK("http://trademark.i-assist.jp/data/china/image_1927th/82302894.pdf","82302894")</f>
        <v>82302894</v>
      </c>
      <c r="F855" s="9" t="s">
        <v>2517</v>
      </c>
      <c r="G855" s="9" t="s">
        <v>2518</v>
      </c>
      <c r="H855" s="9" t="s">
        <v>2519</v>
      </c>
      <c r="I855" s="10">
        <v>45628</v>
      </c>
    </row>
    <row r="856" spans="1:9" x14ac:dyDescent="0.15">
      <c r="A856" s="9">
        <v>855</v>
      </c>
      <c r="B856" s="9" t="s">
        <v>9</v>
      </c>
      <c r="C856" s="9">
        <v>1927</v>
      </c>
      <c r="D856" s="10">
        <v>45729</v>
      </c>
      <c r="E856" s="11" t="str">
        <f>+HYPERLINK("http://trademark.i-assist.jp/data/china/image_1927th/82302906.pdf","82302906")</f>
        <v>82302906</v>
      </c>
      <c r="F856" s="9" t="s">
        <v>2520</v>
      </c>
      <c r="G856" s="9" t="s">
        <v>2390</v>
      </c>
      <c r="H856" s="9" t="s">
        <v>2521</v>
      </c>
      <c r="I856" s="10">
        <v>45628</v>
      </c>
    </row>
    <row r="857" spans="1:9" x14ac:dyDescent="0.15">
      <c r="A857" s="9">
        <v>856</v>
      </c>
      <c r="B857" s="9" t="s">
        <v>9</v>
      </c>
      <c r="C857" s="9">
        <v>1927</v>
      </c>
      <c r="D857" s="10">
        <v>45729</v>
      </c>
      <c r="E857" s="11" t="str">
        <f>+HYPERLINK("http://trademark.i-assist.jp/data/china/image_1927th/82302955.pdf","82302955")</f>
        <v>82302955</v>
      </c>
      <c r="F857" s="9" t="s">
        <v>2522</v>
      </c>
      <c r="G857" s="9" t="s">
        <v>2523</v>
      </c>
      <c r="H857" s="9" t="s">
        <v>2524</v>
      </c>
      <c r="I857" s="10">
        <v>45628</v>
      </c>
    </row>
    <row r="858" spans="1:9" x14ac:dyDescent="0.15">
      <c r="A858" s="9">
        <v>857</v>
      </c>
      <c r="B858" s="9" t="s">
        <v>9</v>
      </c>
      <c r="C858" s="9">
        <v>1927</v>
      </c>
      <c r="D858" s="10">
        <v>45729</v>
      </c>
      <c r="E858" s="11" t="str">
        <f>+HYPERLINK("http://trademark.i-assist.jp/data/china/image_1927th/82303043.pdf","82303043")</f>
        <v>82303043</v>
      </c>
      <c r="F858" s="9" t="s">
        <v>2525</v>
      </c>
      <c r="G858" s="9" t="s">
        <v>2526</v>
      </c>
      <c r="H858" s="9" t="s">
        <v>2527</v>
      </c>
      <c r="I858" s="10">
        <v>45628</v>
      </c>
    </row>
    <row r="859" spans="1:9" x14ac:dyDescent="0.15">
      <c r="A859" s="9">
        <v>858</v>
      </c>
      <c r="B859" s="9" t="s">
        <v>9</v>
      </c>
      <c r="C859" s="9">
        <v>1927</v>
      </c>
      <c r="D859" s="10">
        <v>45729</v>
      </c>
      <c r="E859" s="11" t="str">
        <f>+HYPERLINK("http://trademark.i-assist.jp/data/china/image_1927th/82303112.pdf","82303112")</f>
        <v>82303112</v>
      </c>
      <c r="F859" s="12" t="s">
        <v>2528</v>
      </c>
      <c r="G859" s="9" t="s">
        <v>2529</v>
      </c>
      <c r="H859" s="9" t="s">
        <v>2530</v>
      </c>
      <c r="I859" s="10">
        <v>45628</v>
      </c>
    </row>
    <row r="860" spans="1:9" x14ac:dyDescent="0.15">
      <c r="A860" s="9">
        <v>859</v>
      </c>
      <c r="B860" s="9" t="s">
        <v>9</v>
      </c>
      <c r="C860" s="9">
        <v>1927</v>
      </c>
      <c r="D860" s="10">
        <v>45729</v>
      </c>
      <c r="E860" s="11" t="str">
        <f>+HYPERLINK("http://trademark.i-assist.jp/data/china/image_1927th/82303591.pdf","82303591")</f>
        <v>82303591</v>
      </c>
      <c r="F860" s="9" t="s">
        <v>2531</v>
      </c>
      <c r="G860" s="9" t="s">
        <v>2532</v>
      </c>
      <c r="H860" s="9" t="s">
        <v>2533</v>
      </c>
      <c r="I860" s="10">
        <v>45628</v>
      </c>
    </row>
    <row r="861" spans="1:9" x14ac:dyDescent="0.15">
      <c r="A861" s="9">
        <v>860</v>
      </c>
      <c r="B861" s="9" t="s">
        <v>9</v>
      </c>
      <c r="C861" s="9">
        <v>1927</v>
      </c>
      <c r="D861" s="10">
        <v>45729</v>
      </c>
      <c r="E861" s="11" t="str">
        <f>+HYPERLINK("http://trademark.i-assist.jp/data/china/image_1927th/82303629.pdf","82303629")</f>
        <v>82303629</v>
      </c>
      <c r="F861" s="9" t="s">
        <v>2534</v>
      </c>
      <c r="G861" s="9" t="s">
        <v>2535</v>
      </c>
      <c r="H861" s="9" t="s">
        <v>2536</v>
      </c>
      <c r="I861" s="10">
        <v>45628</v>
      </c>
    </row>
    <row r="862" spans="1:9" x14ac:dyDescent="0.15">
      <c r="A862" s="9">
        <v>861</v>
      </c>
      <c r="B862" s="9" t="s">
        <v>9</v>
      </c>
      <c r="C862" s="9">
        <v>1927</v>
      </c>
      <c r="D862" s="10">
        <v>45729</v>
      </c>
      <c r="E862" s="11" t="str">
        <f>+HYPERLINK("http://trademark.i-assist.jp/data/china/image_1927th/82303715.pdf","82303715")</f>
        <v>82303715</v>
      </c>
      <c r="F862" s="12" t="s">
        <v>2537</v>
      </c>
      <c r="G862" s="9" t="s">
        <v>198</v>
      </c>
      <c r="H862" s="12" t="s">
        <v>2538</v>
      </c>
      <c r="I862" s="10">
        <v>45628</v>
      </c>
    </row>
    <row r="863" spans="1:9" x14ac:dyDescent="0.15">
      <c r="A863" s="9">
        <v>862</v>
      </c>
      <c r="B863" s="9" t="s">
        <v>9</v>
      </c>
      <c r="C863" s="9">
        <v>1927</v>
      </c>
      <c r="D863" s="10">
        <v>45729</v>
      </c>
      <c r="E863" s="11" t="str">
        <f>+HYPERLINK("http://trademark.i-assist.jp/data/china/image_1927th/82303845.pdf","82303845")</f>
        <v>82303845</v>
      </c>
      <c r="F863" s="9" t="s">
        <v>2539</v>
      </c>
      <c r="G863" s="9" t="s">
        <v>2540</v>
      </c>
      <c r="H863" s="9" t="s">
        <v>2541</v>
      </c>
      <c r="I863" s="10">
        <v>45628</v>
      </c>
    </row>
    <row r="864" spans="1:9" x14ac:dyDescent="0.15">
      <c r="A864" s="9">
        <v>863</v>
      </c>
      <c r="B864" s="9" t="s">
        <v>9</v>
      </c>
      <c r="C864" s="9">
        <v>1927</v>
      </c>
      <c r="D864" s="10">
        <v>45729</v>
      </c>
      <c r="E864" s="11" t="str">
        <f>+HYPERLINK("http://trademark.i-assist.jp/data/china/image_1927th/82303904.pdf","82303904")</f>
        <v>82303904</v>
      </c>
      <c r="F864" s="12" t="s">
        <v>2542</v>
      </c>
      <c r="G864" s="9" t="s">
        <v>2543</v>
      </c>
      <c r="H864" s="9" t="s">
        <v>2544</v>
      </c>
      <c r="I864" s="10">
        <v>45628</v>
      </c>
    </row>
    <row r="865" spans="1:9" x14ac:dyDescent="0.15">
      <c r="A865" s="9">
        <v>864</v>
      </c>
      <c r="B865" s="9" t="s">
        <v>9</v>
      </c>
      <c r="C865" s="9">
        <v>1927</v>
      </c>
      <c r="D865" s="10">
        <v>45729</v>
      </c>
      <c r="E865" s="11" t="str">
        <f>+HYPERLINK("http://trademark.i-assist.jp/data/china/image_1927th/82304018.pdf","82304018")</f>
        <v>82304018</v>
      </c>
      <c r="F865" s="9" t="s">
        <v>2545</v>
      </c>
      <c r="G865" s="9" t="s">
        <v>2477</v>
      </c>
      <c r="H865" s="9" t="s">
        <v>2546</v>
      </c>
      <c r="I865" s="10">
        <v>45628</v>
      </c>
    </row>
    <row r="866" spans="1:9" x14ac:dyDescent="0.15">
      <c r="A866" s="9">
        <v>865</v>
      </c>
      <c r="B866" s="9" t="s">
        <v>9</v>
      </c>
      <c r="C866" s="9">
        <v>1927</v>
      </c>
      <c r="D866" s="10">
        <v>45729</v>
      </c>
      <c r="E866" s="11" t="str">
        <f>+HYPERLINK("http://trademark.i-assist.jp/data/china/image_1927th/82304058.pdf","82304058")</f>
        <v>82304058</v>
      </c>
      <c r="F866" s="9" t="s">
        <v>2547</v>
      </c>
      <c r="G866" s="12" t="s">
        <v>2548</v>
      </c>
      <c r="H866" s="9" t="s">
        <v>2549</v>
      </c>
      <c r="I866" s="10">
        <v>45628</v>
      </c>
    </row>
    <row r="867" spans="1:9" x14ac:dyDescent="0.15">
      <c r="A867" s="9">
        <v>866</v>
      </c>
      <c r="B867" s="9" t="s">
        <v>9</v>
      </c>
      <c r="C867" s="9">
        <v>1927</v>
      </c>
      <c r="D867" s="10">
        <v>45729</v>
      </c>
      <c r="E867" s="11" t="str">
        <f>+HYPERLINK("http://trademark.i-assist.jp/data/china/image_1927th/82304113.pdf","82304113")</f>
        <v>82304113</v>
      </c>
      <c r="F867" s="9" t="s">
        <v>2550</v>
      </c>
      <c r="G867" s="9" t="s">
        <v>156</v>
      </c>
      <c r="H867" s="9" t="s">
        <v>2551</v>
      </c>
      <c r="I867" s="10">
        <v>45628</v>
      </c>
    </row>
    <row r="868" spans="1:9" x14ac:dyDescent="0.15">
      <c r="A868" s="9">
        <v>867</v>
      </c>
      <c r="B868" s="9" t="s">
        <v>9</v>
      </c>
      <c r="C868" s="9">
        <v>1927</v>
      </c>
      <c r="D868" s="10">
        <v>45729</v>
      </c>
      <c r="E868" s="11" t="str">
        <f>+HYPERLINK("http://trademark.i-assist.jp/data/china/image_1927th/82305211.pdf","82305211")</f>
        <v>82305211</v>
      </c>
      <c r="F868" s="9" t="s">
        <v>2552</v>
      </c>
      <c r="G868" s="12" t="s">
        <v>2553</v>
      </c>
      <c r="H868" s="12" t="s">
        <v>2554</v>
      </c>
      <c r="I868" s="10">
        <v>45629</v>
      </c>
    </row>
    <row r="869" spans="1:9" x14ac:dyDescent="0.15">
      <c r="A869" s="9">
        <v>868</v>
      </c>
      <c r="B869" s="9" t="s">
        <v>9</v>
      </c>
      <c r="C869" s="9">
        <v>1927</v>
      </c>
      <c r="D869" s="10">
        <v>45729</v>
      </c>
      <c r="E869" s="11" t="str">
        <f>+HYPERLINK("http://trademark.i-assist.jp/data/china/image_1927th/82305353.pdf","82305353")</f>
        <v>82305353</v>
      </c>
      <c r="F869" s="9" t="s">
        <v>2555</v>
      </c>
      <c r="G869" s="9" t="s">
        <v>2556</v>
      </c>
      <c r="H869" s="9" t="s">
        <v>2557</v>
      </c>
      <c r="I869" s="10">
        <v>45629</v>
      </c>
    </row>
    <row r="870" spans="1:9" x14ac:dyDescent="0.15">
      <c r="A870" s="9">
        <v>869</v>
      </c>
      <c r="B870" s="9" t="s">
        <v>9</v>
      </c>
      <c r="C870" s="9">
        <v>1927</v>
      </c>
      <c r="D870" s="10">
        <v>45729</v>
      </c>
      <c r="E870" s="11" t="str">
        <f>+HYPERLINK("http://trademark.i-assist.jp/data/china/image_1927th/82305358.pdf","82305358")</f>
        <v>82305358</v>
      </c>
      <c r="F870" s="9" t="s">
        <v>2558</v>
      </c>
      <c r="G870" s="9" t="s">
        <v>2559</v>
      </c>
      <c r="H870" s="9" t="s">
        <v>2560</v>
      </c>
      <c r="I870" s="10">
        <v>45629</v>
      </c>
    </row>
    <row r="871" spans="1:9" x14ac:dyDescent="0.15">
      <c r="A871" s="9">
        <v>870</v>
      </c>
      <c r="B871" s="9" t="s">
        <v>9</v>
      </c>
      <c r="C871" s="9">
        <v>1927</v>
      </c>
      <c r="D871" s="10">
        <v>45729</v>
      </c>
      <c r="E871" s="11" t="str">
        <f>+HYPERLINK("http://trademark.i-assist.jp/data/china/image_1927th/82305897.pdf","82305897")</f>
        <v>82305897</v>
      </c>
      <c r="F871" s="12" t="s">
        <v>2561</v>
      </c>
      <c r="G871" s="12" t="s">
        <v>2562</v>
      </c>
      <c r="H871" s="9" t="s">
        <v>2563</v>
      </c>
      <c r="I871" s="10">
        <v>45629</v>
      </c>
    </row>
    <row r="872" spans="1:9" x14ac:dyDescent="0.15">
      <c r="A872" s="9">
        <v>871</v>
      </c>
      <c r="B872" s="9" t="s">
        <v>9</v>
      </c>
      <c r="C872" s="9">
        <v>1927</v>
      </c>
      <c r="D872" s="10">
        <v>45729</v>
      </c>
      <c r="E872" s="11" t="str">
        <f>+HYPERLINK("http://trademark.i-assist.jp/data/china/image_1927th/82305993.pdf","82305993")</f>
        <v>82305993</v>
      </c>
      <c r="F872" s="9" t="s">
        <v>2564</v>
      </c>
      <c r="G872" s="9" t="s">
        <v>2565</v>
      </c>
      <c r="H872" s="9" t="s">
        <v>2566</v>
      </c>
      <c r="I872" s="10">
        <v>45629</v>
      </c>
    </row>
    <row r="873" spans="1:9" x14ac:dyDescent="0.15">
      <c r="A873" s="9">
        <v>872</v>
      </c>
      <c r="B873" s="9" t="s">
        <v>9</v>
      </c>
      <c r="C873" s="9">
        <v>1927</v>
      </c>
      <c r="D873" s="10">
        <v>45729</v>
      </c>
      <c r="E873" s="11" t="str">
        <f>+HYPERLINK("http://trademark.i-assist.jp/data/china/image_1927th/82306181.pdf","82306181")</f>
        <v>82306181</v>
      </c>
      <c r="F873" s="12" t="s">
        <v>16</v>
      </c>
      <c r="G873" s="9" t="s">
        <v>2567</v>
      </c>
      <c r="H873" s="12" t="s">
        <v>2568</v>
      </c>
      <c r="I873" s="10">
        <v>45629</v>
      </c>
    </row>
    <row r="874" spans="1:9" x14ac:dyDescent="0.15">
      <c r="A874" s="9">
        <v>873</v>
      </c>
      <c r="B874" s="9" t="s">
        <v>9</v>
      </c>
      <c r="C874" s="9">
        <v>1927</v>
      </c>
      <c r="D874" s="10">
        <v>45729</v>
      </c>
      <c r="E874" s="11" t="str">
        <f>+HYPERLINK("http://trademark.i-assist.jp/data/china/image_1927th/82306211.pdf","82306211")</f>
        <v>82306211</v>
      </c>
      <c r="F874" s="12" t="s">
        <v>2569</v>
      </c>
      <c r="G874" s="9" t="s">
        <v>2570</v>
      </c>
      <c r="H874" s="9" t="s">
        <v>2571</v>
      </c>
      <c r="I874" s="10">
        <v>45629</v>
      </c>
    </row>
    <row r="875" spans="1:9" x14ac:dyDescent="0.15">
      <c r="A875" s="9">
        <v>874</v>
      </c>
      <c r="B875" s="9" t="s">
        <v>9</v>
      </c>
      <c r="C875" s="9">
        <v>1927</v>
      </c>
      <c r="D875" s="10">
        <v>45729</v>
      </c>
      <c r="E875" s="11" t="str">
        <f>+HYPERLINK("http://trademark.i-assist.jp/data/china/image_1927th/82306412.pdf","82306412")</f>
        <v>82306412</v>
      </c>
      <c r="F875" s="9" t="s">
        <v>2572</v>
      </c>
      <c r="G875" s="9" t="s">
        <v>2573</v>
      </c>
      <c r="H875" s="12" t="s">
        <v>2574</v>
      </c>
      <c r="I875" s="10">
        <v>45629</v>
      </c>
    </row>
    <row r="876" spans="1:9" x14ac:dyDescent="0.15">
      <c r="A876" s="9">
        <v>875</v>
      </c>
      <c r="B876" s="9" t="s">
        <v>9</v>
      </c>
      <c r="C876" s="9">
        <v>1927</v>
      </c>
      <c r="D876" s="10">
        <v>45729</v>
      </c>
      <c r="E876" s="11" t="str">
        <f>+HYPERLINK("http://trademark.i-assist.jp/data/china/image_1927th/82306875.pdf","82306875")</f>
        <v>82306875</v>
      </c>
      <c r="F876" s="9" t="s">
        <v>2575</v>
      </c>
      <c r="G876" s="9" t="s">
        <v>2576</v>
      </c>
      <c r="H876" s="9" t="s">
        <v>2577</v>
      </c>
      <c r="I876" s="10">
        <v>45629</v>
      </c>
    </row>
    <row r="877" spans="1:9" x14ac:dyDescent="0.15">
      <c r="A877" s="9">
        <v>876</v>
      </c>
      <c r="B877" s="9" t="s">
        <v>9</v>
      </c>
      <c r="C877" s="9">
        <v>1927</v>
      </c>
      <c r="D877" s="10">
        <v>45729</v>
      </c>
      <c r="E877" s="11" t="str">
        <f>+HYPERLINK("http://trademark.i-assist.jp/data/china/image_1927th/82307381.pdf","82307381")</f>
        <v>82307381</v>
      </c>
      <c r="F877" s="12" t="s">
        <v>2578</v>
      </c>
      <c r="G877" s="12" t="s">
        <v>163</v>
      </c>
      <c r="H877" s="9" t="s">
        <v>2579</v>
      </c>
      <c r="I877" s="10">
        <v>45629</v>
      </c>
    </row>
    <row r="878" spans="1:9" x14ac:dyDescent="0.15">
      <c r="A878" s="9">
        <v>877</v>
      </c>
      <c r="B878" s="9" t="s">
        <v>9</v>
      </c>
      <c r="C878" s="9">
        <v>1927</v>
      </c>
      <c r="D878" s="10">
        <v>45729</v>
      </c>
      <c r="E878" s="11" t="str">
        <f>+HYPERLINK("http://trademark.i-assist.jp/data/china/image_1927th/82307385.pdf","82307385")</f>
        <v>82307385</v>
      </c>
      <c r="F878" s="9" t="s">
        <v>2580</v>
      </c>
      <c r="G878" s="12" t="s">
        <v>163</v>
      </c>
      <c r="H878" s="9" t="s">
        <v>2581</v>
      </c>
      <c r="I878" s="10">
        <v>45629</v>
      </c>
    </row>
    <row r="879" spans="1:9" x14ac:dyDescent="0.15">
      <c r="A879" s="9">
        <v>878</v>
      </c>
      <c r="B879" s="9" t="s">
        <v>9</v>
      </c>
      <c r="C879" s="9">
        <v>1927</v>
      </c>
      <c r="D879" s="10">
        <v>45729</v>
      </c>
      <c r="E879" s="11" t="str">
        <f>+HYPERLINK("http://trademark.i-assist.jp/data/china/image_1927th/82307864.pdf","82307864")</f>
        <v>82307864</v>
      </c>
      <c r="F879" s="9" t="s">
        <v>2582</v>
      </c>
      <c r="G879" s="9" t="s">
        <v>162</v>
      </c>
      <c r="H879" s="9" t="s">
        <v>2583</v>
      </c>
      <c r="I879" s="10">
        <v>45629</v>
      </c>
    </row>
    <row r="880" spans="1:9" x14ac:dyDescent="0.15">
      <c r="A880" s="9">
        <v>879</v>
      </c>
      <c r="B880" s="9" t="s">
        <v>9</v>
      </c>
      <c r="C880" s="9">
        <v>1927</v>
      </c>
      <c r="D880" s="10">
        <v>45729</v>
      </c>
      <c r="E880" s="11" t="str">
        <f>+HYPERLINK("http://trademark.i-assist.jp/data/china/image_1927th/82307958.pdf","82307958")</f>
        <v>82307958</v>
      </c>
      <c r="F880" s="9" t="s">
        <v>2584</v>
      </c>
      <c r="G880" s="9" t="s">
        <v>2585</v>
      </c>
      <c r="H880" s="9" t="s">
        <v>2586</v>
      </c>
      <c r="I880" s="10">
        <v>45629</v>
      </c>
    </row>
    <row r="881" spans="1:9" x14ac:dyDescent="0.15">
      <c r="A881" s="9">
        <v>880</v>
      </c>
      <c r="B881" s="9" t="s">
        <v>9</v>
      </c>
      <c r="C881" s="9">
        <v>1927</v>
      </c>
      <c r="D881" s="10">
        <v>45729</v>
      </c>
      <c r="E881" s="11" t="str">
        <f>+HYPERLINK("http://trademark.i-assist.jp/data/china/image_1927th/82307974.pdf","82307974")</f>
        <v>82307974</v>
      </c>
      <c r="F881" s="9" t="s">
        <v>2587</v>
      </c>
      <c r="G881" s="9" t="s">
        <v>2588</v>
      </c>
      <c r="H881" s="9" t="s">
        <v>2589</v>
      </c>
      <c r="I881" s="10">
        <v>45629</v>
      </c>
    </row>
    <row r="882" spans="1:9" x14ac:dyDescent="0.15">
      <c r="A882" s="9">
        <v>881</v>
      </c>
      <c r="B882" s="9" t="s">
        <v>9</v>
      </c>
      <c r="C882" s="9">
        <v>1927</v>
      </c>
      <c r="D882" s="10">
        <v>45729</v>
      </c>
      <c r="E882" s="11" t="str">
        <f>+HYPERLINK("http://trademark.i-assist.jp/data/china/image_1927th/82308240.pdf","82308240")</f>
        <v>82308240</v>
      </c>
      <c r="F882" s="9" t="s">
        <v>2590</v>
      </c>
      <c r="G882" s="9" t="s">
        <v>2591</v>
      </c>
      <c r="H882" s="9" t="s">
        <v>2592</v>
      </c>
      <c r="I882" s="10">
        <v>45629</v>
      </c>
    </row>
    <row r="883" spans="1:9" x14ac:dyDescent="0.15">
      <c r="A883" s="9">
        <v>882</v>
      </c>
      <c r="B883" s="9" t="s">
        <v>9</v>
      </c>
      <c r="C883" s="9">
        <v>1927</v>
      </c>
      <c r="D883" s="10">
        <v>45729</v>
      </c>
      <c r="E883" s="11" t="str">
        <f>+HYPERLINK("http://trademark.i-assist.jp/data/china/image_1927th/82308871.pdf","82308871")</f>
        <v>82308871</v>
      </c>
      <c r="F883" s="12" t="s">
        <v>2593</v>
      </c>
      <c r="G883" s="12" t="s">
        <v>2594</v>
      </c>
      <c r="H883" s="9" t="s">
        <v>2595</v>
      </c>
      <c r="I883" s="10">
        <v>45629</v>
      </c>
    </row>
    <row r="884" spans="1:9" x14ac:dyDescent="0.15">
      <c r="A884" s="9">
        <v>883</v>
      </c>
      <c r="B884" s="9" t="s">
        <v>9</v>
      </c>
      <c r="C884" s="9">
        <v>1927</v>
      </c>
      <c r="D884" s="10">
        <v>45729</v>
      </c>
      <c r="E884" s="11" t="str">
        <f>+HYPERLINK("http://trademark.i-assist.jp/data/china/image_1927th/82309305.pdf","82309305")</f>
        <v>82309305</v>
      </c>
      <c r="F884" s="12" t="s">
        <v>2596</v>
      </c>
      <c r="G884" s="12" t="s">
        <v>2553</v>
      </c>
      <c r="H884" s="9" t="s">
        <v>2597</v>
      </c>
      <c r="I884" s="10">
        <v>45629</v>
      </c>
    </row>
    <row r="885" spans="1:9" x14ac:dyDescent="0.15">
      <c r="A885" s="9">
        <v>884</v>
      </c>
      <c r="B885" s="9" t="s">
        <v>9</v>
      </c>
      <c r="C885" s="9">
        <v>1927</v>
      </c>
      <c r="D885" s="10">
        <v>45729</v>
      </c>
      <c r="E885" s="11" t="str">
        <f>+HYPERLINK("http://trademark.i-assist.jp/data/china/image_1927th/82309448.pdf","82309448")</f>
        <v>82309448</v>
      </c>
      <c r="F885" s="9" t="s">
        <v>146</v>
      </c>
      <c r="G885" s="12" t="s">
        <v>147</v>
      </c>
      <c r="H885" s="9" t="s">
        <v>2598</v>
      </c>
      <c r="I885" s="10">
        <v>45629</v>
      </c>
    </row>
    <row r="886" spans="1:9" x14ac:dyDescent="0.15">
      <c r="A886" s="9">
        <v>885</v>
      </c>
      <c r="B886" s="9" t="s">
        <v>9</v>
      </c>
      <c r="C886" s="9">
        <v>1927</v>
      </c>
      <c r="D886" s="10">
        <v>45729</v>
      </c>
      <c r="E886" s="11" t="str">
        <f>+HYPERLINK("http://trademark.i-assist.jp/data/china/image_1927th/82310008.pdf","82310008")</f>
        <v>82310008</v>
      </c>
      <c r="F886" s="12" t="s">
        <v>2599</v>
      </c>
      <c r="G886" s="9" t="s">
        <v>2600</v>
      </c>
      <c r="H886" s="9" t="s">
        <v>2601</v>
      </c>
      <c r="I886" s="10">
        <v>45629</v>
      </c>
    </row>
    <row r="887" spans="1:9" x14ac:dyDescent="0.15">
      <c r="A887" s="9">
        <v>886</v>
      </c>
      <c r="B887" s="9" t="s">
        <v>9</v>
      </c>
      <c r="C887" s="9">
        <v>1927</v>
      </c>
      <c r="D887" s="10">
        <v>45729</v>
      </c>
      <c r="E887" s="11" t="str">
        <f>+HYPERLINK("http://trademark.i-assist.jp/data/china/image_1927th/82310618.pdf","82310618")</f>
        <v>82310618</v>
      </c>
      <c r="F887" s="9" t="s">
        <v>2602</v>
      </c>
      <c r="G887" s="12" t="s">
        <v>64</v>
      </c>
      <c r="H887" s="12" t="s">
        <v>2603</v>
      </c>
      <c r="I887" s="10">
        <v>45629</v>
      </c>
    </row>
    <row r="888" spans="1:9" x14ac:dyDescent="0.15">
      <c r="A888" s="9">
        <v>887</v>
      </c>
      <c r="B888" s="9" t="s">
        <v>9</v>
      </c>
      <c r="C888" s="9">
        <v>1927</v>
      </c>
      <c r="D888" s="10">
        <v>45729</v>
      </c>
      <c r="E888" s="11" t="str">
        <f>+HYPERLINK("http://trademark.i-assist.jp/data/china/image_1927th/82310851.pdf","82310851")</f>
        <v>82310851</v>
      </c>
      <c r="F888" s="9" t="s">
        <v>2604</v>
      </c>
      <c r="G888" s="9" t="s">
        <v>2605</v>
      </c>
      <c r="H888" s="9" t="s">
        <v>2606</v>
      </c>
      <c r="I888" s="10">
        <v>45629</v>
      </c>
    </row>
    <row r="889" spans="1:9" x14ac:dyDescent="0.15">
      <c r="A889" s="9">
        <v>888</v>
      </c>
      <c r="B889" s="9" t="s">
        <v>9</v>
      </c>
      <c r="C889" s="9">
        <v>1927</v>
      </c>
      <c r="D889" s="10">
        <v>45729</v>
      </c>
      <c r="E889" s="11" t="str">
        <f>+HYPERLINK("http://trademark.i-assist.jp/data/china/image_1927th/82311114.pdf","82311114")</f>
        <v>82311114</v>
      </c>
      <c r="F889" s="9" t="s">
        <v>2607</v>
      </c>
      <c r="G889" s="9" t="s">
        <v>2565</v>
      </c>
      <c r="H889" s="9" t="s">
        <v>2608</v>
      </c>
      <c r="I889" s="10">
        <v>45629</v>
      </c>
    </row>
    <row r="890" spans="1:9" x14ac:dyDescent="0.15">
      <c r="A890" s="9">
        <v>889</v>
      </c>
      <c r="B890" s="9" t="s">
        <v>9</v>
      </c>
      <c r="C890" s="9">
        <v>1927</v>
      </c>
      <c r="D890" s="10">
        <v>45729</v>
      </c>
      <c r="E890" s="11" t="str">
        <f>+HYPERLINK("http://trademark.i-assist.jp/data/china/image_1927th/82311439.pdf","82311439")</f>
        <v>82311439</v>
      </c>
      <c r="F890" s="9" t="s">
        <v>2609</v>
      </c>
      <c r="G890" s="9" t="s">
        <v>2610</v>
      </c>
      <c r="H890" s="9" t="s">
        <v>2611</v>
      </c>
      <c r="I890" s="10">
        <v>45629</v>
      </c>
    </row>
    <row r="891" spans="1:9" x14ac:dyDescent="0.15">
      <c r="A891" s="9">
        <v>890</v>
      </c>
      <c r="B891" s="9" t="s">
        <v>9</v>
      </c>
      <c r="C891" s="9">
        <v>1927</v>
      </c>
      <c r="D891" s="10">
        <v>45729</v>
      </c>
      <c r="E891" s="11" t="str">
        <f>+HYPERLINK("http://trademark.i-assist.jp/data/china/image_1927th/82311513.pdf","82311513")</f>
        <v>82311513</v>
      </c>
      <c r="F891" s="12" t="s">
        <v>2612</v>
      </c>
      <c r="G891" s="9" t="s">
        <v>2613</v>
      </c>
      <c r="H891" s="9" t="s">
        <v>2614</v>
      </c>
      <c r="I891" s="10">
        <v>45629</v>
      </c>
    </row>
    <row r="892" spans="1:9" x14ac:dyDescent="0.15">
      <c r="A892" s="9">
        <v>891</v>
      </c>
      <c r="B892" s="9" t="s">
        <v>9</v>
      </c>
      <c r="C892" s="9">
        <v>1927</v>
      </c>
      <c r="D892" s="10">
        <v>45729</v>
      </c>
      <c r="E892" s="11" t="str">
        <f>+HYPERLINK("http://trademark.i-assist.jp/data/china/image_1927th/82311885.pdf","82311885")</f>
        <v>82311885</v>
      </c>
      <c r="F892" s="9" t="s">
        <v>2615</v>
      </c>
      <c r="G892" s="9" t="s">
        <v>2616</v>
      </c>
      <c r="H892" s="9" t="s">
        <v>2617</v>
      </c>
      <c r="I892" s="10">
        <v>45629</v>
      </c>
    </row>
    <row r="893" spans="1:9" x14ac:dyDescent="0.15">
      <c r="A893" s="9">
        <v>892</v>
      </c>
      <c r="B893" s="9" t="s">
        <v>9</v>
      </c>
      <c r="C893" s="9">
        <v>1927</v>
      </c>
      <c r="D893" s="10">
        <v>45729</v>
      </c>
      <c r="E893" s="11" t="str">
        <f>+HYPERLINK("http://trademark.i-assist.jp/data/china/image_1927th/82311966.pdf","82311966")</f>
        <v>82311966</v>
      </c>
      <c r="F893" s="9" t="s">
        <v>2618</v>
      </c>
      <c r="G893" s="12" t="s">
        <v>2553</v>
      </c>
      <c r="H893" s="9" t="s">
        <v>2619</v>
      </c>
      <c r="I893" s="10">
        <v>45629</v>
      </c>
    </row>
    <row r="894" spans="1:9" x14ac:dyDescent="0.15">
      <c r="A894" s="9">
        <v>893</v>
      </c>
      <c r="B894" s="9" t="s">
        <v>9</v>
      </c>
      <c r="C894" s="9">
        <v>1927</v>
      </c>
      <c r="D894" s="10">
        <v>45729</v>
      </c>
      <c r="E894" s="11" t="str">
        <f>+HYPERLINK("http://trademark.i-assist.jp/data/china/image_1927th/82311985.pdf","82311985")</f>
        <v>82311985</v>
      </c>
      <c r="F894" s="9" t="s">
        <v>2620</v>
      </c>
      <c r="G894" s="12" t="s">
        <v>2553</v>
      </c>
      <c r="H894" s="9" t="s">
        <v>2621</v>
      </c>
      <c r="I894" s="10">
        <v>45629</v>
      </c>
    </row>
    <row r="895" spans="1:9" x14ac:dyDescent="0.15">
      <c r="A895" s="9">
        <v>894</v>
      </c>
      <c r="B895" s="9" t="s">
        <v>9</v>
      </c>
      <c r="C895" s="9">
        <v>1927</v>
      </c>
      <c r="D895" s="10">
        <v>45729</v>
      </c>
      <c r="E895" s="11" t="str">
        <f>+HYPERLINK("http://trademark.i-assist.jp/data/china/image_1927th/82311992.pdf","82311992")</f>
        <v>82311992</v>
      </c>
      <c r="F895" s="9" t="s">
        <v>2622</v>
      </c>
      <c r="G895" s="12" t="s">
        <v>2553</v>
      </c>
      <c r="H895" s="9" t="s">
        <v>2623</v>
      </c>
      <c r="I895" s="10">
        <v>45629</v>
      </c>
    </row>
    <row r="896" spans="1:9" x14ac:dyDescent="0.15">
      <c r="A896" s="9">
        <v>895</v>
      </c>
      <c r="B896" s="9" t="s">
        <v>9</v>
      </c>
      <c r="C896" s="9">
        <v>1927</v>
      </c>
      <c r="D896" s="10">
        <v>45729</v>
      </c>
      <c r="E896" s="11" t="str">
        <f>+HYPERLINK("http://trademark.i-assist.jp/data/china/image_1927th/82312031.pdf","82312031")</f>
        <v>82312031</v>
      </c>
      <c r="F896" s="12" t="s">
        <v>2624</v>
      </c>
      <c r="G896" s="9" t="s">
        <v>2613</v>
      </c>
      <c r="H896" s="9" t="s">
        <v>2625</v>
      </c>
      <c r="I896" s="10">
        <v>45629</v>
      </c>
    </row>
    <row r="897" spans="1:9" x14ac:dyDescent="0.15">
      <c r="A897" s="9">
        <v>896</v>
      </c>
      <c r="B897" s="9" t="s">
        <v>9</v>
      </c>
      <c r="C897" s="9">
        <v>1927</v>
      </c>
      <c r="D897" s="10">
        <v>45729</v>
      </c>
      <c r="E897" s="11" t="str">
        <f>+HYPERLINK("http://trademark.i-assist.jp/data/china/image_1927th/82312121.pdf","82312121")</f>
        <v>82312121</v>
      </c>
      <c r="F897" s="9" t="s">
        <v>2626</v>
      </c>
      <c r="G897" s="9" t="s">
        <v>2627</v>
      </c>
      <c r="H897" s="9" t="s">
        <v>2628</v>
      </c>
      <c r="I897" s="10">
        <v>45629</v>
      </c>
    </row>
    <row r="898" spans="1:9" x14ac:dyDescent="0.15">
      <c r="A898" s="9">
        <v>897</v>
      </c>
      <c r="B898" s="9" t="s">
        <v>9</v>
      </c>
      <c r="C898" s="9">
        <v>1927</v>
      </c>
      <c r="D898" s="10">
        <v>45729</v>
      </c>
      <c r="E898" s="11" t="str">
        <f>+HYPERLINK("http://trademark.i-assist.jp/data/china/image_1927th/82312274.pdf","82312274")</f>
        <v>82312274</v>
      </c>
      <c r="F898" s="12" t="s">
        <v>2629</v>
      </c>
      <c r="G898" s="9" t="s">
        <v>2570</v>
      </c>
      <c r="H898" s="9" t="s">
        <v>2630</v>
      </c>
      <c r="I898" s="10">
        <v>45629</v>
      </c>
    </row>
    <row r="899" spans="1:9" x14ac:dyDescent="0.15">
      <c r="A899" s="9">
        <v>898</v>
      </c>
      <c r="B899" s="9" t="s">
        <v>9</v>
      </c>
      <c r="C899" s="9">
        <v>1927</v>
      </c>
      <c r="D899" s="10">
        <v>45729</v>
      </c>
      <c r="E899" s="11" t="str">
        <f>+HYPERLINK("http://trademark.i-assist.jp/data/china/image_1927th/82312497.pdf","82312497")</f>
        <v>82312497</v>
      </c>
      <c r="F899" s="12" t="s">
        <v>2631</v>
      </c>
      <c r="G899" s="9" t="s">
        <v>2632</v>
      </c>
      <c r="H899" s="9" t="s">
        <v>2633</v>
      </c>
      <c r="I899" s="10">
        <v>45629</v>
      </c>
    </row>
    <row r="900" spans="1:9" x14ac:dyDescent="0.15">
      <c r="A900" s="9">
        <v>899</v>
      </c>
      <c r="B900" s="9" t="s">
        <v>9</v>
      </c>
      <c r="C900" s="9">
        <v>1927</v>
      </c>
      <c r="D900" s="10">
        <v>45729</v>
      </c>
      <c r="E900" s="11" t="str">
        <f>+HYPERLINK("http://trademark.i-assist.jp/data/china/image_1927th/82312725.pdf","82312725")</f>
        <v>82312725</v>
      </c>
      <c r="F900" s="9" t="s">
        <v>2634</v>
      </c>
      <c r="G900" s="9" t="s">
        <v>2635</v>
      </c>
      <c r="H900" s="9" t="s">
        <v>2636</v>
      </c>
      <c r="I900" s="10">
        <v>45629</v>
      </c>
    </row>
    <row r="901" spans="1:9" x14ac:dyDescent="0.15">
      <c r="A901" s="9">
        <v>900</v>
      </c>
      <c r="B901" s="9" t="s">
        <v>9</v>
      </c>
      <c r="C901" s="9">
        <v>1927</v>
      </c>
      <c r="D901" s="10">
        <v>45729</v>
      </c>
      <c r="E901" s="11" t="str">
        <f>+HYPERLINK("http://trademark.i-assist.jp/data/china/image_1927th/82312982.pdf","82312982")</f>
        <v>82312982</v>
      </c>
      <c r="F901" s="9" t="s">
        <v>2637</v>
      </c>
      <c r="G901" s="12" t="s">
        <v>2638</v>
      </c>
      <c r="H901" s="9" t="s">
        <v>2639</v>
      </c>
      <c r="I901" s="10">
        <v>45629</v>
      </c>
    </row>
    <row r="902" spans="1:9" x14ac:dyDescent="0.15">
      <c r="A902" s="9">
        <v>901</v>
      </c>
      <c r="B902" s="9" t="s">
        <v>9</v>
      </c>
      <c r="C902" s="9">
        <v>1927</v>
      </c>
      <c r="D902" s="10">
        <v>45729</v>
      </c>
      <c r="E902" s="11" t="str">
        <f>+HYPERLINK("http://trademark.i-assist.jp/data/china/image_1927th/82314285.pdf","82314285")</f>
        <v>82314285</v>
      </c>
      <c r="F902" s="9" t="s">
        <v>2640</v>
      </c>
      <c r="G902" s="9" t="s">
        <v>2641</v>
      </c>
      <c r="H902" s="9" t="s">
        <v>2642</v>
      </c>
      <c r="I902" s="10">
        <v>45629</v>
      </c>
    </row>
    <row r="903" spans="1:9" x14ac:dyDescent="0.15">
      <c r="A903" s="9">
        <v>902</v>
      </c>
      <c r="B903" s="9" t="s">
        <v>9</v>
      </c>
      <c r="C903" s="9">
        <v>1927</v>
      </c>
      <c r="D903" s="10">
        <v>45729</v>
      </c>
      <c r="E903" s="11" t="str">
        <f>+HYPERLINK("http://trademark.i-assist.jp/data/china/image_1927th/82314349.pdf","82314349")</f>
        <v>82314349</v>
      </c>
      <c r="F903" s="9" t="s">
        <v>2643</v>
      </c>
      <c r="G903" s="9" t="s">
        <v>2644</v>
      </c>
      <c r="H903" s="9" t="s">
        <v>2645</v>
      </c>
      <c r="I903" s="10">
        <v>45629</v>
      </c>
    </row>
    <row r="904" spans="1:9" x14ac:dyDescent="0.15">
      <c r="A904" s="9">
        <v>903</v>
      </c>
      <c r="B904" s="9" t="s">
        <v>9</v>
      </c>
      <c r="C904" s="9">
        <v>1927</v>
      </c>
      <c r="D904" s="10">
        <v>45729</v>
      </c>
      <c r="E904" s="11" t="str">
        <f>+HYPERLINK("http://trademark.i-assist.jp/data/china/image_1927th/82314575.pdf","82314575")</f>
        <v>82314575</v>
      </c>
      <c r="F904" s="9" t="s">
        <v>2646</v>
      </c>
      <c r="G904" s="9" t="s">
        <v>2647</v>
      </c>
      <c r="H904" s="9" t="s">
        <v>2648</v>
      </c>
      <c r="I904" s="10">
        <v>45629</v>
      </c>
    </row>
    <row r="905" spans="1:9" x14ac:dyDescent="0.15">
      <c r="A905" s="9">
        <v>904</v>
      </c>
      <c r="B905" s="9" t="s">
        <v>9</v>
      </c>
      <c r="C905" s="9">
        <v>1927</v>
      </c>
      <c r="D905" s="10">
        <v>45729</v>
      </c>
      <c r="E905" s="11" t="str">
        <f>+HYPERLINK("http://trademark.i-assist.jp/data/china/image_1927th/82315052.pdf","82315052")</f>
        <v>82315052</v>
      </c>
      <c r="F905" s="9" t="s">
        <v>2649</v>
      </c>
      <c r="G905" s="9" t="s">
        <v>202</v>
      </c>
      <c r="H905" s="9" t="s">
        <v>2650</v>
      </c>
      <c r="I905" s="10">
        <v>45629</v>
      </c>
    </row>
    <row r="906" spans="1:9" x14ac:dyDescent="0.15">
      <c r="A906" s="9">
        <v>905</v>
      </c>
      <c r="B906" s="9" t="s">
        <v>9</v>
      </c>
      <c r="C906" s="9">
        <v>1927</v>
      </c>
      <c r="D906" s="10">
        <v>45729</v>
      </c>
      <c r="E906" s="11" t="str">
        <f>+HYPERLINK("http://trademark.i-assist.jp/data/china/image_1927th/82315284.pdf","82315284")</f>
        <v>82315284</v>
      </c>
      <c r="F906" s="9" t="s">
        <v>2651</v>
      </c>
      <c r="G906" s="9" t="s">
        <v>2652</v>
      </c>
      <c r="H906" s="9" t="s">
        <v>2653</v>
      </c>
      <c r="I906" s="10">
        <v>45629</v>
      </c>
    </row>
    <row r="907" spans="1:9" x14ac:dyDescent="0.15">
      <c r="A907" s="9">
        <v>906</v>
      </c>
      <c r="B907" s="9" t="s">
        <v>9</v>
      </c>
      <c r="C907" s="9">
        <v>1927</v>
      </c>
      <c r="D907" s="10">
        <v>45729</v>
      </c>
      <c r="E907" s="11" t="str">
        <f>+HYPERLINK("http://trademark.i-assist.jp/data/china/image_1927th/82315393.pdf","82315393")</f>
        <v>82315393</v>
      </c>
      <c r="F907" s="9" t="s">
        <v>2654</v>
      </c>
      <c r="G907" s="12" t="s">
        <v>2553</v>
      </c>
      <c r="H907" s="12" t="s">
        <v>2655</v>
      </c>
      <c r="I907" s="10">
        <v>45629</v>
      </c>
    </row>
    <row r="908" spans="1:9" x14ac:dyDescent="0.15">
      <c r="A908" s="9">
        <v>907</v>
      </c>
      <c r="B908" s="9" t="s">
        <v>9</v>
      </c>
      <c r="C908" s="9">
        <v>1927</v>
      </c>
      <c r="D908" s="10">
        <v>45729</v>
      </c>
      <c r="E908" s="11" t="str">
        <f>+HYPERLINK("http://trademark.i-assist.jp/data/china/image_1927th/82315532.pdf","82315532")</f>
        <v>82315532</v>
      </c>
      <c r="F908" s="12" t="s">
        <v>2656</v>
      </c>
      <c r="G908" s="12" t="s">
        <v>2657</v>
      </c>
      <c r="H908" s="9" t="s">
        <v>2658</v>
      </c>
      <c r="I908" s="10">
        <v>45629</v>
      </c>
    </row>
    <row r="909" spans="1:9" x14ac:dyDescent="0.15">
      <c r="A909" s="9">
        <v>908</v>
      </c>
      <c r="B909" s="9" t="s">
        <v>9</v>
      </c>
      <c r="C909" s="9">
        <v>1927</v>
      </c>
      <c r="D909" s="10">
        <v>45729</v>
      </c>
      <c r="E909" s="11" t="str">
        <f>+HYPERLINK("http://trademark.i-assist.jp/data/china/image_1927th/82315572.pdf","82315572")</f>
        <v>82315572</v>
      </c>
      <c r="F909" s="9" t="s">
        <v>2659</v>
      </c>
      <c r="G909" s="9" t="s">
        <v>2660</v>
      </c>
      <c r="H909" s="9" t="s">
        <v>2661</v>
      </c>
      <c r="I909" s="10">
        <v>45629</v>
      </c>
    </row>
    <row r="910" spans="1:9" x14ac:dyDescent="0.15">
      <c r="A910" s="9">
        <v>909</v>
      </c>
      <c r="B910" s="9" t="s">
        <v>9</v>
      </c>
      <c r="C910" s="9">
        <v>1927</v>
      </c>
      <c r="D910" s="10">
        <v>45729</v>
      </c>
      <c r="E910" s="11" t="str">
        <f>+HYPERLINK("http://trademark.i-assist.jp/data/china/image_1927th/82316520.pdf","82316520")</f>
        <v>82316520</v>
      </c>
      <c r="F910" s="9" t="s">
        <v>2662</v>
      </c>
      <c r="G910" s="9" t="s">
        <v>2663</v>
      </c>
      <c r="H910" s="9" t="s">
        <v>2664</v>
      </c>
      <c r="I910" s="10">
        <v>45629</v>
      </c>
    </row>
    <row r="911" spans="1:9" x14ac:dyDescent="0.15">
      <c r="A911" s="9">
        <v>910</v>
      </c>
      <c r="B911" s="9" t="s">
        <v>9</v>
      </c>
      <c r="C911" s="9">
        <v>1927</v>
      </c>
      <c r="D911" s="10">
        <v>45729</v>
      </c>
      <c r="E911" s="11" t="str">
        <f>+HYPERLINK("http://trademark.i-assist.jp/data/china/image_1927th/82316754.pdf","82316754")</f>
        <v>82316754</v>
      </c>
      <c r="F911" s="9" t="s">
        <v>2665</v>
      </c>
      <c r="G911" s="9" t="s">
        <v>2666</v>
      </c>
      <c r="H911" s="9" t="s">
        <v>2667</v>
      </c>
      <c r="I911" s="10">
        <v>45629</v>
      </c>
    </row>
    <row r="912" spans="1:9" x14ac:dyDescent="0.15">
      <c r="A912" s="9">
        <v>911</v>
      </c>
      <c r="B912" s="9" t="s">
        <v>9</v>
      </c>
      <c r="C912" s="9">
        <v>1927</v>
      </c>
      <c r="D912" s="10">
        <v>45729</v>
      </c>
      <c r="E912" s="11" t="str">
        <f>+HYPERLINK("http://trademark.i-assist.jp/data/china/image_1927th/82316943.pdf","82316943")</f>
        <v>82316943</v>
      </c>
      <c r="F912" s="12" t="s">
        <v>2668</v>
      </c>
      <c r="G912" s="12" t="s">
        <v>2669</v>
      </c>
      <c r="H912" s="9" t="s">
        <v>2670</v>
      </c>
      <c r="I912" s="10">
        <v>45629</v>
      </c>
    </row>
    <row r="913" spans="1:9" x14ac:dyDescent="0.15">
      <c r="A913" s="9">
        <v>912</v>
      </c>
      <c r="B913" s="9" t="s">
        <v>9</v>
      </c>
      <c r="C913" s="9">
        <v>1927</v>
      </c>
      <c r="D913" s="10">
        <v>45729</v>
      </c>
      <c r="E913" s="11" t="str">
        <f>+HYPERLINK("http://trademark.i-assist.jp/data/china/image_1927th/82317012.pdf","82317012")</f>
        <v>82317012</v>
      </c>
      <c r="F913" s="9" t="s">
        <v>2671</v>
      </c>
      <c r="G913" s="9" t="s">
        <v>2672</v>
      </c>
      <c r="H913" s="9" t="s">
        <v>2673</v>
      </c>
      <c r="I913" s="10">
        <v>45629</v>
      </c>
    </row>
    <row r="914" spans="1:9" x14ac:dyDescent="0.15">
      <c r="A914" s="9">
        <v>913</v>
      </c>
      <c r="B914" s="9" t="s">
        <v>9</v>
      </c>
      <c r="C914" s="9">
        <v>1927</v>
      </c>
      <c r="D914" s="10">
        <v>45729</v>
      </c>
      <c r="E914" s="11" t="str">
        <f>+HYPERLINK("http://trademark.i-assist.jp/data/china/image_1927th/82317594.pdf","82317594")</f>
        <v>82317594</v>
      </c>
      <c r="F914" s="9" t="s">
        <v>2674</v>
      </c>
      <c r="G914" s="9" t="s">
        <v>2616</v>
      </c>
      <c r="H914" s="9" t="s">
        <v>2675</v>
      </c>
      <c r="I914" s="10">
        <v>45629</v>
      </c>
    </row>
    <row r="915" spans="1:9" x14ac:dyDescent="0.15">
      <c r="A915" s="9">
        <v>914</v>
      </c>
      <c r="B915" s="9" t="s">
        <v>9</v>
      </c>
      <c r="C915" s="9">
        <v>1927</v>
      </c>
      <c r="D915" s="10">
        <v>45729</v>
      </c>
      <c r="E915" s="11" t="str">
        <f>+HYPERLINK("http://trademark.i-assist.jp/data/china/image_1927th/82317717.pdf","82317717")</f>
        <v>82317717</v>
      </c>
      <c r="F915" s="9" t="s">
        <v>2676</v>
      </c>
      <c r="G915" s="9" t="s">
        <v>2677</v>
      </c>
      <c r="H915" s="9" t="s">
        <v>2678</v>
      </c>
      <c r="I915" s="10">
        <v>45629</v>
      </c>
    </row>
    <row r="916" spans="1:9" x14ac:dyDescent="0.15">
      <c r="A916" s="9">
        <v>915</v>
      </c>
      <c r="B916" s="9" t="s">
        <v>9</v>
      </c>
      <c r="C916" s="9">
        <v>1927</v>
      </c>
      <c r="D916" s="10">
        <v>45729</v>
      </c>
      <c r="E916" s="11" t="str">
        <f>+HYPERLINK("http://trademark.i-assist.jp/data/china/image_1927th/82317812.pdf","82317812")</f>
        <v>82317812</v>
      </c>
      <c r="F916" s="9" t="s">
        <v>2679</v>
      </c>
      <c r="G916" s="9" t="s">
        <v>2644</v>
      </c>
      <c r="H916" s="9" t="s">
        <v>2680</v>
      </c>
      <c r="I916" s="10">
        <v>45629</v>
      </c>
    </row>
    <row r="917" spans="1:9" x14ac:dyDescent="0.15">
      <c r="A917" s="9">
        <v>916</v>
      </c>
      <c r="B917" s="9" t="s">
        <v>9</v>
      </c>
      <c r="C917" s="9">
        <v>1927</v>
      </c>
      <c r="D917" s="10">
        <v>45729</v>
      </c>
      <c r="E917" s="11" t="str">
        <f>+HYPERLINK("http://trademark.i-assist.jp/data/china/image_1927th/82318274.pdf","82318274")</f>
        <v>82318274</v>
      </c>
      <c r="F917" s="12" t="s">
        <v>16</v>
      </c>
      <c r="G917" s="9" t="s">
        <v>2681</v>
      </c>
      <c r="H917" s="9" t="s">
        <v>2682</v>
      </c>
      <c r="I917" s="10">
        <v>45629</v>
      </c>
    </row>
    <row r="918" spans="1:9" x14ac:dyDescent="0.15">
      <c r="A918" s="9">
        <v>917</v>
      </c>
      <c r="B918" s="9" t="s">
        <v>9</v>
      </c>
      <c r="C918" s="9">
        <v>1927</v>
      </c>
      <c r="D918" s="10">
        <v>45729</v>
      </c>
      <c r="E918" s="11" t="str">
        <f>+HYPERLINK("http://trademark.i-assist.jp/data/china/image_1927th/82318457.pdf","82318457")</f>
        <v>82318457</v>
      </c>
      <c r="F918" s="12" t="s">
        <v>2683</v>
      </c>
      <c r="G918" s="9" t="s">
        <v>2684</v>
      </c>
      <c r="H918" s="9" t="s">
        <v>2685</v>
      </c>
      <c r="I918" s="10">
        <v>45629</v>
      </c>
    </row>
    <row r="919" spans="1:9" x14ac:dyDescent="0.15">
      <c r="A919" s="9">
        <v>918</v>
      </c>
      <c r="B919" s="9" t="s">
        <v>9</v>
      </c>
      <c r="C919" s="9">
        <v>1927</v>
      </c>
      <c r="D919" s="10">
        <v>45729</v>
      </c>
      <c r="E919" s="11" t="str">
        <f>+HYPERLINK("http://trademark.i-assist.jp/data/china/image_1927th/82318908.pdf","82318908")</f>
        <v>82318908</v>
      </c>
      <c r="F919" s="9" t="s">
        <v>2686</v>
      </c>
      <c r="G919" s="9" t="s">
        <v>162</v>
      </c>
      <c r="H919" s="9" t="s">
        <v>2687</v>
      </c>
      <c r="I919" s="10">
        <v>45629</v>
      </c>
    </row>
    <row r="920" spans="1:9" x14ac:dyDescent="0.15">
      <c r="A920" s="9">
        <v>919</v>
      </c>
      <c r="B920" s="9" t="s">
        <v>9</v>
      </c>
      <c r="C920" s="9">
        <v>1927</v>
      </c>
      <c r="D920" s="10">
        <v>45729</v>
      </c>
      <c r="E920" s="11" t="str">
        <f>+HYPERLINK("http://trademark.i-assist.jp/data/china/image_1927th/82319113.pdf","82319113")</f>
        <v>82319113</v>
      </c>
      <c r="F920" s="12" t="s">
        <v>2688</v>
      </c>
      <c r="G920" s="9" t="s">
        <v>2570</v>
      </c>
      <c r="H920" s="9" t="s">
        <v>2689</v>
      </c>
      <c r="I920" s="10">
        <v>45629</v>
      </c>
    </row>
    <row r="921" spans="1:9" x14ac:dyDescent="0.15">
      <c r="A921" s="9">
        <v>920</v>
      </c>
      <c r="B921" s="9" t="s">
        <v>9</v>
      </c>
      <c r="C921" s="9">
        <v>1927</v>
      </c>
      <c r="D921" s="10">
        <v>45729</v>
      </c>
      <c r="E921" s="11" t="str">
        <f>+HYPERLINK("http://trademark.i-assist.jp/data/china/image_1927th/82319187.pdf","82319187")</f>
        <v>82319187</v>
      </c>
      <c r="F921" s="9" t="s">
        <v>2690</v>
      </c>
      <c r="G921" s="9" t="s">
        <v>2691</v>
      </c>
      <c r="H921" s="9" t="s">
        <v>2692</v>
      </c>
      <c r="I921" s="10">
        <v>45629</v>
      </c>
    </row>
    <row r="922" spans="1:9" x14ac:dyDescent="0.15">
      <c r="A922" s="9">
        <v>921</v>
      </c>
      <c r="B922" s="9" t="s">
        <v>9</v>
      </c>
      <c r="C922" s="9">
        <v>1927</v>
      </c>
      <c r="D922" s="10">
        <v>45729</v>
      </c>
      <c r="E922" s="11" t="str">
        <f>+HYPERLINK("http://trademark.i-assist.jp/data/china/image_1927th/82319501.pdf","82319501")</f>
        <v>82319501</v>
      </c>
      <c r="F922" s="9" t="s">
        <v>2693</v>
      </c>
      <c r="G922" s="9" t="s">
        <v>2694</v>
      </c>
      <c r="H922" s="9" t="s">
        <v>2695</v>
      </c>
      <c r="I922" s="10">
        <v>45629</v>
      </c>
    </row>
    <row r="923" spans="1:9" x14ac:dyDescent="0.15">
      <c r="A923" s="9">
        <v>922</v>
      </c>
      <c r="B923" s="9" t="s">
        <v>9</v>
      </c>
      <c r="C923" s="9">
        <v>1927</v>
      </c>
      <c r="D923" s="10">
        <v>45729</v>
      </c>
      <c r="E923" s="11" t="str">
        <f>+HYPERLINK("http://trademark.i-assist.jp/data/china/image_1927th/82319531.pdf","82319531")</f>
        <v>82319531</v>
      </c>
      <c r="F923" s="12" t="s">
        <v>2696</v>
      </c>
      <c r="G923" s="12" t="s">
        <v>2697</v>
      </c>
      <c r="H923" s="9" t="s">
        <v>2698</v>
      </c>
      <c r="I923" s="10">
        <v>45629</v>
      </c>
    </row>
    <row r="924" spans="1:9" x14ac:dyDescent="0.15">
      <c r="A924" s="9">
        <v>923</v>
      </c>
      <c r="B924" s="9" t="s">
        <v>9</v>
      </c>
      <c r="C924" s="9">
        <v>1927</v>
      </c>
      <c r="D924" s="10">
        <v>45729</v>
      </c>
      <c r="E924" s="11" t="str">
        <f>+HYPERLINK("http://trademark.i-assist.jp/data/china/image_1927th/82319562.pdf","82319562")</f>
        <v>82319562</v>
      </c>
      <c r="F924" s="9" t="s">
        <v>2699</v>
      </c>
      <c r="G924" s="9" t="s">
        <v>2700</v>
      </c>
      <c r="H924" s="9" t="s">
        <v>2701</v>
      </c>
      <c r="I924" s="10">
        <v>45629</v>
      </c>
    </row>
    <row r="925" spans="1:9" x14ac:dyDescent="0.15">
      <c r="A925" s="9">
        <v>924</v>
      </c>
      <c r="B925" s="9" t="s">
        <v>9</v>
      </c>
      <c r="C925" s="9">
        <v>1927</v>
      </c>
      <c r="D925" s="10">
        <v>45729</v>
      </c>
      <c r="E925" s="11" t="str">
        <f>+HYPERLINK("http://trademark.i-assist.jp/data/china/image_1927th/82319744.pdf","82319744")</f>
        <v>82319744</v>
      </c>
      <c r="F925" s="12" t="s">
        <v>2702</v>
      </c>
      <c r="G925" s="9" t="s">
        <v>2613</v>
      </c>
      <c r="H925" s="9" t="s">
        <v>2703</v>
      </c>
      <c r="I925" s="10">
        <v>45629</v>
      </c>
    </row>
    <row r="926" spans="1:9" x14ac:dyDescent="0.15">
      <c r="A926" s="9">
        <v>925</v>
      </c>
      <c r="B926" s="9" t="s">
        <v>9</v>
      </c>
      <c r="C926" s="9">
        <v>1927</v>
      </c>
      <c r="D926" s="10">
        <v>45729</v>
      </c>
      <c r="E926" s="11" t="str">
        <f>+HYPERLINK("http://trademark.i-assist.jp/data/china/image_1927th/82319949.pdf","82319949")</f>
        <v>82319949</v>
      </c>
      <c r="F926" s="9" t="s">
        <v>2704</v>
      </c>
      <c r="G926" s="9" t="s">
        <v>2705</v>
      </c>
      <c r="H926" s="9" t="s">
        <v>2706</v>
      </c>
      <c r="I926" s="10">
        <v>45629</v>
      </c>
    </row>
    <row r="927" spans="1:9" x14ac:dyDescent="0.15">
      <c r="A927" s="9">
        <v>926</v>
      </c>
      <c r="B927" s="9" t="s">
        <v>9</v>
      </c>
      <c r="C927" s="9">
        <v>1927</v>
      </c>
      <c r="D927" s="10">
        <v>45729</v>
      </c>
      <c r="E927" s="11" t="str">
        <f>+HYPERLINK("http://trademark.i-assist.jp/data/china/image_1927th/82319956.pdf","82319956")</f>
        <v>82319956</v>
      </c>
      <c r="F927" s="12" t="s">
        <v>16</v>
      </c>
      <c r="G927" s="12" t="s">
        <v>2707</v>
      </c>
      <c r="H927" s="9" t="s">
        <v>2708</v>
      </c>
      <c r="I927" s="10">
        <v>45629</v>
      </c>
    </row>
    <row r="928" spans="1:9" x14ac:dyDescent="0.15">
      <c r="A928" s="9">
        <v>927</v>
      </c>
      <c r="B928" s="9" t="s">
        <v>9</v>
      </c>
      <c r="C928" s="9">
        <v>1927</v>
      </c>
      <c r="D928" s="10">
        <v>45729</v>
      </c>
      <c r="E928" s="11" t="str">
        <f>+HYPERLINK("http://trademark.i-assist.jp/data/china/image_1927th/82320382.pdf","82320382")</f>
        <v>82320382</v>
      </c>
      <c r="F928" s="9" t="s">
        <v>2709</v>
      </c>
      <c r="G928" s="9" t="s">
        <v>2710</v>
      </c>
      <c r="H928" s="9" t="s">
        <v>2711</v>
      </c>
      <c r="I928" s="10">
        <v>45629</v>
      </c>
    </row>
    <row r="929" spans="1:9" x14ac:dyDescent="0.15">
      <c r="A929" s="9">
        <v>928</v>
      </c>
      <c r="B929" s="9" t="s">
        <v>9</v>
      </c>
      <c r="C929" s="9">
        <v>1927</v>
      </c>
      <c r="D929" s="10">
        <v>45729</v>
      </c>
      <c r="E929" s="11" t="str">
        <f>+HYPERLINK("http://trademark.i-assist.jp/data/china/image_1927th/82320457.pdf","82320457")</f>
        <v>82320457</v>
      </c>
      <c r="F929" s="9" t="s">
        <v>2712</v>
      </c>
      <c r="G929" s="9" t="s">
        <v>2713</v>
      </c>
      <c r="H929" s="9" t="s">
        <v>2714</v>
      </c>
      <c r="I929" s="10">
        <v>45629</v>
      </c>
    </row>
    <row r="930" spans="1:9" x14ac:dyDescent="0.15">
      <c r="A930" s="9">
        <v>929</v>
      </c>
      <c r="B930" s="9" t="s">
        <v>9</v>
      </c>
      <c r="C930" s="9">
        <v>1927</v>
      </c>
      <c r="D930" s="10">
        <v>45729</v>
      </c>
      <c r="E930" s="11" t="str">
        <f>+HYPERLINK("http://trademark.i-assist.jp/data/china/image_1927th/82320523.pdf","82320523")</f>
        <v>82320523</v>
      </c>
      <c r="F930" s="9" t="s">
        <v>2715</v>
      </c>
      <c r="G930" s="9" t="s">
        <v>2716</v>
      </c>
      <c r="H930" s="9" t="s">
        <v>2717</v>
      </c>
      <c r="I930" s="10">
        <v>45629</v>
      </c>
    </row>
    <row r="931" spans="1:9" x14ac:dyDescent="0.15">
      <c r="A931" s="9">
        <v>930</v>
      </c>
      <c r="B931" s="9" t="s">
        <v>9</v>
      </c>
      <c r="C931" s="9">
        <v>1927</v>
      </c>
      <c r="D931" s="10">
        <v>45729</v>
      </c>
      <c r="E931" s="11" t="str">
        <f>+HYPERLINK("http://trademark.i-assist.jp/data/china/image_1927th/82320560.pdf","82320560")</f>
        <v>82320560</v>
      </c>
      <c r="F931" s="9" t="s">
        <v>2718</v>
      </c>
      <c r="G931" s="9" t="s">
        <v>2719</v>
      </c>
      <c r="H931" s="9" t="s">
        <v>2720</v>
      </c>
      <c r="I931" s="10">
        <v>45629</v>
      </c>
    </row>
    <row r="932" spans="1:9" x14ac:dyDescent="0.15">
      <c r="A932" s="9">
        <v>931</v>
      </c>
      <c r="B932" s="9" t="s">
        <v>9</v>
      </c>
      <c r="C932" s="9">
        <v>1927</v>
      </c>
      <c r="D932" s="10">
        <v>45729</v>
      </c>
      <c r="E932" s="11" t="str">
        <f>+HYPERLINK("http://trademark.i-assist.jp/data/china/image_1927th/82320561.pdf","82320561")</f>
        <v>82320561</v>
      </c>
      <c r="F932" s="9" t="s">
        <v>2721</v>
      </c>
      <c r="G932" s="9" t="s">
        <v>2722</v>
      </c>
      <c r="H932" s="9" t="s">
        <v>2723</v>
      </c>
      <c r="I932" s="10">
        <v>45629</v>
      </c>
    </row>
    <row r="933" spans="1:9" x14ac:dyDescent="0.15">
      <c r="A933" s="9">
        <v>932</v>
      </c>
      <c r="B933" s="9" t="s">
        <v>9</v>
      </c>
      <c r="C933" s="9">
        <v>1927</v>
      </c>
      <c r="D933" s="10">
        <v>45729</v>
      </c>
      <c r="E933" s="11" t="str">
        <f>+HYPERLINK("http://trademark.i-assist.jp/data/china/image_1927th/82320662.pdf","82320662")</f>
        <v>82320662</v>
      </c>
      <c r="F933" s="9" t="s">
        <v>2724</v>
      </c>
      <c r="G933" s="9" t="s">
        <v>2666</v>
      </c>
      <c r="H933" s="9" t="s">
        <v>2725</v>
      </c>
      <c r="I933" s="10">
        <v>45629</v>
      </c>
    </row>
    <row r="934" spans="1:9" x14ac:dyDescent="0.15">
      <c r="A934" s="9">
        <v>933</v>
      </c>
      <c r="B934" s="9" t="s">
        <v>9</v>
      </c>
      <c r="C934" s="9">
        <v>1927</v>
      </c>
      <c r="D934" s="10">
        <v>45729</v>
      </c>
      <c r="E934" s="11" t="str">
        <f>+HYPERLINK("http://trademark.i-assist.jp/data/china/image_1927th/82320765.pdf","82320765")</f>
        <v>82320765</v>
      </c>
      <c r="F934" s="12" t="s">
        <v>2726</v>
      </c>
      <c r="G934" s="9" t="s">
        <v>2414</v>
      </c>
      <c r="H934" s="9" t="s">
        <v>2727</v>
      </c>
      <c r="I934" s="10">
        <v>45629</v>
      </c>
    </row>
    <row r="935" spans="1:9" x14ac:dyDescent="0.15">
      <c r="A935" s="9">
        <v>934</v>
      </c>
      <c r="B935" s="9" t="s">
        <v>9</v>
      </c>
      <c r="C935" s="9">
        <v>1927</v>
      </c>
      <c r="D935" s="10">
        <v>45729</v>
      </c>
      <c r="E935" s="11" t="str">
        <f>+HYPERLINK("http://trademark.i-assist.jp/data/china/image_1927th/82320820.pdf","82320820")</f>
        <v>82320820</v>
      </c>
      <c r="F935" s="9" t="s">
        <v>2728</v>
      </c>
      <c r="G935" s="9" t="s">
        <v>2729</v>
      </c>
      <c r="H935" s="9" t="s">
        <v>2730</v>
      </c>
      <c r="I935" s="10">
        <v>45629</v>
      </c>
    </row>
    <row r="936" spans="1:9" x14ac:dyDescent="0.15">
      <c r="A936" s="9">
        <v>935</v>
      </c>
      <c r="B936" s="9" t="s">
        <v>9</v>
      </c>
      <c r="C936" s="9">
        <v>1927</v>
      </c>
      <c r="D936" s="10">
        <v>45729</v>
      </c>
      <c r="E936" s="11" t="str">
        <f>+HYPERLINK("http://trademark.i-assist.jp/data/china/image_1927th/82320978.pdf","82320978")</f>
        <v>82320978</v>
      </c>
      <c r="F936" s="9" t="s">
        <v>2731</v>
      </c>
      <c r="G936" s="12" t="s">
        <v>2732</v>
      </c>
      <c r="H936" s="9" t="s">
        <v>2733</v>
      </c>
      <c r="I936" s="10">
        <v>45629</v>
      </c>
    </row>
    <row r="937" spans="1:9" x14ac:dyDescent="0.15">
      <c r="A937" s="9">
        <v>936</v>
      </c>
      <c r="B937" s="9" t="s">
        <v>9</v>
      </c>
      <c r="C937" s="9">
        <v>1927</v>
      </c>
      <c r="D937" s="10">
        <v>45729</v>
      </c>
      <c r="E937" s="11" t="str">
        <f>+HYPERLINK("http://trademark.i-assist.jp/data/china/image_1927th/82321106.pdf","82321106")</f>
        <v>82321106</v>
      </c>
      <c r="F937" s="9" t="s">
        <v>2734</v>
      </c>
      <c r="G937" s="12" t="s">
        <v>2594</v>
      </c>
      <c r="H937" s="12" t="s">
        <v>2735</v>
      </c>
      <c r="I937" s="10">
        <v>45629</v>
      </c>
    </row>
    <row r="938" spans="1:9" x14ac:dyDescent="0.15">
      <c r="A938" s="9">
        <v>937</v>
      </c>
      <c r="B938" s="9" t="s">
        <v>9</v>
      </c>
      <c r="C938" s="9">
        <v>1927</v>
      </c>
      <c r="D938" s="10">
        <v>45729</v>
      </c>
      <c r="E938" s="11" t="str">
        <f>+HYPERLINK("http://trademark.i-assist.jp/data/china/image_1927th/82321297.pdf","82321297")</f>
        <v>82321297</v>
      </c>
      <c r="F938" s="9" t="s">
        <v>2736</v>
      </c>
      <c r="G938" s="12" t="s">
        <v>2553</v>
      </c>
      <c r="H938" s="9" t="s">
        <v>2737</v>
      </c>
      <c r="I938" s="10">
        <v>45629</v>
      </c>
    </row>
    <row r="939" spans="1:9" x14ac:dyDescent="0.15">
      <c r="A939" s="9">
        <v>938</v>
      </c>
      <c r="B939" s="9" t="s">
        <v>9</v>
      </c>
      <c r="C939" s="9">
        <v>1927</v>
      </c>
      <c r="D939" s="10">
        <v>45729</v>
      </c>
      <c r="E939" s="11" t="str">
        <f>+HYPERLINK("http://trademark.i-assist.jp/data/china/image_1927th/82321488.pdf","82321488")</f>
        <v>82321488</v>
      </c>
      <c r="F939" s="9" t="s">
        <v>2738</v>
      </c>
      <c r="G939" s="9" t="s">
        <v>2739</v>
      </c>
      <c r="H939" s="9" t="s">
        <v>2740</v>
      </c>
      <c r="I939" s="10">
        <v>45629</v>
      </c>
    </row>
    <row r="940" spans="1:9" x14ac:dyDescent="0.15">
      <c r="A940" s="9">
        <v>939</v>
      </c>
      <c r="B940" s="9" t="s">
        <v>9</v>
      </c>
      <c r="C940" s="9">
        <v>1927</v>
      </c>
      <c r="D940" s="10">
        <v>45729</v>
      </c>
      <c r="E940" s="11" t="str">
        <f>+HYPERLINK("http://trademark.i-assist.jp/data/china/image_1927th/82321549.pdf","82321549")</f>
        <v>82321549</v>
      </c>
      <c r="F940" s="9" t="s">
        <v>2741</v>
      </c>
      <c r="G940" s="12" t="s">
        <v>2742</v>
      </c>
      <c r="H940" s="9" t="s">
        <v>2743</v>
      </c>
      <c r="I940" s="10">
        <v>45629</v>
      </c>
    </row>
    <row r="941" spans="1:9" x14ac:dyDescent="0.15">
      <c r="A941" s="9">
        <v>940</v>
      </c>
      <c r="B941" s="9" t="s">
        <v>9</v>
      </c>
      <c r="C941" s="9">
        <v>1927</v>
      </c>
      <c r="D941" s="10">
        <v>45729</v>
      </c>
      <c r="E941" s="11" t="str">
        <f>+HYPERLINK("http://trademark.i-assist.jp/data/china/image_1927th/82322009.pdf","82322009")</f>
        <v>82322009</v>
      </c>
      <c r="F941" s="9" t="s">
        <v>2744</v>
      </c>
      <c r="G941" s="9" t="s">
        <v>99</v>
      </c>
      <c r="H941" s="9" t="s">
        <v>2745</v>
      </c>
      <c r="I941" s="10">
        <v>45629</v>
      </c>
    </row>
    <row r="942" spans="1:9" x14ac:dyDescent="0.15">
      <c r="A942" s="9">
        <v>941</v>
      </c>
      <c r="B942" s="9" t="s">
        <v>9</v>
      </c>
      <c r="C942" s="9">
        <v>1927</v>
      </c>
      <c r="D942" s="10">
        <v>45729</v>
      </c>
      <c r="E942" s="11" t="str">
        <f>+HYPERLINK("http://trademark.i-assist.jp/data/china/image_1927th/82322498.pdf","82322498")</f>
        <v>82322498</v>
      </c>
      <c r="F942" s="9" t="s">
        <v>2746</v>
      </c>
      <c r="G942" s="9" t="s">
        <v>28</v>
      </c>
      <c r="H942" s="9" t="s">
        <v>2747</v>
      </c>
      <c r="I942" s="10">
        <v>45629</v>
      </c>
    </row>
    <row r="943" spans="1:9" x14ac:dyDescent="0.15">
      <c r="A943" s="9">
        <v>942</v>
      </c>
      <c r="B943" s="9" t="s">
        <v>9</v>
      </c>
      <c r="C943" s="9">
        <v>1927</v>
      </c>
      <c r="D943" s="10">
        <v>45729</v>
      </c>
      <c r="E943" s="11" t="str">
        <f>+HYPERLINK("http://trademark.i-assist.jp/data/china/image_1927th/82322590.pdf","82322590")</f>
        <v>82322590</v>
      </c>
      <c r="F943" s="9" t="s">
        <v>2748</v>
      </c>
      <c r="G943" s="9" t="s">
        <v>2749</v>
      </c>
      <c r="H943" s="9" t="s">
        <v>2750</v>
      </c>
      <c r="I943" s="10">
        <v>45629</v>
      </c>
    </row>
    <row r="944" spans="1:9" x14ac:dyDescent="0.15">
      <c r="A944" s="9">
        <v>943</v>
      </c>
      <c r="B944" s="9" t="s">
        <v>9</v>
      </c>
      <c r="C944" s="9">
        <v>1927</v>
      </c>
      <c r="D944" s="10">
        <v>45729</v>
      </c>
      <c r="E944" s="11" t="str">
        <f>+HYPERLINK("http://trademark.i-assist.jp/data/china/image_1927th/82323049.pdf","82323049")</f>
        <v>82323049</v>
      </c>
      <c r="F944" s="9" t="s">
        <v>2751</v>
      </c>
      <c r="G944" s="9" t="s">
        <v>173</v>
      </c>
      <c r="H944" s="9" t="s">
        <v>2752</v>
      </c>
      <c r="I944" s="10">
        <v>45629</v>
      </c>
    </row>
    <row r="945" spans="1:9" x14ac:dyDescent="0.15">
      <c r="A945" s="9">
        <v>944</v>
      </c>
      <c r="B945" s="9" t="s">
        <v>9</v>
      </c>
      <c r="C945" s="9">
        <v>1927</v>
      </c>
      <c r="D945" s="10">
        <v>45729</v>
      </c>
      <c r="E945" s="11" t="str">
        <f>+HYPERLINK("http://trademark.i-assist.jp/data/china/image_1927th/82323279.pdf","82323279")</f>
        <v>82323279</v>
      </c>
      <c r="F945" s="9" t="s">
        <v>2753</v>
      </c>
      <c r="G945" s="9" t="s">
        <v>2754</v>
      </c>
      <c r="H945" s="9" t="s">
        <v>2755</v>
      </c>
      <c r="I945" s="10">
        <v>45629</v>
      </c>
    </row>
    <row r="946" spans="1:9" x14ac:dyDescent="0.15">
      <c r="A946" s="9">
        <v>945</v>
      </c>
      <c r="B946" s="9" t="s">
        <v>9</v>
      </c>
      <c r="C946" s="9">
        <v>1927</v>
      </c>
      <c r="D946" s="10">
        <v>45729</v>
      </c>
      <c r="E946" s="11" t="str">
        <f>+HYPERLINK("http://trademark.i-assist.jp/data/china/image_1927th/82323891.pdf","82323891")</f>
        <v>82323891</v>
      </c>
      <c r="F946" s="9" t="s">
        <v>2756</v>
      </c>
      <c r="G946" s="9" t="s">
        <v>202</v>
      </c>
      <c r="H946" s="9" t="s">
        <v>2757</v>
      </c>
      <c r="I946" s="10">
        <v>45629</v>
      </c>
    </row>
    <row r="947" spans="1:9" x14ac:dyDescent="0.15">
      <c r="A947" s="9">
        <v>946</v>
      </c>
      <c r="B947" s="9" t="s">
        <v>9</v>
      </c>
      <c r="C947" s="9">
        <v>1927</v>
      </c>
      <c r="D947" s="10">
        <v>45729</v>
      </c>
      <c r="E947" s="11" t="str">
        <f>+HYPERLINK("http://trademark.i-assist.jp/data/china/image_1927th/82323894.pdf","82323894")</f>
        <v>82323894</v>
      </c>
      <c r="F947" s="9" t="s">
        <v>2758</v>
      </c>
      <c r="G947" s="9" t="s">
        <v>202</v>
      </c>
      <c r="H947" s="9" t="s">
        <v>2759</v>
      </c>
      <c r="I947" s="10">
        <v>45629</v>
      </c>
    </row>
    <row r="948" spans="1:9" x14ac:dyDescent="0.15">
      <c r="A948" s="9">
        <v>947</v>
      </c>
      <c r="B948" s="9" t="s">
        <v>9</v>
      </c>
      <c r="C948" s="9">
        <v>1927</v>
      </c>
      <c r="D948" s="10">
        <v>45729</v>
      </c>
      <c r="E948" s="11" t="str">
        <f>+HYPERLINK("http://trademark.i-assist.jp/data/china/image_1927th/82323916.pdf","82323916")</f>
        <v>82323916</v>
      </c>
      <c r="F948" s="9" t="s">
        <v>2760</v>
      </c>
      <c r="G948" s="9" t="s">
        <v>2761</v>
      </c>
      <c r="H948" s="9" t="s">
        <v>2762</v>
      </c>
      <c r="I948" s="10">
        <v>45629</v>
      </c>
    </row>
    <row r="949" spans="1:9" x14ac:dyDescent="0.15">
      <c r="A949" s="9">
        <v>948</v>
      </c>
      <c r="B949" s="9" t="s">
        <v>9</v>
      </c>
      <c r="C949" s="9">
        <v>1927</v>
      </c>
      <c r="D949" s="10">
        <v>45729</v>
      </c>
      <c r="E949" s="11" t="str">
        <f>+HYPERLINK("http://trademark.i-assist.jp/data/china/image_1927th/82323925.pdf","82323925")</f>
        <v>82323925</v>
      </c>
      <c r="F949" s="9" t="s">
        <v>2763</v>
      </c>
      <c r="G949" s="12" t="s">
        <v>2764</v>
      </c>
      <c r="H949" s="9" t="s">
        <v>2765</v>
      </c>
      <c r="I949" s="10">
        <v>45629</v>
      </c>
    </row>
    <row r="950" spans="1:9" x14ac:dyDescent="0.15">
      <c r="A950" s="9">
        <v>949</v>
      </c>
      <c r="B950" s="9" t="s">
        <v>9</v>
      </c>
      <c r="C950" s="9">
        <v>1927</v>
      </c>
      <c r="D950" s="10">
        <v>45729</v>
      </c>
      <c r="E950" s="11" t="str">
        <f>+HYPERLINK("http://trademark.i-assist.jp/data/china/image_1927th/82324093.pdf","82324093")</f>
        <v>82324093</v>
      </c>
      <c r="F950" s="9" t="s">
        <v>2766</v>
      </c>
      <c r="G950" s="12" t="s">
        <v>2767</v>
      </c>
      <c r="H950" s="9" t="s">
        <v>2768</v>
      </c>
      <c r="I950" s="10">
        <v>45629</v>
      </c>
    </row>
    <row r="951" spans="1:9" x14ac:dyDescent="0.15">
      <c r="A951" s="9">
        <v>950</v>
      </c>
      <c r="B951" s="9" t="s">
        <v>9</v>
      </c>
      <c r="C951" s="9">
        <v>1927</v>
      </c>
      <c r="D951" s="10">
        <v>45729</v>
      </c>
      <c r="E951" s="11" t="str">
        <f>+HYPERLINK("http://trademark.i-assist.jp/data/china/image_1927th/82324456.pdf","82324456")</f>
        <v>82324456</v>
      </c>
      <c r="F951" s="9" t="s">
        <v>2769</v>
      </c>
      <c r="G951" s="9" t="s">
        <v>162</v>
      </c>
      <c r="H951" s="9" t="s">
        <v>2770</v>
      </c>
      <c r="I951" s="10">
        <v>45629</v>
      </c>
    </row>
    <row r="952" spans="1:9" x14ac:dyDescent="0.15">
      <c r="A952" s="9">
        <v>951</v>
      </c>
      <c r="B952" s="9" t="s">
        <v>9</v>
      </c>
      <c r="C952" s="9">
        <v>1927</v>
      </c>
      <c r="D952" s="10">
        <v>45729</v>
      </c>
      <c r="E952" s="11" t="str">
        <f>+HYPERLINK("http://trademark.i-assist.jp/data/china/image_1927th/82324509.pdf","82324509")</f>
        <v>82324509</v>
      </c>
      <c r="F952" s="12" t="s">
        <v>2771</v>
      </c>
      <c r="G952" s="9" t="s">
        <v>2772</v>
      </c>
      <c r="H952" s="9" t="s">
        <v>2773</v>
      </c>
      <c r="I952" s="10">
        <v>45629</v>
      </c>
    </row>
    <row r="953" spans="1:9" x14ac:dyDescent="0.15">
      <c r="A953" s="9">
        <v>952</v>
      </c>
      <c r="B953" s="9" t="s">
        <v>9</v>
      </c>
      <c r="C953" s="9">
        <v>1927</v>
      </c>
      <c r="D953" s="10">
        <v>45729</v>
      </c>
      <c r="E953" s="11" t="str">
        <f>+HYPERLINK("http://trademark.i-assist.jp/data/china/image_1927th/82324674.pdf","82324674")</f>
        <v>82324674</v>
      </c>
      <c r="F953" s="9" t="s">
        <v>2774</v>
      </c>
      <c r="G953" s="9" t="s">
        <v>2775</v>
      </c>
      <c r="H953" s="9" t="s">
        <v>2776</v>
      </c>
      <c r="I953" s="10">
        <v>45629</v>
      </c>
    </row>
    <row r="954" spans="1:9" x14ac:dyDescent="0.15">
      <c r="A954" s="9">
        <v>953</v>
      </c>
      <c r="B954" s="9" t="s">
        <v>9</v>
      </c>
      <c r="C954" s="9">
        <v>1927</v>
      </c>
      <c r="D954" s="10">
        <v>45729</v>
      </c>
      <c r="E954" s="11" t="str">
        <f>+HYPERLINK("http://trademark.i-assist.jp/data/china/image_1927th/82324770.pdf","82324770")</f>
        <v>82324770</v>
      </c>
      <c r="F954" s="9" t="s">
        <v>2662</v>
      </c>
      <c r="G954" s="9" t="s">
        <v>2663</v>
      </c>
      <c r="H954" s="9" t="s">
        <v>2777</v>
      </c>
      <c r="I954" s="10">
        <v>45629</v>
      </c>
    </row>
    <row r="955" spans="1:9" x14ac:dyDescent="0.15">
      <c r="A955" s="9">
        <v>954</v>
      </c>
      <c r="B955" s="9" t="s">
        <v>9</v>
      </c>
      <c r="C955" s="9">
        <v>1927</v>
      </c>
      <c r="D955" s="10">
        <v>45729</v>
      </c>
      <c r="E955" s="11" t="str">
        <f>+HYPERLINK("http://trademark.i-assist.jp/data/china/image_1927th/82324975.pdf","82324975")</f>
        <v>82324975</v>
      </c>
      <c r="F955" s="9" t="s">
        <v>2778</v>
      </c>
      <c r="G955" s="12" t="s">
        <v>2779</v>
      </c>
      <c r="H955" s="9" t="s">
        <v>2780</v>
      </c>
      <c r="I955" s="10">
        <v>45629</v>
      </c>
    </row>
    <row r="956" spans="1:9" x14ac:dyDescent="0.15">
      <c r="A956" s="9">
        <v>955</v>
      </c>
      <c r="B956" s="9" t="s">
        <v>9</v>
      </c>
      <c r="C956" s="9">
        <v>1927</v>
      </c>
      <c r="D956" s="10">
        <v>45729</v>
      </c>
      <c r="E956" s="11" t="str">
        <f>+HYPERLINK("http://trademark.i-assist.jp/data/china/image_1927th/82325143.pdf","82325143")</f>
        <v>82325143</v>
      </c>
      <c r="F956" s="9" t="s">
        <v>2781</v>
      </c>
      <c r="G956" s="9" t="s">
        <v>2782</v>
      </c>
      <c r="H956" s="9" t="s">
        <v>2783</v>
      </c>
      <c r="I956" s="10">
        <v>45629</v>
      </c>
    </row>
    <row r="957" spans="1:9" x14ac:dyDescent="0.15">
      <c r="A957" s="9">
        <v>956</v>
      </c>
      <c r="B957" s="9" t="s">
        <v>9</v>
      </c>
      <c r="C957" s="9">
        <v>1927</v>
      </c>
      <c r="D957" s="10">
        <v>45729</v>
      </c>
      <c r="E957" s="11" t="str">
        <f>+HYPERLINK("http://trademark.i-assist.jp/data/china/image_1927th/82325148.pdf","82325148")</f>
        <v>82325148</v>
      </c>
      <c r="F957" s="9" t="s">
        <v>2784</v>
      </c>
      <c r="G957" s="9" t="s">
        <v>2785</v>
      </c>
      <c r="H957" s="9" t="s">
        <v>2786</v>
      </c>
      <c r="I957" s="10">
        <v>45629</v>
      </c>
    </row>
    <row r="958" spans="1:9" x14ac:dyDescent="0.15">
      <c r="A958" s="9">
        <v>957</v>
      </c>
      <c r="B958" s="9" t="s">
        <v>9</v>
      </c>
      <c r="C958" s="9">
        <v>1927</v>
      </c>
      <c r="D958" s="10">
        <v>45729</v>
      </c>
      <c r="E958" s="11" t="str">
        <f>+HYPERLINK("http://trademark.i-assist.jp/data/china/image_1927th/82325389.pdf","82325389")</f>
        <v>82325389</v>
      </c>
      <c r="F958" s="9" t="s">
        <v>2787</v>
      </c>
      <c r="G958" s="9" t="s">
        <v>2694</v>
      </c>
      <c r="H958" s="9" t="s">
        <v>2788</v>
      </c>
      <c r="I958" s="10">
        <v>45629</v>
      </c>
    </row>
    <row r="959" spans="1:9" x14ac:dyDescent="0.15">
      <c r="A959" s="9">
        <v>958</v>
      </c>
      <c r="B959" s="9" t="s">
        <v>9</v>
      </c>
      <c r="C959" s="9">
        <v>1927</v>
      </c>
      <c r="D959" s="10">
        <v>45729</v>
      </c>
      <c r="E959" s="11" t="str">
        <f>+HYPERLINK("http://trademark.i-assist.jp/data/china/image_1927th/82325440.pdf","82325440")</f>
        <v>82325440</v>
      </c>
      <c r="F959" s="9" t="s">
        <v>2789</v>
      </c>
      <c r="G959" s="9" t="s">
        <v>2790</v>
      </c>
      <c r="H959" s="9" t="s">
        <v>2791</v>
      </c>
      <c r="I959" s="10">
        <v>45629</v>
      </c>
    </row>
    <row r="960" spans="1:9" x14ac:dyDescent="0.15">
      <c r="A960" s="9">
        <v>959</v>
      </c>
      <c r="B960" s="9" t="s">
        <v>9</v>
      </c>
      <c r="C960" s="9">
        <v>1927</v>
      </c>
      <c r="D960" s="10">
        <v>45729</v>
      </c>
      <c r="E960" s="11" t="str">
        <f>+HYPERLINK("http://trademark.i-assist.jp/data/china/image_1927th/82325552.pdf","82325552")</f>
        <v>82325552</v>
      </c>
      <c r="F960" s="9" t="s">
        <v>2792</v>
      </c>
      <c r="G960" s="9" t="s">
        <v>2793</v>
      </c>
      <c r="H960" s="9" t="s">
        <v>2794</v>
      </c>
      <c r="I960" s="10">
        <v>45629</v>
      </c>
    </row>
    <row r="961" spans="1:9" x14ac:dyDescent="0.15">
      <c r="A961" s="9">
        <v>960</v>
      </c>
      <c r="B961" s="9" t="s">
        <v>9</v>
      </c>
      <c r="C961" s="9">
        <v>1927</v>
      </c>
      <c r="D961" s="10">
        <v>45729</v>
      </c>
      <c r="E961" s="11" t="str">
        <f>+HYPERLINK("http://trademark.i-assist.jp/data/china/image_1927th/82325568.pdf","82325568")</f>
        <v>82325568</v>
      </c>
      <c r="F961" s="9" t="s">
        <v>2795</v>
      </c>
      <c r="G961" s="9" t="s">
        <v>2796</v>
      </c>
      <c r="H961" s="9" t="s">
        <v>2797</v>
      </c>
      <c r="I961" s="10">
        <v>45629</v>
      </c>
    </row>
    <row r="962" spans="1:9" x14ac:dyDescent="0.15">
      <c r="A962" s="9">
        <v>961</v>
      </c>
      <c r="B962" s="9" t="s">
        <v>9</v>
      </c>
      <c r="C962" s="9">
        <v>1927</v>
      </c>
      <c r="D962" s="10">
        <v>45729</v>
      </c>
      <c r="E962" s="11" t="str">
        <f>+HYPERLINK("http://trademark.i-assist.jp/data/china/image_1927th/82325597.pdf","82325597")</f>
        <v>82325597</v>
      </c>
      <c r="F962" s="9" t="s">
        <v>2798</v>
      </c>
      <c r="G962" s="9" t="s">
        <v>68</v>
      </c>
      <c r="H962" s="9" t="s">
        <v>2799</v>
      </c>
      <c r="I962" s="10">
        <v>45629</v>
      </c>
    </row>
    <row r="963" spans="1:9" x14ac:dyDescent="0.15">
      <c r="A963" s="9">
        <v>962</v>
      </c>
      <c r="B963" s="9" t="s">
        <v>9</v>
      </c>
      <c r="C963" s="9">
        <v>1927</v>
      </c>
      <c r="D963" s="10">
        <v>45729</v>
      </c>
      <c r="E963" s="11" t="str">
        <f>+HYPERLINK("http://trademark.i-assist.jp/data/china/image_1927th/82325742.pdf","82325742")</f>
        <v>82325742</v>
      </c>
      <c r="F963" s="12" t="s">
        <v>2800</v>
      </c>
      <c r="G963" s="12" t="s">
        <v>163</v>
      </c>
      <c r="H963" s="9" t="s">
        <v>2801</v>
      </c>
      <c r="I963" s="10">
        <v>45629</v>
      </c>
    </row>
    <row r="964" spans="1:9" x14ac:dyDescent="0.15">
      <c r="A964" s="9">
        <v>963</v>
      </c>
      <c r="B964" s="9" t="s">
        <v>9</v>
      </c>
      <c r="C964" s="9">
        <v>1927</v>
      </c>
      <c r="D964" s="10">
        <v>45729</v>
      </c>
      <c r="E964" s="11" t="str">
        <f>+HYPERLINK("http://trademark.i-assist.jp/data/china/image_1927th/82327397.pdf","82327397")</f>
        <v>82327397</v>
      </c>
      <c r="F964" s="9" t="s">
        <v>2802</v>
      </c>
      <c r="G964" s="9" t="s">
        <v>2803</v>
      </c>
      <c r="H964" s="12" t="s">
        <v>2804</v>
      </c>
      <c r="I964" s="10">
        <v>45629</v>
      </c>
    </row>
    <row r="965" spans="1:9" x14ac:dyDescent="0.15">
      <c r="A965" s="9">
        <v>964</v>
      </c>
      <c r="B965" s="9" t="s">
        <v>9</v>
      </c>
      <c r="C965" s="9">
        <v>1927</v>
      </c>
      <c r="D965" s="10">
        <v>45729</v>
      </c>
      <c r="E965" s="11" t="str">
        <f>+HYPERLINK("http://trademark.i-assist.jp/data/china/image_1927th/82327491.pdf","82327491")</f>
        <v>82327491</v>
      </c>
      <c r="F965" s="9" t="s">
        <v>2805</v>
      </c>
      <c r="G965" s="9" t="s">
        <v>2806</v>
      </c>
      <c r="H965" s="9" t="s">
        <v>2807</v>
      </c>
      <c r="I965" s="10">
        <v>45629</v>
      </c>
    </row>
    <row r="966" spans="1:9" x14ac:dyDescent="0.15">
      <c r="A966" s="9">
        <v>965</v>
      </c>
      <c r="B966" s="9" t="s">
        <v>9</v>
      </c>
      <c r="C966" s="9">
        <v>1927</v>
      </c>
      <c r="D966" s="10">
        <v>45729</v>
      </c>
      <c r="E966" s="11" t="str">
        <f>+HYPERLINK("http://trademark.i-assist.jp/data/china/image_1927th/82327752.pdf","82327752")</f>
        <v>82327752</v>
      </c>
      <c r="F966" s="9" t="s">
        <v>2808</v>
      </c>
      <c r="G966" s="12" t="s">
        <v>2809</v>
      </c>
      <c r="H966" s="9" t="s">
        <v>2810</v>
      </c>
      <c r="I966" s="10">
        <v>45629</v>
      </c>
    </row>
    <row r="967" spans="1:9" x14ac:dyDescent="0.15">
      <c r="A967" s="9">
        <v>966</v>
      </c>
      <c r="B967" s="9" t="s">
        <v>9</v>
      </c>
      <c r="C967" s="9">
        <v>1927</v>
      </c>
      <c r="D967" s="10">
        <v>45729</v>
      </c>
      <c r="E967" s="11" t="str">
        <f>+HYPERLINK("http://trademark.i-assist.jp/data/china/image_1927th/82327881.pdf","82327881")</f>
        <v>82327881</v>
      </c>
      <c r="F967" s="9" t="s">
        <v>2811</v>
      </c>
      <c r="G967" s="9" t="s">
        <v>2812</v>
      </c>
      <c r="H967" s="12" t="s">
        <v>2813</v>
      </c>
      <c r="I967" s="10">
        <v>45629</v>
      </c>
    </row>
    <row r="968" spans="1:9" x14ac:dyDescent="0.15">
      <c r="A968" s="9">
        <v>967</v>
      </c>
      <c r="B968" s="9" t="s">
        <v>9</v>
      </c>
      <c r="C968" s="9">
        <v>1927</v>
      </c>
      <c r="D968" s="10">
        <v>45729</v>
      </c>
      <c r="E968" s="11" t="str">
        <f>+HYPERLINK("http://trademark.i-assist.jp/data/china/image_1927th/82328046.pdf","82328046")</f>
        <v>82328046</v>
      </c>
      <c r="F968" s="12" t="s">
        <v>2814</v>
      </c>
      <c r="G968" s="9" t="s">
        <v>2815</v>
      </c>
      <c r="H968" s="9" t="s">
        <v>2816</v>
      </c>
      <c r="I968" s="10">
        <v>45629</v>
      </c>
    </row>
    <row r="969" spans="1:9" x14ac:dyDescent="0.15">
      <c r="A969" s="9">
        <v>968</v>
      </c>
      <c r="B969" s="9" t="s">
        <v>9</v>
      </c>
      <c r="C969" s="9">
        <v>1927</v>
      </c>
      <c r="D969" s="10">
        <v>45729</v>
      </c>
      <c r="E969" s="11" t="str">
        <f>+HYPERLINK("http://trademark.i-assist.jp/data/china/image_1927th/82328200.pdf","82328200")</f>
        <v>82328200</v>
      </c>
      <c r="F969" s="9" t="s">
        <v>2817</v>
      </c>
      <c r="G969" s="9" t="s">
        <v>2818</v>
      </c>
      <c r="H969" s="9" t="s">
        <v>2819</v>
      </c>
      <c r="I969" s="10">
        <v>45629</v>
      </c>
    </row>
    <row r="970" spans="1:9" x14ac:dyDescent="0.15">
      <c r="A970" s="9">
        <v>969</v>
      </c>
      <c r="B970" s="9" t="s">
        <v>9</v>
      </c>
      <c r="C970" s="9">
        <v>1927</v>
      </c>
      <c r="D970" s="10">
        <v>45729</v>
      </c>
      <c r="E970" s="11" t="str">
        <f>+HYPERLINK("http://trademark.i-assist.jp/data/china/image_1927th/82328238.pdf","82328238")</f>
        <v>82328238</v>
      </c>
      <c r="F970" s="9" t="s">
        <v>2820</v>
      </c>
      <c r="G970" s="9" t="s">
        <v>67</v>
      </c>
      <c r="H970" s="9" t="s">
        <v>2821</v>
      </c>
      <c r="I970" s="10">
        <v>45629</v>
      </c>
    </row>
    <row r="971" spans="1:9" x14ac:dyDescent="0.15">
      <c r="A971" s="9">
        <v>970</v>
      </c>
      <c r="B971" s="9" t="s">
        <v>9</v>
      </c>
      <c r="C971" s="9">
        <v>1927</v>
      </c>
      <c r="D971" s="10">
        <v>45729</v>
      </c>
      <c r="E971" s="11" t="str">
        <f>+HYPERLINK("http://trademark.i-assist.jp/data/china/image_1927th/82328542.pdf","82328542")</f>
        <v>82328542</v>
      </c>
      <c r="F971" s="9" t="s">
        <v>2822</v>
      </c>
      <c r="G971" s="9" t="s">
        <v>2823</v>
      </c>
      <c r="H971" s="9" t="s">
        <v>2824</v>
      </c>
      <c r="I971" s="10">
        <v>45629</v>
      </c>
    </row>
    <row r="972" spans="1:9" x14ac:dyDescent="0.15">
      <c r="A972" s="9">
        <v>971</v>
      </c>
      <c r="B972" s="9" t="s">
        <v>9</v>
      </c>
      <c r="C972" s="9">
        <v>1927</v>
      </c>
      <c r="D972" s="10">
        <v>45729</v>
      </c>
      <c r="E972" s="11" t="str">
        <f>+HYPERLINK("http://trademark.i-assist.jp/data/china/image_1927th/82328665.pdf","82328665")</f>
        <v>82328665</v>
      </c>
      <c r="F972" s="9" t="s">
        <v>2825</v>
      </c>
      <c r="G972" s="9" t="s">
        <v>2826</v>
      </c>
      <c r="H972" s="9" t="s">
        <v>2827</v>
      </c>
      <c r="I972" s="10">
        <v>45629</v>
      </c>
    </row>
    <row r="973" spans="1:9" x14ac:dyDescent="0.15">
      <c r="A973" s="9">
        <v>972</v>
      </c>
      <c r="B973" s="9" t="s">
        <v>9</v>
      </c>
      <c r="C973" s="9">
        <v>1927</v>
      </c>
      <c r="D973" s="10">
        <v>45729</v>
      </c>
      <c r="E973" s="11" t="str">
        <f>+HYPERLINK("http://trademark.i-assist.jp/data/china/image_1927th/82329383.pdf","82329383")</f>
        <v>82329383</v>
      </c>
      <c r="F973" s="9" t="s">
        <v>2828</v>
      </c>
      <c r="G973" s="9" t="s">
        <v>2529</v>
      </c>
      <c r="H973" s="9" t="s">
        <v>2829</v>
      </c>
      <c r="I973" s="10">
        <v>45629</v>
      </c>
    </row>
    <row r="974" spans="1:9" x14ac:dyDescent="0.15">
      <c r="A974" s="9">
        <v>973</v>
      </c>
      <c r="B974" s="9" t="s">
        <v>9</v>
      </c>
      <c r="C974" s="9">
        <v>1927</v>
      </c>
      <c r="D974" s="10">
        <v>45729</v>
      </c>
      <c r="E974" s="11" t="str">
        <f>+HYPERLINK("http://trademark.i-assist.jp/data/china/image_1927th/82329441.pdf","82329441")</f>
        <v>82329441</v>
      </c>
      <c r="F974" s="9" t="s">
        <v>2830</v>
      </c>
      <c r="G974" s="9" t="s">
        <v>2831</v>
      </c>
      <c r="H974" s="9" t="s">
        <v>2832</v>
      </c>
      <c r="I974" s="10">
        <v>45629</v>
      </c>
    </row>
    <row r="975" spans="1:9" x14ac:dyDescent="0.15">
      <c r="A975" s="9">
        <v>974</v>
      </c>
      <c r="B975" s="9" t="s">
        <v>9</v>
      </c>
      <c r="C975" s="9">
        <v>1927</v>
      </c>
      <c r="D975" s="10">
        <v>45729</v>
      </c>
      <c r="E975" s="11" t="str">
        <f>+HYPERLINK("http://trademark.i-assist.jp/data/china/image_1927th/82329476.pdf","82329476")</f>
        <v>82329476</v>
      </c>
      <c r="F975" s="9" t="s">
        <v>2833</v>
      </c>
      <c r="G975" s="9" t="s">
        <v>162</v>
      </c>
      <c r="H975" s="12" t="s">
        <v>2834</v>
      </c>
      <c r="I975" s="10">
        <v>45629</v>
      </c>
    </row>
    <row r="976" spans="1:9" x14ac:dyDescent="0.15">
      <c r="A976" s="9">
        <v>975</v>
      </c>
      <c r="B976" s="9" t="s">
        <v>9</v>
      </c>
      <c r="C976" s="9">
        <v>1927</v>
      </c>
      <c r="D976" s="10">
        <v>45729</v>
      </c>
      <c r="E976" s="11" t="str">
        <f>+HYPERLINK("http://trademark.i-assist.jp/data/china/image_1927th/82330181.pdf","82330181")</f>
        <v>82330181</v>
      </c>
      <c r="F976" s="9" t="s">
        <v>2835</v>
      </c>
      <c r="G976" s="12" t="s">
        <v>2553</v>
      </c>
      <c r="H976" s="12" t="s">
        <v>2836</v>
      </c>
      <c r="I976" s="10">
        <v>45629</v>
      </c>
    </row>
    <row r="977" spans="1:9" x14ac:dyDescent="0.15">
      <c r="A977" s="9">
        <v>976</v>
      </c>
      <c r="B977" s="9" t="s">
        <v>9</v>
      </c>
      <c r="C977" s="9">
        <v>1927</v>
      </c>
      <c r="D977" s="10">
        <v>45729</v>
      </c>
      <c r="E977" s="11" t="str">
        <f>+HYPERLINK("http://trademark.i-assist.jp/data/china/image_1927th/82330197.pdf","82330197")</f>
        <v>82330197</v>
      </c>
      <c r="F977" s="9" t="s">
        <v>2837</v>
      </c>
      <c r="G977" s="12" t="s">
        <v>2553</v>
      </c>
      <c r="H977" s="12" t="s">
        <v>2838</v>
      </c>
      <c r="I977" s="10">
        <v>45629</v>
      </c>
    </row>
    <row r="978" spans="1:9" x14ac:dyDescent="0.15">
      <c r="A978" s="9">
        <v>977</v>
      </c>
      <c r="B978" s="9" t="s">
        <v>9</v>
      </c>
      <c r="C978" s="9">
        <v>1927</v>
      </c>
      <c r="D978" s="10">
        <v>45729</v>
      </c>
      <c r="E978" s="11" t="str">
        <f>+HYPERLINK("http://trademark.i-assist.jp/data/china/image_1927th/82331059.pdf","82331059")</f>
        <v>82331059</v>
      </c>
      <c r="F978" s="9" t="s">
        <v>2839</v>
      </c>
      <c r="G978" s="9" t="s">
        <v>2591</v>
      </c>
      <c r="H978" s="9" t="s">
        <v>2840</v>
      </c>
      <c r="I978" s="10">
        <v>45629</v>
      </c>
    </row>
    <row r="979" spans="1:9" x14ac:dyDescent="0.15">
      <c r="A979" s="9">
        <v>978</v>
      </c>
      <c r="B979" s="9" t="s">
        <v>9</v>
      </c>
      <c r="C979" s="9">
        <v>1927</v>
      </c>
      <c r="D979" s="10">
        <v>45729</v>
      </c>
      <c r="E979" s="11" t="str">
        <f>+HYPERLINK("http://trademark.i-assist.jp/data/china/image_1927th/82331679.pdf","82331679")</f>
        <v>82331679</v>
      </c>
      <c r="F979" s="9" t="s">
        <v>2841</v>
      </c>
      <c r="G979" s="9" t="s">
        <v>41</v>
      </c>
      <c r="H979" s="9" t="s">
        <v>2842</v>
      </c>
      <c r="I979" s="10">
        <v>45629</v>
      </c>
    </row>
    <row r="980" spans="1:9" x14ac:dyDescent="0.15">
      <c r="A980" s="9">
        <v>979</v>
      </c>
      <c r="B980" s="9" t="s">
        <v>9</v>
      </c>
      <c r="C980" s="9">
        <v>1927</v>
      </c>
      <c r="D980" s="10">
        <v>45729</v>
      </c>
      <c r="E980" s="11" t="str">
        <f>+HYPERLINK("http://trademark.i-assist.jp/data/china/image_1927th/82331770.pdf","82331770")</f>
        <v>82331770</v>
      </c>
      <c r="F980" s="9" t="s">
        <v>2843</v>
      </c>
      <c r="G980" s="9" t="s">
        <v>2844</v>
      </c>
      <c r="H980" s="9" t="s">
        <v>2845</v>
      </c>
      <c r="I980" s="10">
        <v>45629</v>
      </c>
    </row>
    <row r="981" spans="1:9" x14ac:dyDescent="0.15">
      <c r="A981" s="9">
        <v>980</v>
      </c>
      <c r="B981" s="9" t="s">
        <v>9</v>
      </c>
      <c r="C981" s="9">
        <v>1927</v>
      </c>
      <c r="D981" s="10">
        <v>45729</v>
      </c>
      <c r="E981" s="11" t="str">
        <f>+HYPERLINK("http://trademark.i-assist.jp/data/china/image_1927th/82331827.pdf","82331827")</f>
        <v>82331827</v>
      </c>
      <c r="F981" s="9" t="s">
        <v>2846</v>
      </c>
      <c r="G981" s="9" t="s">
        <v>2847</v>
      </c>
      <c r="H981" s="9" t="s">
        <v>2848</v>
      </c>
      <c r="I981" s="10">
        <v>45629</v>
      </c>
    </row>
    <row r="982" spans="1:9" x14ac:dyDescent="0.15">
      <c r="A982" s="9">
        <v>981</v>
      </c>
      <c r="B982" s="9" t="s">
        <v>9</v>
      </c>
      <c r="C982" s="9">
        <v>1927</v>
      </c>
      <c r="D982" s="10">
        <v>45729</v>
      </c>
      <c r="E982" s="11" t="str">
        <f>+HYPERLINK("http://trademark.i-assist.jp/data/china/image_1927th/82332223.pdf","82332223")</f>
        <v>82332223</v>
      </c>
      <c r="F982" s="9" t="s">
        <v>2849</v>
      </c>
      <c r="G982" s="9" t="s">
        <v>2850</v>
      </c>
      <c r="H982" s="9" t="s">
        <v>2851</v>
      </c>
      <c r="I982" s="10">
        <v>45629</v>
      </c>
    </row>
    <row r="983" spans="1:9" x14ac:dyDescent="0.15">
      <c r="A983" s="9">
        <v>982</v>
      </c>
      <c r="B983" s="9" t="s">
        <v>9</v>
      </c>
      <c r="C983" s="9">
        <v>1927</v>
      </c>
      <c r="D983" s="10">
        <v>45729</v>
      </c>
      <c r="E983" s="11" t="str">
        <f>+HYPERLINK("http://trademark.i-assist.jp/data/china/image_1927th/82332252.pdf","82332252")</f>
        <v>82332252</v>
      </c>
      <c r="F983" s="9" t="s">
        <v>2852</v>
      </c>
      <c r="G983" s="9" t="s">
        <v>2853</v>
      </c>
      <c r="H983" s="9" t="s">
        <v>2854</v>
      </c>
      <c r="I983" s="10">
        <v>45629</v>
      </c>
    </row>
    <row r="984" spans="1:9" x14ac:dyDescent="0.15">
      <c r="A984" s="9">
        <v>983</v>
      </c>
      <c r="B984" s="9" t="s">
        <v>9</v>
      </c>
      <c r="C984" s="9">
        <v>1927</v>
      </c>
      <c r="D984" s="10">
        <v>45729</v>
      </c>
      <c r="E984" s="11" t="str">
        <f>+HYPERLINK("http://trademark.i-assist.jp/data/china/image_1927th/82332386.pdf","82332386")</f>
        <v>82332386</v>
      </c>
      <c r="F984" s="9" t="s">
        <v>2855</v>
      </c>
      <c r="G984" s="12" t="s">
        <v>2058</v>
      </c>
      <c r="H984" s="9" t="s">
        <v>2856</v>
      </c>
      <c r="I984" s="10">
        <v>45629</v>
      </c>
    </row>
    <row r="985" spans="1:9" x14ac:dyDescent="0.15">
      <c r="A985" s="9">
        <v>984</v>
      </c>
      <c r="B985" s="9" t="s">
        <v>9</v>
      </c>
      <c r="C985" s="9">
        <v>1927</v>
      </c>
      <c r="D985" s="10">
        <v>45729</v>
      </c>
      <c r="E985" s="11" t="str">
        <f>+HYPERLINK("http://trademark.i-assist.jp/data/china/image_1927th/82332425.pdf","82332425")</f>
        <v>82332425</v>
      </c>
      <c r="F985" s="9" t="s">
        <v>2857</v>
      </c>
      <c r="G985" s="9" t="s">
        <v>2858</v>
      </c>
      <c r="H985" s="9" t="s">
        <v>2859</v>
      </c>
      <c r="I985" s="10">
        <v>45629</v>
      </c>
    </row>
    <row r="986" spans="1:9" x14ac:dyDescent="0.15">
      <c r="A986" s="9">
        <v>985</v>
      </c>
      <c r="B986" s="9" t="s">
        <v>9</v>
      </c>
      <c r="C986" s="9">
        <v>1927</v>
      </c>
      <c r="D986" s="10">
        <v>45729</v>
      </c>
      <c r="E986" s="11" t="str">
        <f>+HYPERLINK("http://trademark.i-assist.jp/data/china/image_1927th/82332437.pdf","82332437")</f>
        <v>82332437</v>
      </c>
      <c r="F986" s="9" t="s">
        <v>2860</v>
      </c>
      <c r="G986" s="9" t="s">
        <v>162</v>
      </c>
      <c r="H986" s="9" t="s">
        <v>2861</v>
      </c>
      <c r="I986" s="10">
        <v>45629</v>
      </c>
    </row>
    <row r="987" spans="1:9" x14ac:dyDescent="0.15">
      <c r="A987" s="9">
        <v>986</v>
      </c>
      <c r="B987" s="9" t="s">
        <v>9</v>
      </c>
      <c r="C987" s="9">
        <v>1927</v>
      </c>
      <c r="D987" s="10">
        <v>45729</v>
      </c>
      <c r="E987" s="11" t="str">
        <f>+HYPERLINK("http://trademark.i-assist.jp/data/china/image_1927th/82332618.pdf","82332618")</f>
        <v>82332618</v>
      </c>
      <c r="F987" s="9" t="s">
        <v>2862</v>
      </c>
      <c r="G987" s="12" t="s">
        <v>2863</v>
      </c>
      <c r="H987" s="9" t="s">
        <v>2864</v>
      </c>
      <c r="I987" s="10">
        <v>45629</v>
      </c>
    </row>
    <row r="988" spans="1:9" x14ac:dyDescent="0.15">
      <c r="A988" s="9">
        <v>987</v>
      </c>
      <c r="B988" s="9" t="s">
        <v>9</v>
      </c>
      <c r="C988" s="9">
        <v>1927</v>
      </c>
      <c r="D988" s="10">
        <v>45729</v>
      </c>
      <c r="E988" s="11" t="str">
        <f>+HYPERLINK("http://trademark.i-assist.jp/data/china/image_1927th/82332645.pdf","82332645")</f>
        <v>82332645</v>
      </c>
      <c r="F988" s="9" t="s">
        <v>2865</v>
      </c>
      <c r="G988" s="9" t="s">
        <v>2866</v>
      </c>
      <c r="H988" s="9" t="s">
        <v>2867</v>
      </c>
      <c r="I988" s="10">
        <v>45629</v>
      </c>
    </row>
    <row r="989" spans="1:9" x14ac:dyDescent="0.15">
      <c r="A989" s="9">
        <v>988</v>
      </c>
      <c r="B989" s="9" t="s">
        <v>9</v>
      </c>
      <c r="C989" s="9">
        <v>1927</v>
      </c>
      <c r="D989" s="10">
        <v>45729</v>
      </c>
      <c r="E989" s="11" t="str">
        <f>+HYPERLINK("http://trademark.i-assist.jp/data/china/image_1927th/82332870.pdf","82332870")</f>
        <v>82332870</v>
      </c>
      <c r="F989" s="9" t="s">
        <v>2868</v>
      </c>
      <c r="G989" s="9" t="s">
        <v>2529</v>
      </c>
      <c r="H989" s="9" t="s">
        <v>2869</v>
      </c>
      <c r="I989" s="10">
        <v>45629</v>
      </c>
    </row>
    <row r="990" spans="1:9" x14ac:dyDescent="0.15">
      <c r="A990" s="9">
        <v>989</v>
      </c>
      <c r="B990" s="9" t="s">
        <v>9</v>
      </c>
      <c r="C990" s="9">
        <v>1927</v>
      </c>
      <c r="D990" s="10">
        <v>45729</v>
      </c>
      <c r="E990" s="11" t="str">
        <f>+HYPERLINK("http://trademark.i-assist.jp/data/china/image_1927th/82332915.pdf","82332915")</f>
        <v>82332915</v>
      </c>
      <c r="F990" s="9" t="s">
        <v>2870</v>
      </c>
      <c r="G990" s="9" t="s">
        <v>2871</v>
      </c>
      <c r="H990" s="9" t="s">
        <v>2872</v>
      </c>
      <c r="I990" s="10">
        <v>45629</v>
      </c>
    </row>
    <row r="991" spans="1:9" x14ac:dyDescent="0.15">
      <c r="A991" s="9">
        <v>990</v>
      </c>
      <c r="B991" s="9" t="s">
        <v>9</v>
      </c>
      <c r="C991" s="9">
        <v>1927</v>
      </c>
      <c r="D991" s="10">
        <v>45729</v>
      </c>
      <c r="E991" s="11" t="str">
        <f>+HYPERLINK("http://trademark.i-assist.jp/data/china/image_1927th/82333173.pdf","82333173")</f>
        <v>82333173</v>
      </c>
      <c r="F991" s="9" t="s">
        <v>2873</v>
      </c>
      <c r="G991" s="9" t="s">
        <v>2874</v>
      </c>
      <c r="H991" s="9" t="s">
        <v>2875</v>
      </c>
      <c r="I991" s="10">
        <v>45629</v>
      </c>
    </row>
    <row r="992" spans="1:9" x14ac:dyDescent="0.15">
      <c r="A992" s="9">
        <v>991</v>
      </c>
      <c r="B992" s="9" t="s">
        <v>9</v>
      </c>
      <c r="C992" s="9">
        <v>1927</v>
      </c>
      <c r="D992" s="10">
        <v>45729</v>
      </c>
      <c r="E992" s="11" t="str">
        <f>+HYPERLINK("http://trademark.i-assist.jp/data/china/image_1927th/82333267.pdf","82333267")</f>
        <v>82333267</v>
      </c>
      <c r="F992" s="9" t="s">
        <v>2876</v>
      </c>
      <c r="G992" s="9" t="s">
        <v>2877</v>
      </c>
      <c r="H992" s="9" t="s">
        <v>2878</v>
      </c>
      <c r="I992" s="10">
        <v>45629</v>
      </c>
    </row>
    <row r="993" spans="1:9" x14ac:dyDescent="0.15">
      <c r="A993" s="9">
        <v>992</v>
      </c>
      <c r="B993" s="9" t="s">
        <v>9</v>
      </c>
      <c r="C993" s="9">
        <v>1927</v>
      </c>
      <c r="D993" s="10">
        <v>45729</v>
      </c>
      <c r="E993" s="11" t="str">
        <f>+HYPERLINK("http://trademark.i-assist.jp/data/china/image_1927th/82333295.pdf","82333295")</f>
        <v>82333295</v>
      </c>
      <c r="F993" s="9" t="s">
        <v>2879</v>
      </c>
      <c r="G993" s="9" t="s">
        <v>2880</v>
      </c>
      <c r="H993" s="9" t="s">
        <v>2881</v>
      </c>
      <c r="I993" s="10">
        <v>45629</v>
      </c>
    </row>
    <row r="994" spans="1:9" x14ac:dyDescent="0.15">
      <c r="A994" s="9">
        <v>993</v>
      </c>
      <c r="B994" s="9" t="s">
        <v>9</v>
      </c>
      <c r="C994" s="9">
        <v>1927</v>
      </c>
      <c r="D994" s="10">
        <v>45729</v>
      </c>
      <c r="E994" s="11" t="str">
        <f>+HYPERLINK("http://trademark.i-assist.jp/data/china/image_1927th/82333624.pdf","82333624")</f>
        <v>82333624</v>
      </c>
      <c r="F994" s="9" t="s">
        <v>2882</v>
      </c>
      <c r="G994" s="12" t="s">
        <v>2553</v>
      </c>
      <c r="H994" s="9" t="s">
        <v>2883</v>
      </c>
      <c r="I994" s="10">
        <v>45629</v>
      </c>
    </row>
    <row r="995" spans="1:9" x14ac:dyDescent="0.15">
      <c r="A995" s="9">
        <v>994</v>
      </c>
      <c r="B995" s="9" t="s">
        <v>9</v>
      </c>
      <c r="C995" s="9">
        <v>1927</v>
      </c>
      <c r="D995" s="10">
        <v>45729</v>
      </c>
      <c r="E995" s="11" t="str">
        <f>+HYPERLINK("http://trademark.i-assist.jp/data/china/image_1927th/82333723.pdf","82333723")</f>
        <v>82333723</v>
      </c>
      <c r="F995" s="9" t="s">
        <v>2884</v>
      </c>
      <c r="G995" s="12" t="s">
        <v>2885</v>
      </c>
      <c r="H995" s="9" t="s">
        <v>2886</v>
      </c>
      <c r="I995" s="10">
        <v>45629</v>
      </c>
    </row>
    <row r="996" spans="1:9" x14ac:dyDescent="0.15">
      <c r="A996" s="9">
        <v>995</v>
      </c>
      <c r="B996" s="9" t="s">
        <v>9</v>
      </c>
      <c r="C996" s="9">
        <v>1927</v>
      </c>
      <c r="D996" s="10">
        <v>45729</v>
      </c>
      <c r="E996" s="11" t="str">
        <f>+HYPERLINK("http://trademark.i-assist.jp/data/china/image_1927th/82334560.pdf","82334560")</f>
        <v>82334560</v>
      </c>
      <c r="F996" s="12" t="s">
        <v>2887</v>
      </c>
      <c r="G996" s="9" t="s">
        <v>2570</v>
      </c>
      <c r="H996" s="9" t="s">
        <v>2888</v>
      </c>
      <c r="I996" s="10">
        <v>45629</v>
      </c>
    </row>
    <row r="997" spans="1:9" x14ac:dyDescent="0.15">
      <c r="A997" s="9">
        <v>996</v>
      </c>
      <c r="B997" s="9" t="s">
        <v>9</v>
      </c>
      <c r="C997" s="9">
        <v>1927</v>
      </c>
      <c r="D997" s="10">
        <v>45729</v>
      </c>
      <c r="E997" s="11" t="str">
        <f>+HYPERLINK("http://trademark.i-assist.jp/data/china/image_1927th/82334662.pdf","82334662")</f>
        <v>82334662</v>
      </c>
      <c r="F997" s="12" t="s">
        <v>2889</v>
      </c>
      <c r="G997" s="9" t="s">
        <v>2890</v>
      </c>
      <c r="H997" s="9" t="s">
        <v>2891</v>
      </c>
      <c r="I997" s="10">
        <v>45629</v>
      </c>
    </row>
    <row r="998" spans="1:9" x14ac:dyDescent="0.15">
      <c r="A998" s="9">
        <v>997</v>
      </c>
      <c r="B998" s="9" t="s">
        <v>9</v>
      </c>
      <c r="C998" s="9">
        <v>1927</v>
      </c>
      <c r="D998" s="10">
        <v>45729</v>
      </c>
      <c r="E998" s="11" t="str">
        <f>+HYPERLINK("http://trademark.i-assist.jp/data/china/image_1927th/82334754.pdf","82334754")</f>
        <v>82334754</v>
      </c>
      <c r="F998" s="9" t="s">
        <v>2892</v>
      </c>
      <c r="G998" s="9" t="s">
        <v>2893</v>
      </c>
      <c r="H998" s="9" t="s">
        <v>2894</v>
      </c>
      <c r="I998" s="10">
        <v>45629</v>
      </c>
    </row>
    <row r="999" spans="1:9" x14ac:dyDescent="0.15">
      <c r="A999" s="9">
        <v>998</v>
      </c>
      <c r="B999" s="9" t="s">
        <v>9</v>
      </c>
      <c r="C999" s="9">
        <v>1927</v>
      </c>
      <c r="D999" s="10">
        <v>45729</v>
      </c>
      <c r="E999" s="11" t="str">
        <f>+HYPERLINK("http://trademark.i-assist.jp/data/china/image_1927th/82335426.pdf","82335426")</f>
        <v>82335426</v>
      </c>
      <c r="F999" s="9" t="s">
        <v>2895</v>
      </c>
      <c r="G999" s="9" t="s">
        <v>2896</v>
      </c>
      <c r="H999" s="9" t="s">
        <v>2897</v>
      </c>
      <c r="I999" s="10">
        <v>45629</v>
      </c>
    </row>
    <row r="1000" spans="1:9" x14ac:dyDescent="0.15">
      <c r="A1000" s="9">
        <v>999</v>
      </c>
      <c r="B1000" s="9" t="s">
        <v>9</v>
      </c>
      <c r="C1000" s="9">
        <v>1927</v>
      </c>
      <c r="D1000" s="10">
        <v>45729</v>
      </c>
      <c r="E1000" s="11" t="str">
        <f>+HYPERLINK("http://trademark.i-assist.jp/data/china/image_1927th/82335669.pdf","82335669")</f>
        <v>82335669</v>
      </c>
      <c r="F1000" s="9" t="s">
        <v>2898</v>
      </c>
      <c r="G1000" s="12" t="s">
        <v>170</v>
      </c>
      <c r="H1000" s="9" t="s">
        <v>2899</v>
      </c>
      <c r="I1000" s="10">
        <v>45629</v>
      </c>
    </row>
    <row r="1001" spans="1:9" x14ac:dyDescent="0.15">
      <c r="A1001" s="9">
        <v>1000</v>
      </c>
      <c r="B1001" s="9" t="s">
        <v>9</v>
      </c>
      <c r="C1001" s="9">
        <v>1927</v>
      </c>
      <c r="D1001" s="10">
        <v>45729</v>
      </c>
      <c r="E1001" s="11" t="str">
        <f>+HYPERLINK("http://trademark.i-assist.jp/data/china/image_1927th/82336789.pdf","82336789")</f>
        <v>82336789</v>
      </c>
      <c r="F1001" s="9" t="s">
        <v>2900</v>
      </c>
      <c r="G1001" s="9" t="s">
        <v>126</v>
      </c>
      <c r="H1001" s="9" t="s">
        <v>2901</v>
      </c>
      <c r="I1001" s="10">
        <v>45629</v>
      </c>
    </row>
    <row r="1002" spans="1:9" x14ac:dyDescent="0.15">
      <c r="A1002" s="9">
        <v>1001</v>
      </c>
      <c r="B1002" s="9" t="s">
        <v>9</v>
      </c>
      <c r="C1002" s="9">
        <v>1927</v>
      </c>
      <c r="D1002" s="10">
        <v>45729</v>
      </c>
      <c r="E1002" s="11" t="str">
        <f>+HYPERLINK("http://trademark.i-assist.jp/data/china/image_1927th/82336831.pdf","82336831")</f>
        <v>82336831</v>
      </c>
      <c r="F1002" s="9" t="s">
        <v>2902</v>
      </c>
      <c r="G1002" s="12" t="s">
        <v>2903</v>
      </c>
      <c r="H1002" s="9" t="s">
        <v>2904</v>
      </c>
      <c r="I1002" s="10">
        <v>45629</v>
      </c>
    </row>
    <row r="1003" spans="1:9" x14ac:dyDescent="0.15">
      <c r="A1003" s="9">
        <v>1002</v>
      </c>
      <c r="B1003" s="9" t="s">
        <v>9</v>
      </c>
      <c r="C1003" s="9">
        <v>1927</v>
      </c>
      <c r="D1003" s="10">
        <v>45729</v>
      </c>
      <c r="E1003" s="11" t="str">
        <f>+HYPERLINK("http://trademark.i-assist.jp/data/china/image_1927th/82337100.pdf","82337100")</f>
        <v>82337100</v>
      </c>
      <c r="F1003" s="9" t="s">
        <v>2905</v>
      </c>
      <c r="G1003" s="9" t="s">
        <v>202</v>
      </c>
      <c r="H1003" s="9" t="s">
        <v>2906</v>
      </c>
      <c r="I1003" s="10">
        <v>45629</v>
      </c>
    </row>
    <row r="1004" spans="1:9" x14ac:dyDescent="0.15">
      <c r="A1004" s="9">
        <v>1003</v>
      </c>
      <c r="B1004" s="9" t="s">
        <v>9</v>
      </c>
      <c r="C1004" s="9">
        <v>1927</v>
      </c>
      <c r="D1004" s="10">
        <v>45729</v>
      </c>
      <c r="E1004" s="11" t="str">
        <f>+HYPERLINK("http://trademark.i-assist.jp/data/china/image_1927th/82337168.pdf","82337168")</f>
        <v>82337168</v>
      </c>
      <c r="F1004" s="9" t="s">
        <v>2907</v>
      </c>
      <c r="G1004" s="9" t="s">
        <v>2908</v>
      </c>
      <c r="H1004" s="9" t="s">
        <v>2909</v>
      </c>
      <c r="I1004" s="10">
        <v>45629</v>
      </c>
    </row>
    <row r="1005" spans="1:9" x14ac:dyDescent="0.15">
      <c r="A1005" s="9">
        <v>1004</v>
      </c>
      <c r="B1005" s="9" t="s">
        <v>9</v>
      </c>
      <c r="C1005" s="9">
        <v>1927</v>
      </c>
      <c r="D1005" s="10">
        <v>45729</v>
      </c>
      <c r="E1005" s="11" t="str">
        <f>+HYPERLINK("http://trademark.i-assist.jp/data/china/image_1927th/82337478.pdf","82337478")</f>
        <v>82337478</v>
      </c>
      <c r="F1005" s="9" t="s">
        <v>2910</v>
      </c>
      <c r="G1005" s="9" t="s">
        <v>162</v>
      </c>
      <c r="H1005" s="9" t="s">
        <v>2911</v>
      </c>
      <c r="I1005" s="10">
        <v>45629</v>
      </c>
    </row>
    <row r="1006" spans="1:9" x14ac:dyDescent="0.15">
      <c r="A1006" s="9">
        <v>1005</v>
      </c>
      <c r="B1006" s="9" t="s">
        <v>9</v>
      </c>
      <c r="C1006" s="9">
        <v>1927</v>
      </c>
      <c r="D1006" s="10">
        <v>45729</v>
      </c>
      <c r="E1006" s="11" t="str">
        <f>+HYPERLINK("http://trademark.i-assist.jp/data/china/image_1927th/82337584.pdf","82337584")</f>
        <v>82337584</v>
      </c>
      <c r="F1006" s="9" t="s">
        <v>2912</v>
      </c>
      <c r="G1006" s="9" t="s">
        <v>2616</v>
      </c>
      <c r="H1006" s="9" t="s">
        <v>2913</v>
      </c>
      <c r="I1006" s="10">
        <v>45629</v>
      </c>
    </row>
    <row r="1007" spans="1:9" x14ac:dyDescent="0.15">
      <c r="A1007" s="9">
        <v>1006</v>
      </c>
      <c r="B1007" s="9" t="s">
        <v>9</v>
      </c>
      <c r="C1007" s="9">
        <v>1927</v>
      </c>
      <c r="D1007" s="10">
        <v>45729</v>
      </c>
      <c r="E1007" s="11" t="str">
        <f>+HYPERLINK("http://trademark.i-assist.jp/data/china/image_1927th/82337729.pdf","82337729")</f>
        <v>82337729</v>
      </c>
      <c r="F1007" s="9" t="s">
        <v>2914</v>
      </c>
      <c r="G1007" s="9" t="s">
        <v>2915</v>
      </c>
      <c r="H1007" s="9" t="s">
        <v>2916</v>
      </c>
      <c r="I1007" s="10">
        <v>45629</v>
      </c>
    </row>
    <row r="1008" spans="1:9" x14ac:dyDescent="0.15">
      <c r="A1008" s="9">
        <v>1007</v>
      </c>
      <c r="B1008" s="9" t="s">
        <v>9</v>
      </c>
      <c r="C1008" s="9">
        <v>1927</v>
      </c>
      <c r="D1008" s="10">
        <v>45729</v>
      </c>
      <c r="E1008" s="11" t="str">
        <f>+HYPERLINK("http://trademark.i-assist.jp/data/china/image_1927th/82338151.pdf","82338151")</f>
        <v>82338151</v>
      </c>
      <c r="F1008" s="12" t="s">
        <v>2917</v>
      </c>
      <c r="G1008" s="9" t="s">
        <v>2918</v>
      </c>
      <c r="H1008" s="9" t="s">
        <v>2919</v>
      </c>
      <c r="I1008" s="10">
        <v>45630</v>
      </c>
    </row>
    <row r="1009" spans="1:9" x14ac:dyDescent="0.15">
      <c r="A1009" s="9">
        <v>1008</v>
      </c>
      <c r="B1009" s="9" t="s">
        <v>9</v>
      </c>
      <c r="C1009" s="9">
        <v>1927</v>
      </c>
      <c r="D1009" s="10">
        <v>45729</v>
      </c>
      <c r="E1009" s="11" t="str">
        <f>+HYPERLINK("http://trademark.i-assist.jp/data/china/image_1927th/82338448.pdf","82338448")</f>
        <v>82338448</v>
      </c>
      <c r="F1009" s="12" t="s">
        <v>2920</v>
      </c>
      <c r="G1009" s="12" t="s">
        <v>2921</v>
      </c>
      <c r="H1009" s="9" t="s">
        <v>2922</v>
      </c>
      <c r="I1009" s="10">
        <v>45630</v>
      </c>
    </row>
    <row r="1010" spans="1:9" x14ac:dyDescent="0.15">
      <c r="A1010" s="9">
        <v>1009</v>
      </c>
      <c r="B1010" s="9" t="s">
        <v>9</v>
      </c>
      <c r="C1010" s="9">
        <v>1927</v>
      </c>
      <c r="D1010" s="10">
        <v>45729</v>
      </c>
      <c r="E1010" s="11" t="str">
        <f>+HYPERLINK("http://trademark.i-assist.jp/data/china/image_1927th/82339009.pdf","82339009")</f>
        <v>82339009</v>
      </c>
      <c r="F1010" s="9" t="s">
        <v>2923</v>
      </c>
      <c r="G1010" s="9" t="s">
        <v>2924</v>
      </c>
      <c r="H1010" s="12" t="s">
        <v>2925</v>
      </c>
      <c r="I1010" s="10">
        <v>45630</v>
      </c>
    </row>
    <row r="1011" spans="1:9" x14ac:dyDescent="0.15">
      <c r="A1011" s="9">
        <v>1010</v>
      </c>
      <c r="B1011" s="9" t="s">
        <v>9</v>
      </c>
      <c r="C1011" s="9">
        <v>1927</v>
      </c>
      <c r="D1011" s="10">
        <v>45729</v>
      </c>
      <c r="E1011" s="11" t="str">
        <f>+HYPERLINK("http://trademark.i-assist.jp/data/china/image_1927th/82339333.pdf","82339333")</f>
        <v>82339333</v>
      </c>
      <c r="F1011" s="9" t="s">
        <v>2926</v>
      </c>
      <c r="G1011" s="12" t="s">
        <v>2927</v>
      </c>
      <c r="H1011" s="9" t="s">
        <v>2928</v>
      </c>
      <c r="I1011" s="10">
        <v>45630</v>
      </c>
    </row>
    <row r="1012" spans="1:9" x14ac:dyDescent="0.15">
      <c r="A1012" s="9">
        <v>1011</v>
      </c>
      <c r="B1012" s="9" t="s">
        <v>9</v>
      </c>
      <c r="C1012" s="9">
        <v>1927</v>
      </c>
      <c r="D1012" s="10">
        <v>45729</v>
      </c>
      <c r="E1012" s="11" t="str">
        <f>+HYPERLINK("http://trademark.i-assist.jp/data/china/image_1927th/82339421.pdf","82339421")</f>
        <v>82339421</v>
      </c>
      <c r="F1012" s="9" t="s">
        <v>2929</v>
      </c>
      <c r="G1012" s="9" t="s">
        <v>2930</v>
      </c>
      <c r="H1012" s="9" t="s">
        <v>2931</v>
      </c>
      <c r="I1012" s="10">
        <v>45630</v>
      </c>
    </row>
    <row r="1013" spans="1:9" x14ac:dyDescent="0.15">
      <c r="A1013" s="9">
        <v>1012</v>
      </c>
      <c r="B1013" s="9" t="s">
        <v>9</v>
      </c>
      <c r="C1013" s="9">
        <v>1927</v>
      </c>
      <c r="D1013" s="10">
        <v>45729</v>
      </c>
      <c r="E1013" s="11" t="str">
        <f>+HYPERLINK("http://trademark.i-assist.jp/data/china/image_1927th/82339905.pdf","82339905")</f>
        <v>82339905</v>
      </c>
      <c r="F1013" s="9" t="s">
        <v>2932</v>
      </c>
      <c r="G1013" s="9" t="s">
        <v>2933</v>
      </c>
      <c r="H1013" s="9" t="s">
        <v>2934</v>
      </c>
      <c r="I1013" s="10">
        <v>45630</v>
      </c>
    </row>
    <row r="1014" spans="1:9" x14ac:dyDescent="0.15">
      <c r="A1014" s="9">
        <v>1013</v>
      </c>
      <c r="B1014" s="9" t="s">
        <v>9</v>
      </c>
      <c r="C1014" s="9">
        <v>1927</v>
      </c>
      <c r="D1014" s="10">
        <v>45729</v>
      </c>
      <c r="E1014" s="11" t="str">
        <f>+HYPERLINK("http://trademark.i-assist.jp/data/china/image_1927th/82340537.pdf","82340537")</f>
        <v>82340537</v>
      </c>
      <c r="F1014" s="12" t="s">
        <v>2935</v>
      </c>
      <c r="G1014" s="9" t="s">
        <v>2936</v>
      </c>
      <c r="H1014" s="9" t="s">
        <v>2937</v>
      </c>
      <c r="I1014" s="10">
        <v>45630</v>
      </c>
    </row>
    <row r="1015" spans="1:9" x14ac:dyDescent="0.15">
      <c r="A1015" s="9">
        <v>1014</v>
      </c>
      <c r="B1015" s="9" t="s">
        <v>9</v>
      </c>
      <c r="C1015" s="9">
        <v>1927</v>
      </c>
      <c r="D1015" s="10">
        <v>45729</v>
      </c>
      <c r="E1015" s="11" t="str">
        <f>+HYPERLINK("http://trademark.i-assist.jp/data/china/image_1927th/82340723.pdf","82340723")</f>
        <v>82340723</v>
      </c>
      <c r="F1015" s="12" t="s">
        <v>2938</v>
      </c>
      <c r="G1015" s="9" t="s">
        <v>2939</v>
      </c>
      <c r="H1015" s="9" t="s">
        <v>2940</v>
      </c>
      <c r="I1015" s="10">
        <v>45630</v>
      </c>
    </row>
    <row r="1016" spans="1:9" x14ac:dyDescent="0.15">
      <c r="A1016" s="9">
        <v>1015</v>
      </c>
      <c r="B1016" s="9" t="s">
        <v>9</v>
      </c>
      <c r="C1016" s="9">
        <v>1927</v>
      </c>
      <c r="D1016" s="10">
        <v>45729</v>
      </c>
      <c r="E1016" s="11" t="str">
        <f>+HYPERLINK("http://trademark.i-assist.jp/data/china/image_1927th/82340864.pdf","82340864")</f>
        <v>82340864</v>
      </c>
      <c r="F1016" s="9" t="s">
        <v>2941</v>
      </c>
      <c r="G1016" s="9" t="s">
        <v>2942</v>
      </c>
      <c r="H1016" s="9" t="s">
        <v>2943</v>
      </c>
      <c r="I1016" s="10">
        <v>45630</v>
      </c>
    </row>
    <row r="1017" spans="1:9" x14ac:dyDescent="0.15">
      <c r="A1017" s="9">
        <v>1016</v>
      </c>
      <c r="B1017" s="9" t="s">
        <v>9</v>
      </c>
      <c r="C1017" s="9">
        <v>1927</v>
      </c>
      <c r="D1017" s="10">
        <v>45729</v>
      </c>
      <c r="E1017" s="11" t="str">
        <f>+HYPERLINK("http://trademark.i-assist.jp/data/china/image_1927th/82340916.pdf","82340916")</f>
        <v>82340916</v>
      </c>
      <c r="F1017" s="12" t="s">
        <v>2944</v>
      </c>
      <c r="G1017" s="9" t="s">
        <v>109</v>
      </c>
      <c r="H1017" s="9" t="s">
        <v>2945</v>
      </c>
      <c r="I1017" s="10">
        <v>45630</v>
      </c>
    </row>
    <row r="1018" spans="1:9" x14ac:dyDescent="0.15">
      <c r="A1018" s="9">
        <v>1017</v>
      </c>
      <c r="B1018" s="9" t="s">
        <v>9</v>
      </c>
      <c r="C1018" s="9">
        <v>1927</v>
      </c>
      <c r="D1018" s="10">
        <v>45729</v>
      </c>
      <c r="E1018" s="11" t="str">
        <f>+HYPERLINK("http://trademark.i-assist.jp/data/china/image_1927th/82340996.pdf","82340996")</f>
        <v>82340996</v>
      </c>
      <c r="F1018" s="9" t="s">
        <v>2946</v>
      </c>
      <c r="G1018" s="9" t="s">
        <v>2947</v>
      </c>
      <c r="H1018" s="9" t="s">
        <v>2948</v>
      </c>
      <c r="I1018" s="10">
        <v>45630</v>
      </c>
    </row>
    <row r="1019" spans="1:9" x14ac:dyDescent="0.15">
      <c r="A1019" s="9">
        <v>1018</v>
      </c>
      <c r="B1019" s="9" t="s">
        <v>9</v>
      </c>
      <c r="C1019" s="9">
        <v>1927</v>
      </c>
      <c r="D1019" s="10">
        <v>45729</v>
      </c>
      <c r="E1019" s="11" t="str">
        <f>+HYPERLINK("http://trademark.i-assist.jp/data/china/image_1927th/82341730.pdf","82341730")</f>
        <v>82341730</v>
      </c>
      <c r="F1019" s="9" t="s">
        <v>2949</v>
      </c>
      <c r="G1019" s="9" t="s">
        <v>2326</v>
      </c>
      <c r="H1019" s="9" t="s">
        <v>2950</v>
      </c>
      <c r="I1019" s="10">
        <v>45630</v>
      </c>
    </row>
    <row r="1020" spans="1:9" x14ac:dyDescent="0.15">
      <c r="A1020" s="9">
        <v>1019</v>
      </c>
      <c r="B1020" s="9" t="s">
        <v>9</v>
      </c>
      <c r="C1020" s="9">
        <v>1927</v>
      </c>
      <c r="D1020" s="10">
        <v>45729</v>
      </c>
      <c r="E1020" s="11" t="str">
        <f>+HYPERLINK("http://trademark.i-assist.jp/data/china/image_1927th/82342202.pdf","82342202")</f>
        <v>82342202</v>
      </c>
      <c r="F1020" s="12" t="s">
        <v>16</v>
      </c>
      <c r="G1020" s="12" t="s">
        <v>2951</v>
      </c>
      <c r="H1020" s="9" t="s">
        <v>2952</v>
      </c>
      <c r="I1020" s="10">
        <v>45630</v>
      </c>
    </row>
    <row r="1021" spans="1:9" x14ac:dyDescent="0.15">
      <c r="A1021" s="9">
        <v>1020</v>
      </c>
      <c r="B1021" s="9" t="s">
        <v>9</v>
      </c>
      <c r="C1021" s="9">
        <v>1927</v>
      </c>
      <c r="D1021" s="10">
        <v>45729</v>
      </c>
      <c r="E1021" s="11" t="str">
        <f>+HYPERLINK("http://trademark.i-assist.jp/data/china/image_1927th/82343165.pdf","82343165")</f>
        <v>82343165</v>
      </c>
      <c r="F1021" s="9" t="s">
        <v>2953</v>
      </c>
      <c r="G1021" s="12" t="s">
        <v>2954</v>
      </c>
      <c r="H1021" s="9" t="s">
        <v>2955</v>
      </c>
      <c r="I1021" s="10">
        <v>45630</v>
      </c>
    </row>
    <row r="1022" spans="1:9" x14ac:dyDescent="0.15">
      <c r="A1022" s="9">
        <v>1021</v>
      </c>
      <c r="B1022" s="9" t="s">
        <v>9</v>
      </c>
      <c r="C1022" s="9">
        <v>1927</v>
      </c>
      <c r="D1022" s="10">
        <v>45729</v>
      </c>
      <c r="E1022" s="11" t="str">
        <f>+HYPERLINK("http://trademark.i-assist.jp/data/china/image_1927th/82343282.pdf","82343282")</f>
        <v>82343282</v>
      </c>
      <c r="F1022" s="9" t="s">
        <v>2956</v>
      </c>
      <c r="G1022" s="9" t="s">
        <v>2957</v>
      </c>
      <c r="H1022" s="12" t="s">
        <v>2958</v>
      </c>
      <c r="I1022" s="10">
        <v>45630</v>
      </c>
    </row>
    <row r="1023" spans="1:9" x14ac:dyDescent="0.15">
      <c r="A1023" s="9">
        <v>1022</v>
      </c>
      <c r="B1023" s="9" t="s">
        <v>9</v>
      </c>
      <c r="C1023" s="9">
        <v>1927</v>
      </c>
      <c r="D1023" s="10">
        <v>45729</v>
      </c>
      <c r="E1023" s="11" t="str">
        <f>+HYPERLINK("http://trademark.i-assist.jp/data/china/image_1927th/82343835.pdf","82343835")</f>
        <v>82343835</v>
      </c>
      <c r="F1023" s="9" t="s">
        <v>2959</v>
      </c>
      <c r="G1023" s="9" t="s">
        <v>2960</v>
      </c>
      <c r="H1023" s="9" t="s">
        <v>2961</v>
      </c>
      <c r="I1023" s="10">
        <v>45630</v>
      </c>
    </row>
    <row r="1024" spans="1:9" x14ac:dyDescent="0.15">
      <c r="A1024" s="9">
        <v>1023</v>
      </c>
      <c r="B1024" s="9" t="s">
        <v>9</v>
      </c>
      <c r="C1024" s="9">
        <v>1927</v>
      </c>
      <c r="D1024" s="10">
        <v>45729</v>
      </c>
      <c r="E1024" s="11" t="str">
        <f>+HYPERLINK("http://trademark.i-assist.jp/data/china/image_1927th/82343916.pdf","82343916")</f>
        <v>82343916</v>
      </c>
      <c r="F1024" s="9" t="s">
        <v>2962</v>
      </c>
      <c r="G1024" s="12" t="s">
        <v>2963</v>
      </c>
      <c r="H1024" s="9" t="s">
        <v>2964</v>
      </c>
      <c r="I1024" s="10">
        <v>45630</v>
      </c>
    </row>
    <row r="1025" spans="1:9" x14ac:dyDescent="0.15">
      <c r="A1025" s="9">
        <v>1024</v>
      </c>
      <c r="B1025" s="9" t="s">
        <v>9</v>
      </c>
      <c r="C1025" s="9">
        <v>1927</v>
      </c>
      <c r="D1025" s="10">
        <v>45729</v>
      </c>
      <c r="E1025" s="11" t="str">
        <f>+HYPERLINK("http://trademark.i-assist.jp/data/china/image_1927th/82343973.pdf","82343973")</f>
        <v>82343973</v>
      </c>
      <c r="F1025" s="9" t="s">
        <v>2965</v>
      </c>
      <c r="G1025" s="9" t="s">
        <v>2966</v>
      </c>
      <c r="H1025" s="9" t="s">
        <v>2967</v>
      </c>
      <c r="I1025" s="10">
        <v>45630</v>
      </c>
    </row>
    <row r="1026" spans="1:9" x14ac:dyDescent="0.15">
      <c r="A1026" s="9">
        <v>1025</v>
      </c>
      <c r="B1026" s="9" t="s">
        <v>9</v>
      </c>
      <c r="C1026" s="9">
        <v>1927</v>
      </c>
      <c r="D1026" s="10">
        <v>45729</v>
      </c>
      <c r="E1026" s="11" t="str">
        <f>+HYPERLINK("http://trademark.i-assist.jp/data/china/image_1927th/82344601.pdf","82344601")</f>
        <v>82344601</v>
      </c>
      <c r="F1026" s="9" t="s">
        <v>2968</v>
      </c>
      <c r="G1026" s="12" t="s">
        <v>2969</v>
      </c>
      <c r="H1026" s="12" t="s">
        <v>2970</v>
      </c>
      <c r="I1026" s="10">
        <v>45630</v>
      </c>
    </row>
    <row r="1027" spans="1:9" x14ac:dyDescent="0.15">
      <c r="A1027" s="9">
        <v>1026</v>
      </c>
      <c r="B1027" s="9" t="s">
        <v>9</v>
      </c>
      <c r="C1027" s="9">
        <v>1927</v>
      </c>
      <c r="D1027" s="10">
        <v>45729</v>
      </c>
      <c r="E1027" s="11" t="str">
        <f>+HYPERLINK("http://trademark.i-assist.jp/data/china/image_1927th/82344663.pdf","82344663")</f>
        <v>82344663</v>
      </c>
      <c r="F1027" s="9" t="s">
        <v>2971</v>
      </c>
      <c r="G1027" s="12" t="s">
        <v>2972</v>
      </c>
      <c r="H1027" s="9" t="s">
        <v>2973</v>
      </c>
      <c r="I1027" s="10">
        <v>45630</v>
      </c>
    </row>
    <row r="1028" spans="1:9" x14ac:dyDescent="0.15">
      <c r="A1028" s="9">
        <v>1027</v>
      </c>
      <c r="B1028" s="9" t="s">
        <v>9</v>
      </c>
      <c r="C1028" s="9">
        <v>1927</v>
      </c>
      <c r="D1028" s="10">
        <v>45729</v>
      </c>
      <c r="E1028" s="11" t="str">
        <f>+HYPERLINK("http://trademark.i-assist.jp/data/china/image_1927th/82344945.pdf","82344945")</f>
        <v>82344945</v>
      </c>
      <c r="F1028" s="9" t="s">
        <v>2974</v>
      </c>
      <c r="G1028" s="9" t="s">
        <v>270</v>
      </c>
      <c r="H1028" s="9" t="s">
        <v>2975</v>
      </c>
      <c r="I1028" s="10">
        <v>45630</v>
      </c>
    </row>
    <row r="1029" spans="1:9" x14ac:dyDescent="0.15">
      <c r="A1029" s="9">
        <v>1028</v>
      </c>
      <c r="B1029" s="9" t="s">
        <v>9</v>
      </c>
      <c r="C1029" s="9">
        <v>1927</v>
      </c>
      <c r="D1029" s="10">
        <v>45729</v>
      </c>
      <c r="E1029" s="11" t="str">
        <f>+HYPERLINK("http://trademark.i-assist.jp/data/china/image_1927th/82345156.pdf","82345156")</f>
        <v>82345156</v>
      </c>
      <c r="F1029" s="9" t="s">
        <v>2976</v>
      </c>
      <c r="G1029" s="9" t="s">
        <v>2977</v>
      </c>
      <c r="H1029" s="12" t="s">
        <v>2978</v>
      </c>
      <c r="I1029" s="10">
        <v>45630</v>
      </c>
    </row>
    <row r="1030" spans="1:9" x14ac:dyDescent="0.15">
      <c r="A1030" s="9">
        <v>1029</v>
      </c>
      <c r="B1030" s="9" t="s">
        <v>9</v>
      </c>
      <c r="C1030" s="9">
        <v>1927</v>
      </c>
      <c r="D1030" s="10">
        <v>45729</v>
      </c>
      <c r="E1030" s="11" t="str">
        <f>+HYPERLINK("http://trademark.i-assist.jp/data/china/image_1927th/82345202.pdf","82345202")</f>
        <v>82345202</v>
      </c>
      <c r="F1030" s="9" t="s">
        <v>2979</v>
      </c>
      <c r="G1030" s="12" t="s">
        <v>2980</v>
      </c>
      <c r="H1030" s="9" t="s">
        <v>2981</v>
      </c>
      <c r="I1030" s="10">
        <v>45630</v>
      </c>
    </row>
    <row r="1031" spans="1:9" x14ac:dyDescent="0.15">
      <c r="A1031" s="9">
        <v>1030</v>
      </c>
      <c r="B1031" s="9" t="s">
        <v>9</v>
      </c>
      <c r="C1031" s="9">
        <v>1927</v>
      </c>
      <c r="D1031" s="10">
        <v>45729</v>
      </c>
      <c r="E1031" s="11" t="str">
        <f>+HYPERLINK("http://trademark.i-assist.jp/data/china/image_1927th/82345405.pdf","82345405")</f>
        <v>82345405</v>
      </c>
      <c r="F1031" s="12" t="s">
        <v>2982</v>
      </c>
      <c r="G1031" s="12" t="s">
        <v>2983</v>
      </c>
      <c r="H1031" s="9" t="s">
        <v>2984</v>
      </c>
      <c r="I1031" s="10">
        <v>45630</v>
      </c>
    </row>
    <row r="1032" spans="1:9" x14ac:dyDescent="0.15">
      <c r="A1032" s="9">
        <v>1031</v>
      </c>
      <c r="B1032" s="9" t="s">
        <v>9</v>
      </c>
      <c r="C1032" s="9">
        <v>1927</v>
      </c>
      <c r="D1032" s="10">
        <v>45729</v>
      </c>
      <c r="E1032" s="11" t="str">
        <f>+HYPERLINK("http://trademark.i-assist.jp/data/china/image_1927th/82345538.pdf","82345538")</f>
        <v>82345538</v>
      </c>
      <c r="F1032" s="9" t="s">
        <v>2985</v>
      </c>
      <c r="G1032" s="9" t="s">
        <v>2986</v>
      </c>
      <c r="H1032" s="9" t="s">
        <v>2987</v>
      </c>
      <c r="I1032" s="10">
        <v>45630</v>
      </c>
    </row>
    <row r="1033" spans="1:9" x14ac:dyDescent="0.15">
      <c r="A1033" s="9">
        <v>1032</v>
      </c>
      <c r="B1033" s="9" t="s">
        <v>9</v>
      </c>
      <c r="C1033" s="9">
        <v>1927</v>
      </c>
      <c r="D1033" s="10">
        <v>45729</v>
      </c>
      <c r="E1033" s="11" t="str">
        <f>+HYPERLINK("http://trademark.i-assist.jp/data/china/image_1927th/82345751.pdf","82345751")</f>
        <v>82345751</v>
      </c>
      <c r="F1033" s="9" t="s">
        <v>2988</v>
      </c>
      <c r="G1033" s="12" t="s">
        <v>2989</v>
      </c>
      <c r="H1033" s="12" t="s">
        <v>2990</v>
      </c>
      <c r="I1033" s="10">
        <v>45630</v>
      </c>
    </row>
    <row r="1034" spans="1:9" x14ac:dyDescent="0.15">
      <c r="A1034" s="9">
        <v>1033</v>
      </c>
      <c r="B1034" s="9" t="s">
        <v>9</v>
      </c>
      <c r="C1034" s="9">
        <v>1927</v>
      </c>
      <c r="D1034" s="10">
        <v>45729</v>
      </c>
      <c r="E1034" s="11" t="str">
        <f>+HYPERLINK("http://trademark.i-assist.jp/data/china/image_1927th/82345903.pdf","82345903")</f>
        <v>82345903</v>
      </c>
      <c r="F1034" s="12" t="s">
        <v>2991</v>
      </c>
      <c r="G1034" s="9" t="s">
        <v>2992</v>
      </c>
      <c r="H1034" s="9" t="s">
        <v>2993</v>
      </c>
      <c r="I1034" s="10">
        <v>45630</v>
      </c>
    </row>
    <row r="1035" spans="1:9" x14ac:dyDescent="0.15">
      <c r="A1035" s="9">
        <v>1034</v>
      </c>
      <c r="B1035" s="9" t="s">
        <v>9</v>
      </c>
      <c r="C1035" s="9">
        <v>1927</v>
      </c>
      <c r="D1035" s="10">
        <v>45729</v>
      </c>
      <c r="E1035" s="11" t="str">
        <f>+HYPERLINK("http://trademark.i-assist.jp/data/china/image_1927th/82346025.pdf","82346025")</f>
        <v>82346025</v>
      </c>
      <c r="F1035" s="9" t="s">
        <v>2994</v>
      </c>
      <c r="G1035" s="9" t="s">
        <v>2995</v>
      </c>
      <c r="H1035" s="9" t="s">
        <v>2996</v>
      </c>
      <c r="I1035" s="10">
        <v>45630</v>
      </c>
    </row>
    <row r="1036" spans="1:9" x14ac:dyDescent="0.15">
      <c r="A1036" s="9">
        <v>1035</v>
      </c>
      <c r="B1036" s="9" t="s">
        <v>9</v>
      </c>
      <c r="C1036" s="9">
        <v>1927</v>
      </c>
      <c r="D1036" s="10">
        <v>45729</v>
      </c>
      <c r="E1036" s="11" t="str">
        <f>+HYPERLINK("http://trademark.i-assist.jp/data/china/image_1927th/82346358.pdf","82346358")</f>
        <v>82346358</v>
      </c>
      <c r="F1036" s="9" t="s">
        <v>2997</v>
      </c>
      <c r="G1036" s="9" t="s">
        <v>2998</v>
      </c>
      <c r="H1036" s="9" t="s">
        <v>2999</v>
      </c>
      <c r="I1036" s="10">
        <v>45630</v>
      </c>
    </row>
    <row r="1037" spans="1:9" x14ac:dyDescent="0.15">
      <c r="A1037" s="9">
        <v>1036</v>
      </c>
      <c r="B1037" s="9" t="s">
        <v>9</v>
      </c>
      <c r="C1037" s="9">
        <v>1927</v>
      </c>
      <c r="D1037" s="10">
        <v>45729</v>
      </c>
      <c r="E1037" s="11" t="str">
        <f>+HYPERLINK("http://trademark.i-assist.jp/data/china/image_1927th/82346397.pdf","82346397")</f>
        <v>82346397</v>
      </c>
      <c r="F1037" s="9" t="s">
        <v>3000</v>
      </c>
      <c r="G1037" s="9" t="s">
        <v>3001</v>
      </c>
      <c r="H1037" s="9" t="s">
        <v>3002</v>
      </c>
      <c r="I1037" s="10">
        <v>45630</v>
      </c>
    </row>
    <row r="1038" spans="1:9" x14ac:dyDescent="0.15">
      <c r="A1038" s="9">
        <v>1037</v>
      </c>
      <c r="B1038" s="9" t="s">
        <v>9</v>
      </c>
      <c r="C1038" s="9">
        <v>1927</v>
      </c>
      <c r="D1038" s="10">
        <v>45729</v>
      </c>
      <c r="E1038" s="11" t="str">
        <f>+HYPERLINK("http://trademark.i-assist.jp/data/china/image_1927th/82346408.pdf","82346408")</f>
        <v>82346408</v>
      </c>
      <c r="F1038" s="9" t="s">
        <v>3003</v>
      </c>
      <c r="G1038" s="9" t="s">
        <v>3004</v>
      </c>
      <c r="H1038" s="9" t="s">
        <v>3005</v>
      </c>
      <c r="I1038" s="10">
        <v>45630</v>
      </c>
    </row>
    <row r="1039" spans="1:9" x14ac:dyDescent="0.15">
      <c r="A1039" s="9">
        <v>1038</v>
      </c>
      <c r="B1039" s="9" t="s">
        <v>9</v>
      </c>
      <c r="C1039" s="9">
        <v>1927</v>
      </c>
      <c r="D1039" s="10">
        <v>45729</v>
      </c>
      <c r="E1039" s="11" t="str">
        <f>+HYPERLINK("http://trademark.i-assist.jp/data/china/image_1927th/82346493.pdf","82346493")</f>
        <v>82346493</v>
      </c>
      <c r="F1039" s="12" t="s">
        <v>3006</v>
      </c>
      <c r="G1039" s="12" t="s">
        <v>3007</v>
      </c>
      <c r="H1039" s="9" t="s">
        <v>3008</v>
      </c>
      <c r="I1039" s="10">
        <v>45630</v>
      </c>
    </row>
    <row r="1040" spans="1:9" x14ac:dyDescent="0.15">
      <c r="A1040" s="9">
        <v>1039</v>
      </c>
      <c r="B1040" s="9" t="s">
        <v>9</v>
      </c>
      <c r="C1040" s="9">
        <v>1927</v>
      </c>
      <c r="D1040" s="10">
        <v>45729</v>
      </c>
      <c r="E1040" s="11" t="str">
        <f>+HYPERLINK("http://trademark.i-assist.jp/data/china/image_1927th/82346640.pdf","82346640")</f>
        <v>82346640</v>
      </c>
      <c r="F1040" s="9" t="s">
        <v>3009</v>
      </c>
      <c r="G1040" s="9" t="s">
        <v>92</v>
      </c>
      <c r="H1040" s="9" t="s">
        <v>3010</v>
      </c>
      <c r="I1040" s="10">
        <v>45630</v>
      </c>
    </row>
    <row r="1041" spans="1:9" x14ac:dyDescent="0.15">
      <c r="A1041" s="9">
        <v>1040</v>
      </c>
      <c r="B1041" s="9" t="s">
        <v>9</v>
      </c>
      <c r="C1041" s="9">
        <v>1927</v>
      </c>
      <c r="D1041" s="10">
        <v>45729</v>
      </c>
      <c r="E1041" s="11" t="str">
        <f>+HYPERLINK("http://trademark.i-assist.jp/data/china/image_1927th/82346705.pdf","82346705")</f>
        <v>82346705</v>
      </c>
      <c r="F1041" s="12" t="s">
        <v>3011</v>
      </c>
      <c r="G1041" s="9" t="s">
        <v>3012</v>
      </c>
      <c r="H1041" s="9" t="s">
        <v>3013</v>
      </c>
      <c r="I1041" s="10">
        <v>45630</v>
      </c>
    </row>
    <row r="1042" spans="1:9" x14ac:dyDescent="0.15">
      <c r="A1042" s="9">
        <v>1041</v>
      </c>
      <c r="B1042" s="9" t="s">
        <v>9</v>
      </c>
      <c r="C1042" s="9">
        <v>1927</v>
      </c>
      <c r="D1042" s="10">
        <v>45729</v>
      </c>
      <c r="E1042" s="11" t="str">
        <f>+HYPERLINK("http://trademark.i-assist.jp/data/china/image_1927th/82347588.pdf","82347588")</f>
        <v>82347588</v>
      </c>
      <c r="F1042" s="9" t="s">
        <v>3014</v>
      </c>
      <c r="G1042" s="9" t="s">
        <v>2960</v>
      </c>
      <c r="H1042" s="9" t="s">
        <v>3015</v>
      </c>
      <c r="I1042" s="10">
        <v>45630</v>
      </c>
    </row>
    <row r="1043" spans="1:9" x14ac:dyDescent="0.15">
      <c r="A1043" s="9">
        <v>1042</v>
      </c>
      <c r="B1043" s="9" t="s">
        <v>9</v>
      </c>
      <c r="C1043" s="9">
        <v>1927</v>
      </c>
      <c r="D1043" s="10">
        <v>45729</v>
      </c>
      <c r="E1043" s="11" t="str">
        <f>+HYPERLINK("http://trademark.i-assist.jp/data/china/image_1927th/82347621.pdf","82347621")</f>
        <v>82347621</v>
      </c>
      <c r="F1043" s="9" t="s">
        <v>3016</v>
      </c>
      <c r="G1043" s="9" t="s">
        <v>3017</v>
      </c>
      <c r="H1043" s="12" t="s">
        <v>3018</v>
      </c>
      <c r="I1043" s="10">
        <v>45630</v>
      </c>
    </row>
    <row r="1044" spans="1:9" x14ac:dyDescent="0.15">
      <c r="A1044" s="9">
        <v>1043</v>
      </c>
      <c r="B1044" s="9" t="s">
        <v>9</v>
      </c>
      <c r="C1044" s="9">
        <v>1927</v>
      </c>
      <c r="D1044" s="10">
        <v>45729</v>
      </c>
      <c r="E1044" s="11" t="str">
        <f>+HYPERLINK("http://trademark.i-assist.jp/data/china/image_1927th/82348259.pdf","82348259")</f>
        <v>82348259</v>
      </c>
      <c r="F1044" s="9" t="s">
        <v>3019</v>
      </c>
      <c r="G1044" s="12" t="s">
        <v>3020</v>
      </c>
      <c r="H1044" s="12" t="s">
        <v>3021</v>
      </c>
      <c r="I1044" s="10">
        <v>45630</v>
      </c>
    </row>
    <row r="1045" spans="1:9" x14ac:dyDescent="0.15">
      <c r="A1045" s="9">
        <v>1044</v>
      </c>
      <c r="B1045" s="9" t="s">
        <v>9</v>
      </c>
      <c r="C1045" s="9">
        <v>1927</v>
      </c>
      <c r="D1045" s="10">
        <v>45729</v>
      </c>
      <c r="E1045" s="11" t="str">
        <f>+HYPERLINK("http://trademark.i-assist.jp/data/china/image_1927th/82348608.pdf","82348608")</f>
        <v>82348608</v>
      </c>
      <c r="F1045" s="9" t="s">
        <v>3022</v>
      </c>
      <c r="G1045" s="9" t="s">
        <v>3023</v>
      </c>
      <c r="H1045" s="9" t="s">
        <v>3024</v>
      </c>
      <c r="I1045" s="10">
        <v>45630</v>
      </c>
    </row>
    <row r="1046" spans="1:9" x14ac:dyDescent="0.15">
      <c r="A1046" s="9">
        <v>1045</v>
      </c>
      <c r="B1046" s="9" t="s">
        <v>9</v>
      </c>
      <c r="C1046" s="9">
        <v>1927</v>
      </c>
      <c r="D1046" s="10">
        <v>45729</v>
      </c>
      <c r="E1046" s="11" t="str">
        <f>+HYPERLINK("http://trademark.i-assist.jp/data/china/image_1927th/82348843.pdf","82348843")</f>
        <v>82348843</v>
      </c>
      <c r="F1046" s="9" t="s">
        <v>3025</v>
      </c>
      <c r="G1046" s="9" t="s">
        <v>3026</v>
      </c>
      <c r="H1046" s="9" t="s">
        <v>3027</v>
      </c>
      <c r="I1046" s="10">
        <v>45630</v>
      </c>
    </row>
    <row r="1047" spans="1:9" x14ac:dyDescent="0.15">
      <c r="A1047" s="9">
        <v>1046</v>
      </c>
      <c r="B1047" s="9" t="s">
        <v>9</v>
      </c>
      <c r="C1047" s="9">
        <v>1927</v>
      </c>
      <c r="D1047" s="10">
        <v>45729</v>
      </c>
      <c r="E1047" s="11" t="str">
        <f>+HYPERLINK("http://trademark.i-assist.jp/data/china/image_1927th/82349108.pdf","82349108")</f>
        <v>82349108</v>
      </c>
      <c r="F1047" s="9" t="s">
        <v>3028</v>
      </c>
      <c r="G1047" s="9" t="s">
        <v>3029</v>
      </c>
      <c r="H1047" s="9" t="s">
        <v>3030</v>
      </c>
      <c r="I1047" s="10">
        <v>45630</v>
      </c>
    </row>
    <row r="1048" spans="1:9" x14ac:dyDescent="0.15">
      <c r="A1048" s="9">
        <v>1047</v>
      </c>
      <c r="B1048" s="9" t="s">
        <v>9</v>
      </c>
      <c r="C1048" s="9">
        <v>1927</v>
      </c>
      <c r="D1048" s="10">
        <v>45729</v>
      </c>
      <c r="E1048" s="11" t="str">
        <f>+HYPERLINK("http://trademark.i-assist.jp/data/china/image_1927th/82349134.pdf","82349134")</f>
        <v>82349134</v>
      </c>
      <c r="F1048" s="12" t="s">
        <v>3031</v>
      </c>
      <c r="G1048" s="12" t="s">
        <v>3032</v>
      </c>
      <c r="H1048" s="9" t="s">
        <v>3033</v>
      </c>
      <c r="I1048" s="10">
        <v>45630</v>
      </c>
    </row>
    <row r="1049" spans="1:9" x14ac:dyDescent="0.15">
      <c r="A1049" s="9">
        <v>1048</v>
      </c>
      <c r="B1049" s="9" t="s">
        <v>9</v>
      </c>
      <c r="C1049" s="9">
        <v>1927</v>
      </c>
      <c r="D1049" s="10">
        <v>45729</v>
      </c>
      <c r="E1049" s="11" t="str">
        <f>+HYPERLINK("http://trademark.i-assist.jp/data/china/image_1927th/82349521.pdf","82349521")</f>
        <v>82349521</v>
      </c>
      <c r="F1049" s="12" t="s">
        <v>3034</v>
      </c>
      <c r="G1049" s="12" t="s">
        <v>2963</v>
      </c>
      <c r="H1049" s="9" t="s">
        <v>3035</v>
      </c>
      <c r="I1049" s="10">
        <v>45630</v>
      </c>
    </row>
    <row r="1050" spans="1:9" x14ac:dyDescent="0.15">
      <c r="A1050" s="9">
        <v>1049</v>
      </c>
      <c r="B1050" s="9" t="s">
        <v>9</v>
      </c>
      <c r="C1050" s="9">
        <v>1927</v>
      </c>
      <c r="D1050" s="10">
        <v>45729</v>
      </c>
      <c r="E1050" s="11" t="str">
        <f>+HYPERLINK("http://trademark.i-assist.jp/data/china/image_1927th/82349563.pdf","82349563")</f>
        <v>82349563</v>
      </c>
      <c r="F1050" s="9" t="s">
        <v>3036</v>
      </c>
      <c r="G1050" s="9" t="s">
        <v>3037</v>
      </c>
      <c r="H1050" s="9" t="s">
        <v>3038</v>
      </c>
      <c r="I1050" s="10">
        <v>45630</v>
      </c>
    </row>
    <row r="1051" spans="1:9" x14ac:dyDescent="0.15">
      <c r="A1051" s="9">
        <v>1050</v>
      </c>
      <c r="B1051" s="9" t="s">
        <v>9</v>
      </c>
      <c r="C1051" s="9">
        <v>1927</v>
      </c>
      <c r="D1051" s="10">
        <v>45729</v>
      </c>
      <c r="E1051" s="11" t="str">
        <f>+HYPERLINK("http://trademark.i-assist.jp/data/china/image_1927th/82349602.pdf","82349602")</f>
        <v>82349602</v>
      </c>
      <c r="F1051" s="12" t="s">
        <v>3039</v>
      </c>
      <c r="G1051" s="9" t="s">
        <v>3040</v>
      </c>
      <c r="H1051" s="9" t="s">
        <v>3041</v>
      </c>
      <c r="I1051" s="10">
        <v>45630</v>
      </c>
    </row>
    <row r="1052" spans="1:9" x14ac:dyDescent="0.15">
      <c r="A1052" s="9">
        <v>1051</v>
      </c>
      <c r="B1052" s="9" t="s">
        <v>9</v>
      </c>
      <c r="C1052" s="9">
        <v>1927</v>
      </c>
      <c r="D1052" s="10">
        <v>45729</v>
      </c>
      <c r="E1052" s="11" t="str">
        <f>+HYPERLINK("http://trademark.i-assist.jp/data/china/image_1927th/82349852.pdf","82349852")</f>
        <v>82349852</v>
      </c>
      <c r="F1052" s="9" t="s">
        <v>3042</v>
      </c>
      <c r="G1052" s="9" t="s">
        <v>3043</v>
      </c>
      <c r="H1052" s="9" t="s">
        <v>3044</v>
      </c>
      <c r="I1052" s="10">
        <v>45630</v>
      </c>
    </row>
    <row r="1053" spans="1:9" x14ac:dyDescent="0.15">
      <c r="A1053" s="9">
        <v>1052</v>
      </c>
      <c r="B1053" s="9" t="s">
        <v>9</v>
      </c>
      <c r="C1053" s="9">
        <v>1927</v>
      </c>
      <c r="D1053" s="10">
        <v>45729</v>
      </c>
      <c r="E1053" s="11" t="str">
        <f>+HYPERLINK("http://trademark.i-assist.jp/data/china/image_1927th/82349994.pdf","82349994")</f>
        <v>82349994</v>
      </c>
      <c r="F1053" s="9" t="s">
        <v>3045</v>
      </c>
      <c r="G1053" s="9" t="s">
        <v>3046</v>
      </c>
      <c r="H1053" s="9" t="s">
        <v>3047</v>
      </c>
      <c r="I1053" s="10">
        <v>45630</v>
      </c>
    </row>
    <row r="1054" spans="1:9" x14ac:dyDescent="0.15">
      <c r="A1054" s="9">
        <v>1053</v>
      </c>
      <c r="B1054" s="9" t="s">
        <v>9</v>
      </c>
      <c r="C1054" s="9">
        <v>1927</v>
      </c>
      <c r="D1054" s="10">
        <v>45729</v>
      </c>
      <c r="E1054" s="11" t="str">
        <f>+HYPERLINK("http://trademark.i-assist.jp/data/china/image_1927th/82350020.pdf","82350020")</f>
        <v>82350020</v>
      </c>
      <c r="F1054" s="9" t="s">
        <v>3048</v>
      </c>
      <c r="G1054" s="9" t="s">
        <v>167</v>
      </c>
      <c r="H1054" s="9" t="s">
        <v>3049</v>
      </c>
      <c r="I1054" s="10">
        <v>45630</v>
      </c>
    </row>
    <row r="1055" spans="1:9" x14ac:dyDescent="0.15">
      <c r="A1055" s="9">
        <v>1054</v>
      </c>
      <c r="B1055" s="9" t="s">
        <v>9</v>
      </c>
      <c r="C1055" s="9">
        <v>1927</v>
      </c>
      <c r="D1055" s="10">
        <v>45729</v>
      </c>
      <c r="E1055" s="11" t="str">
        <f>+HYPERLINK("http://trademark.i-assist.jp/data/china/image_1927th/82351477.pdf","82351477")</f>
        <v>82351477</v>
      </c>
      <c r="F1055" s="9" t="s">
        <v>3050</v>
      </c>
      <c r="G1055" s="9" t="s">
        <v>3051</v>
      </c>
      <c r="H1055" s="9" t="s">
        <v>3052</v>
      </c>
      <c r="I1055" s="10">
        <v>45630</v>
      </c>
    </row>
    <row r="1056" spans="1:9" x14ac:dyDescent="0.15">
      <c r="A1056" s="9">
        <v>1055</v>
      </c>
      <c r="B1056" s="9" t="s">
        <v>9</v>
      </c>
      <c r="C1056" s="9">
        <v>1927</v>
      </c>
      <c r="D1056" s="10">
        <v>45729</v>
      </c>
      <c r="E1056" s="11" t="str">
        <f>+HYPERLINK("http://trademark.i-assist.jp/data/china/image_1927th/82351608.pdf","82351608")</f>
        <v>82351608</v>
      </c>
      <c r="F1056" s="9" t="s">
        <v>3053</v>
      </c>
      <c r="G1056" s="9" t="s">
        <v>3054</v>
      </c>
      <c r="H1056" s="9" t="s">
        <v>3055</v>
      </c>
      <c r="I1056" s="10">
        <v>45630</v>
      </c>
    </row>
    <row r="1057" spans="1:9" x14ac:dyDescent="0.15">
      <c r="A1057" s="9">
        <v>1056</v>
      </c>
      <c r="B1057" s="9" t="s">
        <v>9</v>
      </c>
      <c r="C1057" s="9">
        <v>1927</v>
      </c>
      <c r="D1057" s="10">
        <v>45729</v>
      </c>
      <c r="E1057" s="11" t="str">
        <f>+HYPERLINK("http://trademark.i-assist.jp/data/china/image_1927th/82352029.pdf","82352029")</f>
        <v>82352029</v>
      </c>
      <c r="F1057" s="9" t="s">
        <v>3056</v>
      </c>
      <c r="G1057" s="9" t="s">
        <v>2936</v>
      </c>
      <c r="H1057" s="9" t="s">
        <v>3057</v>
      </c>
      <c r="I1057" s="10">
        <v>45630</v>
      </c>
    </row>
    <row r="1058" spans="1:9" x14ac:dyDescent="0.15">
      <c r="A1058" s="9">
        <v>1057</v>
      </c>
      <c r="B1058" s="9" t="s">
        <v>9</v>
      </c>
      <c r="C1058" s="9">
        <v>1927</v>
      </c>
      <c r="D1058" s="10">
        <v>45729</v>
      </c>
      <c r="E1058" s="11" t="str">
        <f>+HYPERLINK("http://trademark.i-assist.jp/data/china/image_1927th/82352040.pdf","82352040")</f>
        <v>82352040</v>
      </c>
      <c r="F1058" s="9" t="s">
        <v>3058</v>
      </c>
      <c r="G1058" s="9" t="s">
        <v>2936</v>
      </c>
      <c r="H1058" s="9" t="s">
        <v>3059</v>
      </c>
      <c r="I1058" s="10">
        <v>45630</v>
      </c>
    </row>
    <row r="1059" spans="1:9" x14ac:dyDescent="0.15">
      <c r="A1059" s="9">
        <v>1058</v>
      </c>
      <c r="B1059" s="9" t="s">
        <v>9</v>
      </c>
      <c r="C1059" s="9">
        <v>1927</v>
      </c>
      <c r="D1059" s="10">
        <v>45729</v>
      </c>
      <c r="E1059" s="11" t="str">
        <f>+HYPERLINK("http://trademark.i-assist.jp/data/china/image_1927th/82352072.pdf","82352072")</f>
        <v>82352072</v>
      </c>
      <c r="F1059" s="9" t="s">
        <v>3060</v>
      </c>
      <c r="G1059" s="9" t="s">
        <v>3061</v>
      </c>
      <c r="H1059" s="9" t="s">
        <v>3062</v>
      </c>
      <c r="I1059" s="10">
        <v>45630</v>
      </c>
    </row>
    <row r="1060" spans="1:9" x14ac:dyDescent="0.15">
      <c r="A1060" s="9">
        <v>1059</v>
      </c>
      <c r="B1060" s="9" t="s">
        <v>9</v>
      </c>
      <c r="C1060" s="9">
        <v>1927</v>
      </c>
      <c r="D1060" s="10">
        <v>45729</v>
      </c>
      <c r="E1060" s="11" t="str">
        <f>+HYPERLINK("http://trademark.i-assist.jp/data/china/image_1927th/82352238.pdf","82352238")</f>
        <v>82352238</v>
      </c>
      <c r="F1060" s="9" t="s">
        <v>3063</v>
      </c>
      <c r="G1060" s="9" t="s">
        <v>2918</v>
      </c>
      <c r="H1060" s="9" t="s">
        <v>3064</v>
      </c>
      <c r="I1060" s="10">
        <v>45630</v>
      </c>
    </row>
    <row r="1061" spans="1:9" x14ac:dyDescent="0.15">
      <c r="A1061" s="9">
        <v>1060</v>
      </c>
      <c r="B1061" s="9" t="s">
        <v>9</v>
      </c>
      <c r="C1061" s="9">
        <v>1927</v>
      </c>
      <c r="D1061" s="10">
        <v>45729</v>
      </c>
      <c r="E1061" s="11" t="str">
        <f>+HYPERLINK("http://trademark.i-assist.jp/data/china/image_1927th/82352367.pdf","82352367")</f>
        <v>82352367</v>
      </c>
      <c r="F1061" s="9" t="s">
        <v>3065</v>
      </c>
      <c r="G1061" s="9" t="s">
        <v>3066</v>
      </c>
      <c r="H1061" s="9" t="s">
        <v>3067</v>
      </c>
      <c r="I1061" s="10">
        <v>45630</v>
      </c>
    </row>
    <row r="1062" spans="1:9" x14ac:dyDescent="0.15">
      <c r="A1062" s="9">
        <v>1061</v>
      </c>
      <c r="B1062" s="9" t="s">
        <v>9</v>
      </c>
      <c r="C1062" s="9">
        <v>1927</v>
      </c>
      <c r="D1062" s="10">
        <v>45729</v>
      </c>
      <c r="E1062" s="11" t="str">
        <f>+HYPERLINK("http://trademark.i-assist.jp/data/china/image_1927th/82352580.pdf","82352580")</f>
        <v>82352580</v>
      </c>
      <c r="F1062" s="9" t="s">
        <v>3068</v>
      </c>
      <c r="G1062" s="12" t="s">
        <v>2969</v>
      </c>
      <c r="H1062" s="12" t="s">
        <v>3069</v>
      </c>
      <c r="I1062" s="10">
        <v>45630</v>
      </c>
    </row>
    <row r="1063" spans="1:9" x14ac:dyDescent="0.15">
      <c r="A1063" s="9">
        <v>1062</v>
      </c>
      <c r="B1063" s="9" t="s">
        <v>9</v>
      </c>
      <c r="C1063" s="9">
        <v>1927</v>
      </c>
      <c r="D1063" s="10">
        <v>45729</v>
      </c>
      <c r="E1063" s="11" t="str">
        <f>+HYPERLINK("http://trademark.i-assist.jp/data/china/image_1927th/82352892.pdf","82352892")</f>
        <v>82352892</v>
      </c>
      <c r="F1063" s="9" t="s">
        <v>3070</v>
      </c>
      <c r="G1063" s="12" t="s">
        <v>3071</v>
      </c>
      <c r="H1063" s="9" t="s">
        <v>3072</v>
      </c>
      <c r="I1063" s="10">
        <v>45630</v>
      </c>
    </row>
    <row r="1064" spans="1:9" x14ac:dyDescent="0.15">
      <c r="A1064" s="9">
        <v>1063</v>
      </c>
      <c r="B1064" s="9" t="s">
        <v>9</v>
      </c>
      <c r="C1064" s="9">
        <v>1927</v>
      </c>
      <c r="D1064" s="10">
        <v>45729</v>
      </c>
      <c r="E1064" s="11" t="str">
        <f>+HYPERLINK("http://trademark.i-assist.jp/data/china/image_1927th/82353514.pdf","82353514")</f>
        <v>82353514</v>
      </c>
      <c r="F1064" s="12" t="s">
        <v>3073</v>
      </c>
      <c r="G1064" s="9" t="s">
        <v>50</v>
      </c>
      <c r="H1064" s="9" t="s">
        <v>3074</v>
      </c>
      <c r="I1064" s="10">
        <v>45630</v>
      </c>
    </row>
    <row r="1065" spans="1:9" x14ac:dyDescent="0.15">
      <c r="A1065" s="9">
        <v>1064</v>
      </c>
      <c r="B1065" s="9" t="s">
        <v>9</v>
      </c>
      <c r="C1065" s="9">
        <v>1927</v>
      </c>
      <c r="D1065" s="10">
        <v>45729</v>
      </c>
      <c r="E1065" s="11" t="str">
        <f>+HYPERLINK("http://trademark.i-assist.jp/data/china/image_1927th/82353691.pdf","82353691")</f>
        <v>82353691</v>
      </c>
      <c r="F1065" s="9" t="s">
        <v>3075</v>
      </c>
      <c r="G1065" s="9" t="s">
        <v>3076</v>
      </c>
      <c r="H1065" s="9" t="s">
        <v>3077</v>
      </c>
      <c r="I1065" s="10">
        <v>45630</v>
      </c>
    </row>
    <row r="1066" spans="1:9" x14ac:dyDescent="0.15">
      <c r="A1066" s="9">
        <v>1065</v>
      </c>
      <c r="B1066" s="9" t="s">
        <v>9</v>
      </c>
      <c r="C1066" s="9">
        <v>1927</v>
      </c>
      <c r="D1066" s="10">
        <v>45729</v>
      </c>
      <c r="E1066" s="11" t="str">
        <f>+HYPERLINK("http://trademark.i-assist.jp/data/china/image_1927th/82354194.pdf","82354194")</f>
        <v>82354194</v>
      </c>
      <c r="F1066" s="9" t="s">
        <v>3078</v>
      </c>
      <c r="G1066" s="9" t="s">
        <v>3079</v>
      </c>
      <c r="H1066" s="9" t="s">
        <v>3080</v>
      </c>
      <c r="I1066" s="10">
        <v>45630</v>
      </c>
    </row>
    <row r="1067" spans="1:9" x14ac:dyDescent="0.15">
      <c r="A1067" s="9">
        <v>1066</v>
      </c>
      <c r="B1067" s="9" t="s">
        <v>9</v>
      </c>
      <c r="C1067" s="9">
        <v>1927</v>
      </c>
      <c r="D1067" s="10">
        <v>45729</v>
      </c>
      <c r="E1067" s="11" t="str">
        <f>+HYPERLINK("http://trademark.i-assist.jp/data/china/image_1927th/82354286.pdf","82354286")</f>
        <v>82354286</v>
      </c>
      <c r="F1067" s="9" t="s">
        <v>3081</v>
      </c>
      <c r="G1067" s="12" t="s">
        <v>3082</v>
      </c>
      <c r="H1067" s="9" t="s">
        <v>3083</v>
      </c>
      <c r="I1067" s="10">
        <v>45630</v>
      </c>
    </row>
    <row r="1068" spans="1:9" x14ac:dyDescent="0.15">
      <c r="A1068" s="9">
        <v>1067</v>
      </c>
      <c r="B1068" s="9" t="s">
        <v>9</v>
      </c>
      <c r="C1068" s="9">
        <v>1927</v>
      </c>
      <c r="D1068" s="10">
        <v>45729</v>
      </c>
      <c r="E1068" s="11" t="str">
        <f>+HYPERLINK("http://trademark.i-assist.jp/data/china/image_1927th/82354338.pdf","82354338")</f>
        <v>82354338</v>
      </c>
      <c r="F1068" s="9" t="s">
        <v>3084</v>
      </c>
      <c r="G1068" s="9" t="s">
        <v>3085</v>
      </c>
      <c r="H1068" s="9" t="s">
        <v>3086</v>
      </c>
      <c r="I1068" s="10">
        <v>45630</v>
      </c>
    </row>
    <row r="1069" spans="1:9" x14ac:dyDescent="0.15">
      <c r="A1069" s="9">
        <v>1068</v>
      </c>
      <c r="B1069" s="9" t="s">
        <v>9</v>
      </c>
      <c r="C1069" s="9">
        <v>1927</v>
      </c>
      <c r="D1069" s="10">
        <v>45729</v>
      </c>
      <c r="E1069" s="11" t="str">
        <f>+HYPERLINK("http://trademark.i-assist.jp/data/china/image_1927th/82354578.pdf","82354578")</f>
        <v>82354578</v>
      </c>
      <c r="F1069" s="9" t="s">
        <v>3087</v>
      </c>
      <c r="G1069" s="9" t="s">
        <v>3088</v>
      </c>
      <c r="H1069" s="9" t="s">
        <v>3089</v>
      </c>
      <c r="I1069" s="10">
        <v>45630</v>
      </c>
    </row>
    <row r="1070" spans="1:9" x14ac:dyDescent="0.15">
      <c r="A1070" s="9">
        <v>1069</v>
      </c>
      <c r="B1070" s="9" t="s">
        <v>9</v>
      </c>
      <c r="C1070" s="9">
        <v>1927</v>
      </c>
      <c r="D1070" s="10">
        <v>45729</v>
      </c>
      <c r="E1070" s="11" t="str">
        <f>+HYPERLINK("http://trademark.i-assist.jp/data/china/image_1927th/82354590.pdf","82354590")</f>
        <v>82354590</v>
      </c>
      <c r="F1070" s="9" t="s">
        <v>3090</v>
      </c>
      <c r="G1070" s="12" t="s">
        <v>3091</v>
      </c>
      <c r="H1070" s="9" t="s">
        <v>3092</v>
      </c>
      <c r="I1070" s="10">
        <v>45630</v>
      </c>
    </row>
    <row r="1071" spans="1:9" x14ac:dyDescent="0.15">
      <c r="A1071" s="9">
        <v>1070</v>
      </c>
      <c r="B1071" s="9" t="s">
        <v>9</v>
      </c>
      <c r="C1071" s="9">
        <v>1927</v>
      </c>
      <c r="D1071" s="10">
        <v>45729</v>
      </c>
      <c r="E1071" s="11" t="str">
        <f>+HYPERLINK("http://trademark.i-assist.jp/data/china/image_1927th/82354598.pdf","82354598")</f>
        <v>82354598</v>
      </c>
      <c r="F1071" s="12" t="s">
        <v>3093</v>
      </c>
      <c r="G1071" s="9" t="s">
        <v>3094</v>
      </c>
      <c r="H1071" s="9" t="s">
        <v>3095</v>
      </c>
      <c r="I1071" s="10">
        <v>45630</v>
      </c>
    </row>
    <row r="1072" spans="1:9" x14ac:dyDescent="0.15">
      <c r="A1072" s="9">
        <v>1071</v>
      </c>
      <c r="B1072" s="9" t="s">
        <v>9</v>
      </c>
      <c r="C1072" s="9">
        <v>1927</v>
      </c>
      <c r="D1072" s="10">
        <v>45729</v>
      </c>
      <c r="E1072" s="11" t="str">
        <f>+HYPERLINK("http://trademark.i-assist.jp/data/china/image_1927th/82354737.pdf","82354737")</f>
        <v>82354737</v>
      </c>
      <c r="F1072" s="9" t="s">
        <v>3096</v>
      </c>
      <c r="G1072" s="9" t="s">
        <v>3004</v>
      </c>
      <c r="H1072" s="9" t="s">
        <v>3097</v>
      </c>
      <c r="I1072" s="10">
        <v>45630</v>
      </c>
    </row>
    <row r="1073" spans="1:9" x14ac:dyDescent="0.15">
      <c r="A1073" s="9">
        <v>1072</v>
      </c>
      <c r="B1073" s="9" t="s">
        <v>9</v>
      </c>
      <c r="C1073" s="9">
        <v>1927</v>
      </c>
      <c r="D1073" s="10">
        <v>45729</v>
      </c>
      <c r="E1073" s="11" t="str">
        <f>+HYPERLINK("http://trademark.i-assist.jp/data/china/image_1927th/82354757.pdf","82354757")</f>
        <v>82354757</v>
      </c>
      <c r="F1073" s="9" t="s">
        <v>3098</v>
      </c>
      <c r="G1073" s="9" t="s">
        <v>3099</v>
      </c>
      <c r="H1073" s="9" t="s">
        <v>3100</v>
      </c>
      <c r="I1073" s="10">
        <v>45630</v>
      </c>
    </row>
    <row r="1074" spans="1:9" x14ac:dyDescent="0.15">
      <c r="A1074" s="9">
        <v>1073</v>
      </c>
      <c r="B1074" s="9" t="s">
        <v>9</v>
      </c>
      <c r="C1074" s="9">
        <v>1927</v>
      </c>
      <c r="D1074" s="10">
        <v>45729</v>
      </c>
      <c r="E1074" s="11" t="str">
        <f>+HYPERLINK("http://trademark.i-assist.jp/data/china/image_1927th/82354927.pdf","82354927")</f>
        <v>82354927</v>
      </c>
      <c r="F1074" s="13" t="s">
        <v>3101</v>
      </c>
      <c r="G1074" s="9" t="s">
        <v>2918</v>
      </c>
      <c r="H1074" s="9" t="s">
        <v>3102</v>
      </c>
      <c r="I1074" s="10">
        <v>45630</v>
      </c>
    </row>
    <row r="1075" spans="1:9" x14ac:dyDescent="0.15">
      <c r="A1075" s="9">
        <v>1074</v>
      </c>
      <c r="B1075" s="9" t="s">
        <v>9</v>
      </c>
      <c r="C1075" s="9">
        <v>1927</v>
      </c>
      <c r="D1075" s="10">
        <v>45729</v>
      </c>
      <c r="E1075" s="11" t="str">
        <f>+HYPERLINK("http://trademark.i-assist.jp/data/china/image_1927th/82355048.pdf","82355048")</f>
        <v>82355048</v>
      </c>
      <c r="F1075" s="9" t="s">
        <v>3103</v>
      </c>
      <c r="G1075" s="9" t="s">
        <v>3104</v>
      </c>
      <c r="H1075" s="9" t="s">
        <v>3105</v>
      </c>
      <c r="I1075" s="10">
        <v>45630</v>
      </c>
    </row>
    <row r="1076" spans="1:9" x14ac:dyDescent="0.15">
      <c r="A1076" s="9">
        <v>1075</v>
      </c>
      <c r="B1076" s="9" t="s">
        <v>9</v>
      </c>
      <c r="C1076" s="9">
        <v>1927</v>
      </c>
      <c r="D1076" s="10">
        <v>45729</v>
      </c>
      <c r="E1076" s="11" t="str">
        <f>+HYPERLINK("http://trademark.i-assist.jp/data/china/image_1927th/82355274.pdf","82355274")</f>
        <v>82355274</v>
      </c>
      <c r="F1076" s="9" t="s">
        <v>3106</v>
      </c>
      <c r="G1076" s="12" t="s">
        <v>3107</v>
      </c>
      <c r="H1076" s="9" t="s">
        <v>3108</v>
      </c>
      <c r="I1076" s="10">
        <v>45630</v>
      </c>
    </row>
    <row r="1077" spans="1:9" x14ac:dyDescent="0.15">
      <c r="A1077" s="9">
        <v>1076</v>
      </c>
      <c r="B1077" s="9" t="s">
        <v>9</v>
      </c>
      <c r="C1077" s="9">
        <v>1927</v>
      </c>
      <c r="D1077" s="10">
        <v>45729</v>
      </c>
      <c r="E1077" s="11" t="str">
        <f>+HYPERLINK("http://trademark.i-assist.jp/data/china/image_1927th/82355765.pdf","82355765")</f>
        <v>82355765</v>
      </c>
      <c r="F1077" s="9" t="s">
        <v>3109</v>
      </c>
      <c r="G1077" s="9" t="s">
        <v>3110</v>
      </c>
      <c r="H1077" s="9" t="s">
        <v>3111</v>
      </c>
      <c r="I1077" s="10">
        <v>45630</v>
      </c>
    </row>
    <row r="1078" spans="1:9" x14ac:dyDescent="0.15">
      <c r="A1078" s="9">
        <v>1077</v>
      </c>
      <c r="B1078" s="9" t="s">
        <v>9</v>
      </c>
      <c r="C1078" s="9">
        <v>1927</v>
      </c>
      <c r="D1078" s="10">
        <v>45729</v>
      </c>
      <c r="E1078" s="11" t="str">
        <f>+HYPERLINK("http://trademark.i-assist.jp/data/china/image_1927th/82356544.pdf","82356544")</f>
        <v>82356544</v>
      </c>
      <c r="F1078" s="12" t="s">
        <v>3112</v>
      </c>
      <c r="G1078" s="12" t="s">
        <v>3007</v>
      </c>
      <c r="H1078" s="12" t="s">
        <v>3113</v>
      </c>
      <c r="I1078" s="10">
        <v>45630</v>
      </c>
    </row>
    <row r="1079" spans="1:9" x14ac:dyDescent="0.15">
      <c r="A1079" s="9">
        <v>1078</v>
      </c>
      <c r="B1079" s="9" t="s">
        <v>9</v>
      </c>
      <c r="C1079" s="9">
        <v>1927</v>
      </c>
      <c r="D1079" s="10">
        <v>45729</v>
      </c>
      <c r="E1079" s="11" t="str">
        <f>+HYPERLINK("http://trademark.i-assist.jp/data/china/image_1927th/82356584.pdf","82356584")</f>
        <v>82356584</v>
      </c>
      <c r="F1079" s="12" t="s">
        <v>3114</v>
      </c>
      <c r="G1079" s="12" t="s">
        <v>3007</v>
      </c>
      <c r="H1079" s="9" t="s">
        <v>3115</v>
      </c>
      <c r="I1079" s="10">
        <v>45630</v>
      </c>
    </row>
    <row r="1080" spans="1:9" x14ac:dyDescent="0.15">
      <c r="A1080" s="9">
        <v>1079</v>
      </c>
      <c r="B1080" s="9" t="s">
        <v>9</v>
      </c>
      <c r="C1080" s="9">
        <v>1927</v>
      </c>
      <c r="D1080" s="10">
        <v>45729</v>
      </c>
      <c r="E1080" s="11" t="str">
        <f>+HYPERLINK("http://trademark.i-assist.jp/data/china/image_1927th/82356753.pdf","82356753")</f>
        <v>82356753</v>
      </c>
      <c r="F1080" s="12" t="s">
        <v>3116</v>
      </c>
      <c r="G1080" s="12" t="s">
        <v>2927</v>
      </c>
      <c r="H1080" s="9" t="s">
        <v>3117</v>
      </c>
      <c r="I1080" s="10">
        <v>45630</v>
      </c>
    </row>
    <row r="1081" spans="1:9" x14ac:dyDescent="0.15">
      <c r="A1081" s="9">
        <v>1080</v>
      </c>
      <c r="B1081" s="9" t="s">
        <v>9</v>
      </c>
      <c r="C1081" s="9">
        <v>1927</v>
      </c>
      <c r="D1081" s="10">
        <v>45729</v>
      </c>
      <c r="E1081" s="11" t="str">
        <f>+HYPERLINK("http://trademark.i-assist.jp/data/china/image_1927th/82356896.pdf","82356896")</f>
        <v>82356896</v>
      </c>
      <c r="F1081" s="9" t="s">
        <v>3118</v>
      </c>
      <c r="G1081" s="9" t="s">
        <v>3119</v>
      </c>
      <c r="H1081" s="12" t="s">
        <v>3120</v>
      </c>
      <c r="I1081" s="10">
        <v>45630</v>
      </c>
    </row>
    <row r="1082" spans="1:9" x14ac:dyDescent="0.15">
      <c r="A1082" s="9">
        <v>1081</v>
      </c>
      <c r="B1082" s="9" t="s">
        <v>9</v>
      </c>
      <c r="C1082" s="9">
        <v>1927</v>
      </c>
      <c r="D1082" s="10">
        <v>45729</v>
      </c>
      <c r="E1082" s="11" t="str">
        <f>+HYPERLINK("http://trademark.i-assist.jp/data/china/image_1927th/82358017.pdf","82358017")</f>
        <v>82358017</v>
      </c>
      <c r="F1082" s="9" t="s">
        <v>3121</v>
      </c>
      <c r="G1082" s="9" t="s">
        <v>3122</v>
      </c>
      <c r="H1082" s="9" t="s">
        <v>3123</v>
      </c>
      <c r="I1082" s="10">
        <v>45630</v>
      </c>
    </row>
    <row r="1083" spans="1:9" x14ac:dyDescent="0.15">
      <c r="A1083" s="9">
        <v>1082</v>
      </c>
      <c r="B1083" s="9" t="s">
        <v>9</v>
      </c>
      <c r="C1083" s="9">
        <v>1927</v>
      </c>
      <c r="D1083" s="10">
        <v>45729</v>
      </c>
      <c r="E1083" s="11" t="str">
        <f>+HYPERLINK("http://trademark.i-assist.jp/data/china/image_1927th/82358059.pdf","82358059")</f>
        <v>82358059</v>
      </c>
      <c r="F1083" s="9" t="s">
        <v>3124</v>
      </c>
      <c r="G1083" s="12" t="s">
        <v>2963</v>
      </c>
      <c r="H1083" s="9" t="s">
        <v>3125</v>
      </c>
      <c r="I1083" s="10">
        <v>45630</v>
      </c>
    </row>
    <row r="1084" spans="1:9" x14ac:dyDescent="0.15">
      <c r="A1084" s="9">
        <v>1083</v>
      </c>
      <c r="B1084" s="9" t="s">
        <v>9</v>
      </c>
      <c r="C1084" s="9">
        <v>1927</v>
      </c>
      <c r="D1084" s="10">
        <v>45729</v>
      </c>
      <c r="E1084" s="11" t="str">
        <f>+HYPERLINK("http://trademark.i-assist.jp/data/china/image_1927th/82358276.pdf","82358276")</f>
        <v>82358276</v>
      </c>
      <c r="F1084" s="13" t="s">
        <v>3126</v>
      </c>
      <c r="G1084" s="9" t="s">
        <v>2918</v>
      </c>
      <c r="H1084" s="9" t="s">
        <v>3127</v>
      </c>
      <c r="I1084" s="10">
        <v>45630</v>
      </c>
    </row>
    <row r="1085" spans="1:9" x14ac:dyDescent="0.15">
      <c r="A1085" s="9">
        <v>1084</v>
      </c>
      <c r="B1085" s="9" t="s">
        <v>9</v>
      </c>
      <c r="C1085" s="9">
        <v>1927</v>
      </c>
      <c r="D1085" s="10">
        <v>45729</v>
      </c>
      <c r="E1085" s="11" t="str">
        <f>+HYPERLINK("http://trademark.i-assist.jp/data/china/image_1927th/82358299.pdf","82358299")</f>
        <v>82358299</v>
      </c>
      <c r="F1085" s="9" t="s">
        <v>3128</v>
      </c>
      <c r="G1085" s="9" t="s">
        <v>3026</v>
      </c>
      <c r="H1085" s="9" t="s">
        <v>3129</v>
      </c>
      <c r="I1085" s="10">
        <v>45630</v>
      </c>
    </row>
    <row r="1086" spans="1:9" x14ac:dyDescent="0.15">
      <c r="A1086" s="9">
        <v>1085</v>
      </c>
      <c r="B1086" s="9" t="s">
        <v>9</v>
      </c>
      <c r="C1086" s="9">
        <v>1927</v>
      </c>
      <c r="D1086" s="10">
        <v>45729</v>
      </c>
      <c r="E1086" s="11" t="str">
        <f>+HYPERLINK("http://trademark.i-assist.jp/data/china/image_1927th/82358733.pdf","82358733")</f>
        <v>82358733</v>
      </c>
      <c r="F1086" s="9" t="s">
        <v>3130</v>
      </c>
      <c r="G1086" s="9" t="s">
        <v>3131</v>
      </c>
      <c r="H1086" s="9" t="s">
        <v>3132</v>
      </c>
      <c r="I1086" s="10">
        <v>45630</v>
      </c>
    </row>
    <row r="1087" spans="1:9" x14ac:dyDescent="0.15">
      <c r="A1087" s="9">
        <v>1086</v>
      </c>
      <c r="B1087" s="9" t="s">
        <v>9</v>
      </c>
      <c r="C1087" s="9">
        <v>1927</v>
      </c>
      <c r="D1087" s="10">
        <v>45729</v>
      </c>
      <c r="E1087" s="11" t="str">
        <f>+HYPERLINK("http://trademark.i-assist.jp/data/china/image_1927th/82358924.pdf","82358924")</f>
        <v>82358924</v>
      </c>
      <c r="F1087" s="12" t="s">
        <v>3133</v>
      </c>
      <c r="G1087" s="12" t="s">
        <v>3134</v>
      </c>
      <c r="H1087" s="9" t="s">
        <v>3135</v>
      </c>
      <c r="I1087" s="10">
        <v>45630</v>
      </c>
    </row>
    <row r="1088" spans="1:9" x14ac:dyDescent="0.15">
      <c r="A1088" s="9">
        <v>1087</v>
      </c>
      <c r="B1088" s="9" t="s">
        <v>9</v>
      </c>
      <c r="C1088" s="9">
        <v>1927</v>
      </c>
      <c r="D1088" s="10">
        <v>45729</v>
      </c>
      <c r="E1088" s="11" t="str">
        <f>+HYPERLINK("http://trademark.i-assist.jp/data/china/image_1927th/82359142.pdf","82359142")</f>
        <v>82359142</v>
      </c>
      <c r="F1088" s="9" t="s">
        <v>3136</v>
      </c>
      <c r="G1088" s="9" t="s">
        <v>3137</v>
      </c>
      <c r="H1088" s="9" t="s">
        <v>3138</v>
      </c>
      <c r="I1088" s="10">
        <v>45630</v>
      </c>
    </row>
    <row r="1089" spans="1:9" x14ac:dyDescent="0.15">
      <c r="A1089" s="9">
        <v>1088</v>
      </c>
      <c r="B1089" s="9" t="s">
        <v>9</v>
      </c>
      <c r="C1089" s="9">
        <v>1927</v>
      </c>
      <c r="D1089" s="10">
        <v>45729</v>
      </c>
      <c r="E1089" s="11" t="str">
        <f>+HYPERLINK("http://trademark.i-assist.jp/data/china/image_1927th/82359346.pdf","82359346")</f>
        <v>82359346</v>
      </c>
      <c r="F1089" s="9" t="s">
        <v>3139</v>
      </c>
      <c r="G1089" s="9" t="s">
        <v>3140</v>
      </c>
      <c r="H1089" s="9" t="s">
        <v>3141</v>
      </c>
      <c r="I1089" s="10">
        <v>45630</v>
      </c>
    </row>
    <row r="1090" spans="1:9" x14ac:dyDescent="0.15">
      <c r="A1090" s="9">
        <v>1089</v>
      </c>
      <c r="B1090" s="9" t="s">
        <v>9</v>
      </c>
      <c r="C1090" s="9">
        <v>1927</v>
      </c>
      <c r="D1090" s="10">
        <v>45729</v>
      </c>
      <c r="E1090" s="11" t="str">
        <f>+HYPERLINK("http://trademark.i-assist.jp/data/china/image_1927th/82359367.pdf","82359367")</f>
        <v>82359367</v>
      </c>
      <c r="F1090" s="9" t="s">
        <v>3142</v>
      </c>
      <c r="G1090" s="12" t="s">
        <v>3143</v>
      </c>
      <c r="H1090" s="9" t="s">
        <v>3144</v>
      </c>
      <c r="I1090" s="10">
        <v>45630</v>
      </c>
    </row>
    <row r="1091" spans="1:9" x14ac:dyDescent="0.15">
      <c r="A1091" s="9">
        <v>1090</v>
      </c>
      <c r="B1091" s="9" t="s">
        <v>9</v>
      </c>
      <c r="C1091" s="9">
        <v>1927</v>
      </c>
      <c r="D1091" s="10">
        <v>45729</v>
      </c>
      <c r="E1091" s="11" t="str">
        <f>+HYPERLINK("http://trademark.i-assist.jp/data/china/image_1927th/82359613.pdf","82359613")</f>
        <v>82359613</v>
      </c>
      <c r="F1091" s="9" t="s">
        <v>3145</v>
      </c>
      <c r="G1091" s="12" t="s">
        <v>3146</v>
      </c>
      <c r="H1091" s="9" t="s">
        <v>3147</v>
      </c>
      <c r="I1091" s="10">
        <v>45630</v>
      </c>
    </row>
    <row r="1092" spans="1:9" x14ac:dyDescent="0.15">
      <c r="A1092" s="9">
        <v>1091</v>
      </c>
      <c r="B1092" s="9" t="s">
        <v>9</v>
      </c>
      <c r="C1092" s="9">
        <v>1927</v>
      </c>
      <c r="D1092" s="10">
        <v>45729</v>
      </c>
      <c r="E1092" s="11" t="str">
        <f>+HYPERLINK("http://trademark.i-assist.jp/data/china/image_1927th/82359717.pdf","82359717")</f>
        <v>82359717</v>
      </c>
      <c r="F1092" s="9" t="s">
        <v>3148</v>
      </c>
      <c r="G1092" s="9" t="s">
        <v>3149</v>
      </c>
      <c r="H1092" s="9" t="s">
        <v>3150</v>
      </c>
      <c r="I1092" s="10">
        <v>45630</v>
      </c>
    </row>
    <row r="1093" spans="1:9" x14ac:dyDescent="0.15">
      <c r="A1093" s="9">
        <v>1092</v>
      </c>
      <c r="B1093" s="9" t="s">
        <v>9</v>
      </c>
      <c r="C1093" s="9">
        <v>1927</v>
      </c>
      <c r="D1093" s="10">
        <v>45729</v>
      </c>
      <c r="E1093" s="11" t="str">
        <f>+HYPERLINK("http://trademark.i-assist.jp/data/china/image_1927th/82360802.pdf","82360802")</f>
        <v>82360802</v>
      </c>
      <c r="F1093" s="9" t="s">
        <v>3151</v>
      </c>
      <c r="G1093" s="9" t="s">
        <v>3152</v>
      </c>
      <c r="H1093" s="9" t="s">
        <v>3153</v>
      </c>
      <c r="I1093" s="10">
        <v>45630</v>
      </c>
    </row>
    <row r="1094" spans="1:9" x14ac:dyDescent="0.15">
      <c r="A1094" s="9">
        <v>1093</v>
      </c>
      <c r="B1094" s="9" t="s">
        <v>9</v>
      </c>
      <c r="C1094" s="9">
        <v>1927</v>
      </c>
      <c r="D1094" s="10">
        <v>45729</v>
      </c>
      <c r="E1094" s="11" t="str">
        <f>+HYPERLINK("http://trademark.i-assist.jp/data/china/image_1927th/82361156.pdf","82361156")</f>
        <v>82361156</v>
      </c>
      <c r="F1094" s="9" t="s">
        <v>3154</v>
      </c>
      <c r="G1094" s="9" t="s">
        <v>3155</v>
      </c>
      <c r="H1094" s="9" t="s">
        <v>3156</v>
      </c>
      <c r="I1094" s="10">
        <v>45630</v>
      </c>
    </row>
    <row r="1095" spans="1:9" x14ac:dyDescent="0.15">
      <c r="A1095" s="9">
        <v>1094</v>
      </c>
      <c r="B1095" s="9" t="s">
        <v>9</v>
      </c>
      <c r="C1095" s="9">
        <v>1927</v>
      </c>
      <c r="D1095" s="10">
        <v>45729</v>
      </c>
      <c r="E1095" s="11" t="str">
        <f>+HYPERLINK("http://trademark.i-assist.jp/data/china/image_1927th/82361204.pdf","82361204")</f>
        <v>82361204</v>
      </c>
      <c r="F1095" s="12" t="s">
        <v>3157</v>
      </c>
      <c r="G1095" s="12" t="s">
        <v>2927</v>
      </c>
      <c r="H1095" s="9" t="s">
        <v>3158</v>
      </c>
      <c r="I1095" s="10">
        <v>45630</v>
      </c>
    </row>
    <row r="1096" spans="1:9" x14ac:dyDescent="0.15">
      <c r="A1096" s="9">
        <v>1095</v>
      </c>
      <c r="B1096" s="9" t="s">
        <v>9</v>
      </c>
      <c r="C1096" s="9">
        <v>1927</v>
      </c>
      <c r="D1096" s="10">
        <v>45729</v>
      </c>
      <c r="E1096" s="11" t="str">
        <f>+HYPERLINK("http://trademark.i-assist.jp/data/china/image_1927th/82363212.pdf","82363212")</f>
        <v>82363212</v>
      </c>
      <c r="F1096" s="9" t="s">
        <v>3159</v>
      </c>
      <c r="G1096" s="9" t="s">
        <v>3160</v>
      </c>
      <c r="H1096" s="9" t="s">
        <v>3161</v>
      </c>
      <c r="I1096" s="10">
        <v>45631</v>
      </c>
    </row>
    <row r="1097" spans="1:9" x14ac:dyDescent="0.15">
      <c r="A1097" s="9">
        <v>1096</v>
      </c>
      <c r="B1097" s="9" t="s">
        <v>9</v>
      </c>
      <c r="C1097" s="9">
        <v>1927</v>
      </c>
      <c r="D1097" s="10">
        <v>45729</v>
      </c>
      <c r="E1097" s="11" t="str">
        <f>+HYPERLINK("http://trademark.i-assist.jp/data/china/image_1927th/82363286.pdf","82363286")</f>
        <v>82363286</v>
      </c>
      <c r="F1097" s="9" t="s">
        <v>3162</v>
      </c>
      <c r="G1097" s="9" t="s">
        <v>171</v>
      </c>
      <c r="H1097" s="9" t="s">
        <v>3163</v>
      </c>
      <c r="I1097" s="10">
        <v>45631</v>
      </c>
    </row>
    <row r="1098" spans="1:9" x14ac:dyDescent="0.15">
      <c r="A1098" s="9">
        <v>1097</v>
      </c>
      <c r="B1098" s="9" t="s">
        <v>9</v>
      </c>
      <c r="C1098" s="9">
        <v>1927</v>
      </c>
      <c r="D1098" s="10">
        <v>45729</v>
      </c>
      <c r="E1098" s="11" t="str">
        <f>+HYPERLINK("http://trademark.i-assist.jp/data/china/image_1927th/82363847.pdf","82363847")</f>
        <v>82363847</v>
      </c>
      <c r="F1098" s="9" t="s">
        <v>3164</v>
      </c>
      <c r="G1098" s="9" t="s">
        <v>3165</v>
      </c>
      <c r="H1098" s="12" t="s">
        <v>3166</v>
      </c>
      <c r="I1098" s="10">
        <v>45631</v>
      </c>
    </row>
    <row r="1099" spans="1:9" x14ac:dyDescent="0.15">
      <c r="A1099" s="9">
        <v>1098</v>
      </c>
      <c r="B1099" s="9" t="s">
        <v>9</v>
      </c>
      <c r="C1099" s="9">
        <v>1927</v>
      </c>
      <c r="D1099" s="10">
        <v>45729</v>
      </c>
      <c r="E1099" s="11" t="str">
        <f>+HYPERLINK("http://trademark.i-assist.jp/data/china/image_1927th/82363912.pdf","82363912")</f>
        <v>82363912</v>
      </c>
      <c r="F1099" s="9" t="s">
        <v>3167</v>
      </c>
      <c r="G1099" s="9" t="s">
        <v>3168</v>
      </c>
      <c r="H1099" s="9" t="s">
        <v>3169</v>
      </c>
      <c r="I1099" s="10">
        <v>45631</v>
      </c>
    </row>
    <row r="1100" spans="1:9" x14ac:dyDescent="0.15">
      <c r="A1100" s="9">
        <v>1099</v>
      </c>
      <c r="B1100" s="9" t="s">
        <v>9</v>
      </c>
      <c r="C1100" s="9">
        <v>1927</v>
      </c>
      <c r="D1100" s="10">
        <v>45729</v>
      </c>
      <c r="E1100" s="11" t="str">
        <f>+HYPERLINK("http://trademark.i-assist.jp/data/china/image_1927th/82364047.pdf","82364047")</f>
        <v>82364047</v>
      </c>
      <c r="F1100" s="9" t="s">
        <v>3170</v>
      </c>
      <c r="G1100" s="12" t="s">
        <v>3171</v>
      </c>
      <c r="H1100" s="9" t="s">
        <v>3172</v>
      </c>
      <c r="I1100" s="10">
        <v>45631</v>
      </c>
    </row>
    <row r="1101" spans="1:9" x14ac:dyDescent="0.15">
      <c r="A1101" s="9">
        <v>1100</v>
      </c>
      <c r="B1101" s="9" t="s">
        <v>9</v>
      </c>
      <c r="C1101" s="9">
        <v>1927</v>
      </c>
      <c r="D1101" s="10">
        <v>45729</v>
      </c>
      <c r="E1101" s="11" t="str">
        <f>+HYPERLINK("http://trademark.i-assist.jp/data/china/image_1927th/82364064.pdf","82364064")</f>
        <v>82364064</v>
      </c>
      <c r="F1101" s="9" t="s">
        <v>3173</v>
      </c>
      <c r="G1101" s="9" t="s">
        <v>3174</v>
      </c>
      <c r="H1101" s="9" t="s">
        <v>3175</v>
      </c>
      <c r="I1101" s="10">
        <v>45631</v>
      </c>
    </row>
    <row r="1102" spans="1:9" x14ac:dyDescent="0.15">
      <c r="A1102" s="9">
        <v>1101</v>
      </c>
      <c r="B1102" s="9" t="s">
        <v>9</v>
      </c>
      <c r="C1102" s="9">
        <v>1927</v>
      </c>
      <c r="D1102" s="10">
        <v>45729</v>
      </c>
      <c r="E1102" s="11" t="str">
        <f>+HYPERLINK("http://trademark.i-assist.jp/data/china/image_1927th/82364548.pdf","82364548")</f>
        <v>82364548</v>
      </c>
      <c r="F1102" s="12" t="s">
        <v>3176</v>
      </c>
      <c r="G1102" s="9" t="s">
        <v>3177</v>
      </c>
      <c r="H1102" s="9" t="s">
        <v>3178</v>
      </c>
      <c r="I1102" s="10">
        <v>45631</v>
      </c>
    </row>
    <row r="1103" spans="1:9" x14ac:dyDescent="0.15">
      <c r="A1103" s="9">
        <v>1102</v>
      </c>
      <c r="B1103" s="9" t="s">
        <v>9</v>
      </c>
      <c r="C1103" s="9">
        <v>1927</v>
      </c>
      <c r="D1103" s="10">
        <v>45729</v>
      </c>
      <c r="E1103" s="11" t="str">
        <f>+HYPERLINK("http://trademark.i-assist.jp/data/china/image_1927th/82365036.pdf","82365036")</f>
        <v>82365036</v>
      </c>
      <c r="F1103" s="9" t="s">
        <v>3179</v>
      </c>
      <c r="G1103" s="9" t="s">
        <v>3180</v>
      </c>
      <c r="H1103" s="9" t="s">
        <v>3181</v>
      </c>
      <c r="I1103" s="10">
        <v>45631</v>
      </c>
    </row>
    <row r="1104" spans="1:9" x14ac:dyDescent="0.15">
      <c r="A1104" s="9">
        <v>1103</v>
      </c>
      <c r="B1104" s="9" t="s">
        <v>9</v>
      </c>
      <c r="C1104" s="9">
        <v>1927</v>
      </c>
      <c r="D1104" s="10">
        <v>45729</v>
      </c>
      <c r="E1104" s="11" t="str">
        <f>+HYPERLINK("http://trademark.i-assist.jp/data/china/image_1927th/82365054.pdf","82365054")</f>
        <v>82365054</v>
      </c>
      <c r="F1104" s="9" t="s">
        <v>3182</v>
      </c>
      <c r="G1104" s="9" t="s">
        <v>3183</v>
      </c>
      <c r="H1104" s="12" t="s">
        <v>3184</v>
      </c>
      <c r="I1104" s="10">
        <v>45631</v>
      </c>
    </row>
    <row r="1105" spans="1:9" x14ac:dyDescent="0.15">
      <c r="A1105" s="9">
        <v>1104</v>
      </c>
      <c r="B1105" s="9" t="s">
        <v>9</v>
      </c>
      <c r="C1105" s="9">
        <v>1927</v>
      </c>
      <c r="D1105" s="10">
        <v>45729</v>
      </c>
      <c r="E1105" s="11" t="str">
        <f>+HYPERLINK("http://trademark.i-assist.jp/data/china/image_1927th/82365204.pdf","82365204")</f>
        <v>82365204</v>
      </c>
      <c r="F1105" s="9" t="s">
        <v>3185</v>
      </c>
      <c r="G1105" s="12" t="s">
        <v>3186</v>
      </c>
      <c r="H1105" s="9" t="s">
        <v>3187</v>
      </c>
      <c r="I1105" s="10">
        <v>45631</v>
      </c>
    </row>
    <row r="1106" spans="1:9" x14ac:dyDescent="0.15">
      <c r="A1106" s="9">
        <v>1105</v>
      </c>
      <c r="B1106" s="9" t="s">
        <v>9</v>
      </c>
      <c r="C1106" s="9">
        <v>1927</v>
      </c>
      <c r="D1106" s="10">
        <v>45729</v>
      </c>
      <c r="E1106" s="11" t="str">
        <f>+HYPERLINK("http://trademark.i-assist.jp/data/china/image_1927th/82365579.pdf","82365579")</f>
        <v>82365579</v>
      </c>
      <c r="F1106" s="9" t="s">
        <v>3188</v>
      </c>
      <c r="G1106" s="12" t="s">
        <v>2927</v>
      </c>
      <c r="H1106" s="9" t="s">
        <v>3189</v>
      </c>
      <c r="I1106" s="10">
        <v>45631</v>
      </c>
    </row>
    <row r="1107" spans="1:9" x14ac:dyDescent="0.15">
      <c r="A1107" s="9">
        <v>1106</v>
      </c>
      <c r="B1107" s="9" t="s">
        <v>9</v>
      </c>
      <c r="C1107" s="9">
        <v>1927</v>
      </c>
      <c r="D1107" s="10">
        <v>45729</v>
      </c>
      <c r="E1107" s="11" t="str">
        <f>+HYPERLINK("http://trademark.i-assist.jp/data/china/image_1927th/82365743.pdf","82365743")</f>
        <v>82365743</v>
      </c>
      <c r="F1107" s="9" t="s">
        <v>3190</v>
      </c>
      <c r="G1107" s="9" t="s">
        <v>3191</v>
      </c>
      <c r="H1107" s="9" t="s">
        <v>3192</v>
      </c>
      <c r="I1107" s="10">
        <v>45631</v>
      </c>
    </row>
    <row r="1108" spans="1:9" x14ac:dyDescent="0.15">
      <c r="A1108" s="9">
        <v>1107</v>
      </c>
      <c r="B1108" s="9" t="s">
        <v>9</v>
      </c>
      <c r="C1108" s="9">
        <v>1927</v>
      </c>
      <c r="D1108" s="10">
        <v>45729</v>
      </c>
      <c r="E1108" s="11" t="str">
        <f>+HYPERLINK("http://trademark.i-assist.jp/data/china/image_1927th/82366021.pdf","82366021")</f>
        <v>82366021</v>
      </c>
      <c r="F1108" s="9" t="s">
        <v>3193</v>
      </c>
      <c r="G1108" s="9" t="s">
        <v>3194</v>
      </c>
      <c r="H1108" s="9" t="s">
        <v>3195</v>
      </c>
      <c r="I1108" s="10">
        <v>45631</v>
      </c>
    </row>
    <row r="1109" spans="1:9" x14ac:dyDescent="0.15">
      <c r="A1109" s="9">
        <v>1108</v>
      </c>
      <c r="B1109" s="9" t="s">
        <v>9</v>
      </c>
      <c r="C1109" s="9">
        <v>1927</v>
      </c>
      <c r="D1109" s="10">
        <v>45729</v>
      </c>
      <c r="E1109" s="11" t="str">
        <f>+HYPERLINK("http://trademark.i-assist.jp/data/china/image_1927th/82366331.pdf","82366331")</f>
        <v>82366331</v>
      </c>
      <c r="F1109" s="9" t="s">
        <v>3196</v>
      </c>
      <c r="G1109" s="9" t="s">
        <v>3197</v>
      </c>
      <c r="H1109" s="12" t="s">
        <v>3198</v>
      </c>
      <c r="I1109" s="10">
        <v>45631</v>
      </c>
    </row>
    <row r="1110" spans="1:9" x14ac:dyDescent="0.15">
      <c r="A1110" s="9">
        <v>1109</v>
      </c>
      <c r="B1110" s="9" t="s">
        <v>9</v>
      </c>
      <c r="C1110" s="9">
        <v>1927</v>
      </c>
      <c r="D1110" s="10">
        <v>45729</v>
      </c>
      <c r="E1110" s="11" t="str">
        <f>+HYPERLINK("http://trademark.i-assist.jp/data/china/image_1927th/82366606.pdf","82366606")</f>
        <v>82366606</v>
      </c>
      <c r="F1110" s="9" t="s">
        <v>3199</v>
      </c>
      <c r="G1110" s="9" t="s">
        <v>3200</v>
      </c>
      <c r="H1110" s="9" t="s">
        <v>3201</v>
      </c>
      <c r="I1110" s="10">
        <v>45631</v>
      </c>
    </row>
    <row r="1111" spans="1:9" x14ac:dyDescent="0.15">
      <c r="A1111" s="9">
        <v>1110</v>
      </c>
      <c r="B1111" s="9" t="s">
        <v>9</v>
      </c>
      <c r="C1111" s="9">
        <v>1927</v>
      </c>
      <c r="D1111" s="10">
        <v>45729</v>
      </c>
      <c r="E1111" s="11" t="str">
        <f>+HYPERLINK("http://trademark.i-assist.jp/data/china/image_1927th/82366824.pdf","82366824")</f>
        <v>82366824</v>
      </c>
      <c r="F1111" s="9" t="s">
        <v>3202</v>
      </c>
      <c r="G1111" s="9" t="s">
        <v>3203</v>
      </c>
      <c r="H1111" s="9" t="s">
        <v>3204</v>
      </c>
      <c r="I1111" s="10">
        <v>45631</v>
      </c>
    </row>
    <row r="1112" spans="1:9" x14ac:dyDescent="0.15">
      <c r="A1112" s="9">
        <v>1111</v>
      </c>
      <c r="B1112" s="9" t="s">
        <v>9</v>
      </c>
      <c r="C1112" s="9">
        <v>1927</v>
      </c>
      <c r="D1112" s="10">
        <v>45729</v>
      </c>
      <c r="E1112" s="11" t="str">
        <f>+HYPERLINK("http://trademark.i-assist.jp/data/china/image_1927th/82367734.pdf","82367734")</f>
        <v>82367734</v>
      </c>
      <c r="F1112" s="12" t="s">
        <v>3205</v>
      </c>
      <c r="G1112" s="9" t="s">
        <v>3206</v>
      </c>
      <c r="H1112" s="9" t="s">
        <v>3207</v>
      </c>
      <c r="I1112" s="10">
        <v>45631</v>
      </c>
    </row>
    <row r="1113" spans="1:9" x14ac:dyDescent="0.15">
      <c r="A1113" s="9">
        <v>1112</v>
      </c>
      <c r="B1113" s="9" t="s">
        <v>9</v>
      </c>
      <c r="C1113" s="9">
        <v>1927</v>
      </c>
      <c r="D1113" s="10">
        <v>45729</v>
      </c>
      <c r="E1113" s="11" t="str">
        <f>+HYPERLINK("http://trademark.i-assist.jp/data/china/image_1927th/82368012.pdf","82368012")</f>
        <v>82368012</v>
      </c>
      <c r="F1113" s="12" t="s">
        <v>3208</v>
      </c>
      <c r="G1113" s="12" t="s">
        <v>3209</v>
      </c>
      <c r="H1113" s="9" t="s">
        <v>3210</v>
      </c>
      <c r="I1113" s="10">
        <v>45631</v>
      </c>
    </row>
    <row r="1114" spans="1:9" x14ac:dyDescent="0.15">
      <c r="A1114" s="9">
        <v>1113</v>
      </c>
      <c r="B1114" s="9" t="s">
        <v>9</v>
      </c>
      <c r="C1114" s="9">
        <v>1927</v>
      </c>
      <c r="D1114" s="10">
        <v>45729</v>
      </c>
      <c r="E1114" s="11" t="str">
        <f>+HYPERLINK("http://trademark.i-assist.jp/data/china/image_1927th/82368025.pdf","82368025")</f>
        <v>82368025</v>
      </c>
      <c r="F1114" s="9" t="s">
        <v>3211</v>
      </c>
      <c r="G1114" s="9" t="s">
        <v>3212</v>
      </c>
      <c r="H1114" s="9" t="s">
        <v>3213</v>
      </c>
      <c r="I1114" s="10">
        <v>45631</v>
      </c>
    </row>
    <row r="1115" spans="1:9" x14ac:dyDescent="0.15">
      <c r="A1115" s="9">
        <v>1114</v>
      </c>
      <c r="B1115" s="9" t="s">
        <v>9</v>
      </c>
      <c r="C1115" s="9">
        <v>1927</v>
      </c>
      <c r="D1115" s="10">
        <v>45729</v>
      </c>
      <c r="E1115" s="11" t="str">
        <f>+HYPERLINK("http://trademark.i-assist.jp/data/china/image_1927th/82368130.pdf","82368130")</f>
        <v>82368130</v>
      </c>
      <c r="F1115" s="9" t="s">
        <v>3214</v>
      </c>
      <c r="G1115" s="9" t="s">
        <v>3215</v>
      </c>
      <c r="H1115" s="9" t="s">
        <v>3216</v>
      </c>
      <c r="I1115" s="10">
        <v>45631</v>
      </c>
    </row>
    <row r="1116" spans="1:9" x14ac:dyDescent="0.15">
      <c r="A1116" s="9">
        <v>1115</v>
      </c>
      <c r="B1116" s="9" t="s">
        <v>9</v>
      </c>
      <c r="C1116" s="9">
        <v>1927</v>
      </c>
      <c r="D1116" s="10">
        <v>45729</v>
      </c>
      <c r="E1116" s="11" t="str">
        <f>+HYPERLINK("http://trademark.i-assist.jp/data/china/image_1927th/82368135.pdf","82368135")</f>
        <v>82368135</v>
      </c>
      <c r="F1116" s="9" t="s">
        <v>3217</v>
      </c>
      <c r="G1116" s="9" t="s">
        <v>3218</v>
      </c>
      <c r="H1116" s="12" t="s">
        <v>3219</v>
      </c>
      <c r="I1116" s="10">
        <v>45631</v>
      </c>
    </row>
    <row r="1117" spans="1:9" x14ac:dyDescent="0.15">
      <c r="A1117" s="9">
        <v>1116</v>
      </c>
      <c r="B1117" s="9" t="s">
        <v>9</v>
      </c>
      <c r="C1117" s="9">
        <v>1927</v>
      </c>
      <c r="D1117" s="10">
        <v>45729</v>
      </c>
      <c r="E1117" s="11" t="str">
        <f>+HYPERLINK("http://trademark.i-assist.jp/data/china/image_1927th/82368523.pdf","82368523")</f>
        <v>82368523</v>
      </c>
      <c r="F1117" s="9" t="s">
        <v>3220</v>
      </c>
      <c r="G1117" s="9" t="s">
        <v>3221</v>
      </c>
      <c r="H1117" s="9" t="s">
        <v>3222</v>
      </c>
      <c r="I1117" s="10">
        <v>45631</v>
      </c>
    </row>
    <row r="1118" spans="1:9" x14ac:dyDescent="0.15">
      <c r="A1118" s="9">
        <v>1117</v>
      </c>
      <c r="B1118" s="9" t="s">
        <v>9</v>
      </c>
      <c r="C1118" s="9">
        <v>1927</v>
      </c>
      <c r="D1118" s="10">
        <v>45729</v>
      </c>
      <c r="E1118" s="11" t="str">
        <f>+HYPERLINK("http://trademark.i-assist.jp/data/china/image_1927th/82368630.pdf","82368630")</f>
        <v>82368630</v>
      </c>
      <c r="F1118" s="9" t="s">
        <v>3223</v>
      </c>
      <c r="G1118" s="9" t="s">
        <v>3224</v>
      </c>
      <c r="H1118" s="9" t="s">
        <v>3225</v>
      </c>
      <c r="I1118" s="10">
        <v>45631</v>
      </c>
    </row>
    <row r="1119" spans="1:9" x14ac:dyDescent="0.15">
      <c r="A1119" s="9">
        <v>1118</v>
      </c>
      <c r="B1119" s="9" t="s">
        <v>9</v>
      </c>
      <c r="C1119" s="9">
        <v>1927</v>
      </c>
      <c r="D1119" s="10">
        <v>45729</v>
      </c>
      <c r="E1119" s="11" t="str">
        <f>+HYPERLINK("http://trademark.i-assist.jp/data/china/image_1927th/82368641.pdf","82368641")</f>
        <v>82368641</v>
      </c>
      <c r="F1119" s="9" t="s">
        <v>3226</v>
      </c>
      <c r="G1119" s="9" t="s">
        <v>3227</v>
      </c>
      <c r="H1119" s="9" t="s">
        <v>3228</v>
      </c>
      <c r="I1119" s="10">
        <v>45631</v>
      </c>
    </row>
    <row r="1120" spans="1:9" x14ac:dyDescent="0.15">
      <c r="A1120" s="9">
        <v>1119</v>
      </c>
      <c r="B1120" s="9" t="s">
        <v>9</v>
      </c>
      <c r="C1120" s="9">
        <v>1927</v>
      </c>
      <c r="D1120" s="10">
        <v>45729</v>
      </c>
      <c r="E1120" s="11" t="str">
        <f>+HYPERLINK("http://trademark.i-assist.jp/data/china/image_1927th/82368688.pdf","82368688")</f>
        <v>82368688</v>
      </c>
      <c r="F1120" s="9" t="s">
        <v>3229</v>
      </c>
      <c r="G1120" s="9" t="s">
        <v>3230</v>
      </c>
      <c r="H1120" s="9" t="s">
        <v>3231</v>
      </c>
      <c r="I1120" s="10">
        <v>45631</v>
      </c>
    </row>
    <row r="1121" spans="1:9" x14ac:dyDescent="0.15">
      <c r="A1121" s="9">
        <v>1120</v>
      </c>
      <c r="B1121" s="9" t="s">
        <v>9</v>
      </c>
      <c r="C1121" s="9">
        <v>1927</v>
      </c>
      <c r="D1121" s="10">
        <v>45729</v>
      </c>
      <c r="E1121" s="11" t="str">
        <f>+HYPERLINK("http://trademark.i-assist.jp/data/china/image_1927th/82368810.pdf","82368810")</f>
        <v>82368810</v>
      </c>
      <c r="F1121" s="9" t="s">
        <v>3232</v>
      </c>
      <c r="G1121" s="9" t="s">
        <v>3206</v>
      </c>
      <c r="H1121" s="9" t="s">
        <v>3233</v>
      </c>
      <c r="I1121" s="10">
        <v>45631</v>
      </c>
    </row>
    <row r="1122" spans="1:9" x14ac:dyDescent="0.15">
      <c r="A1122" s="9">
        <v>1121</v>
      </c>
      <c r="B1122" s="9" t="s">
        <v>9</v>
      </c>
      <c r="C1122" s="9">
        <v>1927</v>
      </c>
      <c r="D1122" s="10">
        <v>45729</v>
      </c>
      <c r="E1122" s="11" t="str">
        <f>+HYPERLINK("http://trademark.i-assist.jp/data/china/image_1927th/82368850.pdf","82368850")</f>
        <v>82368850</v>
      </c>
      <c r="F1122" s="9" t="s">
        <v>3234</v>
      </c>
      <c r="G1122" s="9" t="s">
        <v>3235</v>
      </c>
      <c r="H1122" s="9" t="s">
        <v>3236</v>
      </c>
      <c r="I1122" s="10">
        <v>45631</v>
      </c>
    </row>
    <row r="1123" spans="1:9" x14ac:dyDescent="0.15">
      <c r="A1123" s="9">
        <v>1122</v>
      </c>
      <c r="B1123" s="9" t="s">
        <v>9</v>
      </c>
      <c r="C1123" s="9">
        <v>1927</v>
      </c>
      <c r="D1123" s="10">
        <v>45729</v>
      </c>
      <c r="E1123" s="11" t="str">
        <f>+HYPERLINK("http://trademark.i-assist.jp/data/china/image_1927th/82369288.pdf","82369288")</f>
        <v>82369288</v>
      </c>
      <c r="F1123" s="9" t="s">
        <v>3237</v>
      </c>
      <c r="G1123" s="9" t="s">
        <v>3238</v>
      </c>
      <c r="H1123" s="9" t="s">
        <v>3239</v>
      </c>
      <c r="I1123" s="10">
        <v>45631</v>
      </c>
    </row>
    <row r="1124" spans="1:9" x14ac:dyDescent="0.15">
      <c r="A1124" s="9">
        <v>1123</v>
      </c>
      <c r="B1124" s="9" t="s">
        <v>9</v>
      </c>
      <c r="C1124" s="9">
        <v>1927</v>
      </c>
      <c r="D1124" s="10">
        <v>45729</v>
      </c>
      <c r="E1124" s="11" t="str">
        <f>+HYPERLINK("http://trademark.i-assist.jp/data/china/image_1927th/82369374.pdf","82369374")</f>
        <v>82369374</v>
      </c>
      <c r="F1124" s="9" t="s">
        <v>3240</v>
      </c>
      <c r="G1124" s="9" t="s">
        <v>3241</v>
      </c>
      <c r="H1124" s="12" t="s">
        <v>3242</v>
      </c>
      <c r="I1124" s="10">
        <v>45631</v>
      </c>
    </row>
    <row r="1125" spans="1:9" x14ac:dyDescent="0.15">
      <c r="A1125" s="9">
        <v>1124</v>
      </c>
      <c r="B1125" s="9" t="s">
        <v>9</v>
      </c>
      <c r="C1125" s="9">
        <v>1927</v>
      </c>
      <c r="D1125" s="10">
        <v>45729</v>
      </c>
      <c r="E1125" s="11" t="str">
        <f>+HYPERLINK("http://trademark.i-assist.jp/data/china/image_1927th/82369378.pdf","82369378")</f>
        <v>82369378</v>
      </c>
      <c r="F1125" s="9" t="s">
        <v>3243</v>
      </c>
      <c r="G1125" s="9" t="s">
        <v>3244</v>
      </c>
      <c r="H1125" s="9" t="s">
        <v>3245</v>
      </c>
      <c r="I1125" s="10">
        <v>45631</v>
      </c>
    </row>
    <row r="1126" spans="1:9" x14ac:dyDescent="0.15">
      <c r="A1126" s="9">
        <v>1125</v>
      </c>
      <c r="B1126" s="9" t="s">
        <v>9</v>
      </c>
      <c r="C1126" s="9">
        <v>1927</v>
      </c>
      <c r="D1126" s="10">
        <v>45729</v>
      </c>
      <c r="E1126" s="11" t="str">
        <f>+HYPERLINK("http://trademark.i-assist.jp/data/china/image_1927th/82369430.pdf","82369430")</f>
        <v>82369430</v>
      </c>
      <c r="F1126" s="9" t="s">
        <v>3246</v>
      </c>
      <c r="G1126" s="9" t="s">
        <v>3247</v>
      </c>
      <c r="H1126" s="12" t="s">
        <v>3248</v>
      </c>
      <c r="I1126" s="10">
        <v>45631</v>
      </c>
    </row>
    <row r="1127" spans="1:9" x14ac:dyDescent="0.15">
      <c r="A1127" s="9">
        <v>1126</v>
      </c>
      <c r="B1127" s="9" t="s">
        <v>9</v>
      </c>
      <c r="C1127" s="9">
        <v>1927</v>
      </c>
      <c r="D1127" s="10">
        <v>45729</v>
      </c>
      <c r="E1127" s="11" t="str">
        <f>+HYPERLINK("http://trademark.i-assist.jp/data/china/image_1927th/82369957.pdf","82369957")</f>
        <v>82369957</v>
      </c>
      <c r="F1127" s="12" t="s">
        <v>3249</v>
      </c>
      <c r="G1127" s="9" t="s">
        <v>3250</v>
      </c>
      <c r="H1127" s="9" t="s">
        <v>3251</v>
      </c>
      <c r="I1127" s="10">
        <v>45631</v>
      </c>
    </row>
    <row r="1128" spans="1:9" x14ac:dyDescent="0.15">
      <c r="A1128" s="9">
        <v>1127</v>
      </c>
      <c r="B1128" s="9" t="s">
        <v>9</v>
      </c>
      <c r="C1128" s="9">
        <v>1927</v>
      </c>
      <c r="D1128" s="10">
        <v>45729</v>
      </c>
      <c r="E1128" s="11" t="str">
        <f>+HYPERLINK("http://trademark.i-assist.jp/data/china/image_1927th/82369987.pdf","82369987")</f>
        <v>82369987</v>
      </c>
      <c r="F1128" s="9" t="s">
        <v>3252</v>
      </c>
      <c r="G1128" s="9" t="s">
        <v>3253</v>
      </c>
      <c r="H1128" s="9" t="s">
        <v>3254</v>
      </c>
      <c r="I1128" s="10">
        <v>45631</v>
      </c>
    </row>
    <row r="1129" spans="1:9" x14ac:dyDescent="0.15">
      <c r="A1129" s="9">
        <v>1128</v>
      </c>
      <c r="B1129" s="9" t="s">
        <v>9</v>
      </c>
      <c r="C1129" s="9">
        <v>1927</v>
      </c>
      <c r="D1129" s="10">
        <v>45729</v>
      </c>
      <c r="E1129" s="11" t="str">
        <f>+HYPERLINK("http://trademark.i-assist.jp/data/china/image_1927th/82370333.pdf","82370333")</f>
        <v>82370333</v>
      </c>
      <c r="F1129" s="9" t="s">
        <v>3255</v>
      </c>
      <c r="G1129" s="9" t="s">
        <v>3256</v>
      </c>
      <c r="H1129" s="9" t="s">
        <v>3257</v>
      </c>
      <c r="I1129" s="10">
        <v>45631</v>
      </c>
    </row>
    <row r="1130" spans="1:9" x14ac:dyDescent="0.15">
      <c r="A1130" s="9">
        <v>1129</v>
      </c>
      <c r="B1130" s="9" t="s">
        <v>9</v>
      </c>
      <c r="C1130" s="9">
        <v>1927</v>
      </c>
      <c r="D1130" s="10">
        <v>45729</v>
      </c>
      <c r="E1130" s="11" t="str">
        <f>+HYPERLINK("http://trademark.i-assist.jp/data/china/image_1927th/82370671.pdf","82370671")</f>
        <v>82370671</v>
      </c>
      <c r="F1130" s="9" t="s">
        <v>3258</v>
      </c>
      <c r="G1130" s="9" t="s">
        <v>3259</v>
      </c>
      <c r="H1130" s="9" t="s">
        <v>3260</v>
      </c>
      <c r="I1130" s="10">
        <v>45631</v>
      </c>
    </row>
    <row r="1131" spans="1:9" x14ac:dyDescent="0.15">
      <c r="A1131" s="9">
        <v>1130</v>
      </c>
      <c r="B1131" s="9" t="s">
        <v>9</v>
      </c>
      <c r="C1131" s="9">
        <v>1927</v>
      </c>
      <c r="D1131" s="10">
        <v>45729</v>
      </c>
      <c r="E1131" s="11" t="str">
        <f>+HYPERLINK("http://trademark.i-assist.jp/data/china/image_1927th/82370677.pdf","82370677")</f>
        <v>82370677</v>
      </c>
      <c r="F1131" s="12" t="s">
        <v>3261</v>
      </c>
      <c r="G1131" s="9" t="s">
        <v>63</v>
      </c>
      <c r="H1131" s="9" t="s">
        <v>3262</v>
      </c>
      <c r="I1131" s="10">
        <v>45631</v>
      </c>
    </row>
    <row r="1132" spans="1:9" x14ac:dyDescent="0.15">
      <c r="A1132" s="9">
        <v>1131</v>
      </c>
      <c r="B1132" s="9" t="s">
        <v>9</v>
      </c>
      <c r="C1132" s="9">
        <v>1927</v>
      </c>
      <c r="D1132" s="10">
        <v>45729</v>
      </c>
      <c r="E1132" s="11" t="str">
        <f>+HYPERLINK("http://trademark.i-assist.jp/data/china/image_1927th/82370712.pdf","82370712")</f>
        <v>82370712</v>
      </c>
      <c r="F1132" s="9" t="s">
        <v>3263</v>
      </c>
      <c r="G1132" s="9" t="s">
        <v>3264</v>
      </c>
      <c r="H1132" s="9" t="s">
        <v>3265</v>
      </c>
      <c r="I1132" s="10">
        <v>45631</v>
      </c>
    </row>
    <row r="1133" spans="1:9" x14ac:dyDescent="0.15">
      <c r="A1133" s="9">
        <v>1132</v>
      </c>
      <c r="B1133" s="9" t="s">
        <v>9</v>
      </c>
      <c r="C1133" s="9">
        <v>1927</v>
      </c>
      <c r="D1133" s="10">
        <v>45729</v>
      </c>
      <c r="E1133" s="11" t="str">
        <f>+HYPERLINK("http://trademark.i-assist.jp/data/china/image_1927th/82370850.pdf","82370850")</f>
        <v>82370850</v>
      </c>
      <c r="F1133" s="9" t="s">
        <v>3266</v>
      </c>
      <c r="G1133" s="9" t="s">
        <v>3267</v>
      </c>
      <c r="H1133" s="9" t="s">
        <v>3268</v>
      </c>
      <c r="I1133" s="10">
        <v>45631</v>
      </c>
    </row>
    <row r="1134" spans="1:9" x14ac:dyDescent="0.15">
      <c r="A1134" s="9">
        <v>1133</v>
      </c>
      <c r="B1134" s="9" t="s">
        <v>9</v>
      </c>
      <c r="C1134" s="9">
        <v>1927</v>
      </c>
      <c r="D1134" s="10">
        <v>45729</v>
      </c>
      <c r="E1134" s="11" t="str">
        <f>+HYPERLINK("http://trademark.i-assist.jp/data/china/image_1927th/82371412.pdf","82371412")</f>
        <v>82371412</v>
      </c>
      <c r="F1134" s="9" t="s">
        <v>3269</v>
      </c>
      <c r="G1134" s="9" t="s">
        <v>22</v>
      </c>
      <c r="H1134" s="9" t="s">
        <v>3270</v>
      </c>
      <c r="I1134" s="10">
        <v>45631</v>
      </c>
    </row>
    <row r="1135" spans="1:9" x14ac:dyDescent="0.15">
      <c r="A1135" s="9">
        <v>1134</v>
      </c>
      <c r="B1135" s="9" t="s">
        <v>9</v>
      </c>
      <c r="C1135" s="9">
        <v>1927</v>
      </c>
      <c r="D1135" s="10">
        <v>45729</v>
      </c>
      <c r="E1135" s="11" t="str">
        <f>+HYPERLINK("http://trademark.i-assist.jp/data/china/image_1927th/82371427.pdf","82371427")</f>
        <v>82371427</v>
      </c>
      <c r="F1135" s="9" t="s">
        <v>3271</v>
      </c>
      <c r="G1135" s="9" t="s">
        <v>3272</v>
      </c>
      <c r="H1135" s="9" t="s">
        <v>3273</v>
      </c>
      <c r="I1135" s="10">
        <v>45631</v>
      </c>
    </row>
    <row r="1136" spans="1:9" x14ac:dyDescent="0.15">
      <c r="A1136" s="9">
        <v>1135</v>
      </c>
      <c r="B1136" s="9" t="s">
        <v>9</v>
      </c>
      <c r="C1136" s="9">
        <v>1927</v>
      </c>
      <c r="D1136" s="10">
        <v>45729</v>
      </c>
      <c r="E1136" s="11" t="str">
        <f>+HYPERLINK("http://trademark.i-assist.jp/data/china/image_1927th/82371491.pdf","82371491")</f>
        <v>82371491</v>
      </c>
      <c r="F1136" s="9" t="s">
        <v>3274</v>
      </c>
      <c r="G1136" s="9" t="s">
        <v>3275</v>
      </c>
      <c r="H1136" s="9" t="s">
        <v>3276</v>
      </c>
      <c r="I1136" s="10">
        <v>45631</v>
      </c>
    </row>
    <row r="1137" spans="1:9" x14ac:dyDescent="0.15">
      <c r="A1137" s="9">
        <v>1136</v>
      </c>
      <c r="B1137" s="9" t="s">
        <v>9</v>
      </c>
      <c r="C1137" s="9">
        <v>1927</v>
      </c>
      <c r="D1137" s="10">
        <v>45729</v>
      </c>
      <c r="E1137" s="11" t="str">
        <f>+HYPERLINK("http://trademark.i-assist.jp/data/china/image_1927th/82371692.pdf","82371692")</f>
        <v>82371692</v>
      </c>
      <c r="F1137" s="9" t="s">
        <v>3277</v>
      </c>
      <c r="G1137" s="9" t="s">
        <v>3278</v>
      </c>
      <c r="H1137" s="9" t="s">
        <v>3279</v>
      </c>
      <c r="I1137" s="10">
        <v>45631</v>
      </c>
    </row>
    <row r="1138" spans="1:9" x14ac:dyDescent="0.15">
      <c r="A1138" s="9">
        <v>1137</v>
      </c>
      <c r="B1138" s="9" t="s">
        <v>9</v>
      </c>
      <c r="C1138" s="9">
        <v>1927</v>
      </c>
      <c r="D1138" s="10">
        <v>45729</v>
      </c>
      <c r="E1138" s="11" t="str">
        <f>+HYPERLINK("http://trademark.i-assist.jp/data/china/image_1927th/82371711.pdf","82371711")</f>
        <v>82371711</v>
      </c>
      <c r="F1138" s="9" t="s">
        <v>3280</v>
      </c>
      <c r="G1138" s="12" t="s">
        <v>3281</v>
      </c>
      <c r="H1138" s="9" t="s">
        <v>3282</v>
      </c>
      <c r="I1138" s="10">
        <v>45631</v>
      </c>
    </row>
    <row r="1139" spans="1:9" x14ac:dyDescent="0.15">
      <c r="A1139" s="9">
        <v>1138</v>
      </c>
      <c r="B1139" s="9" t="s">
        <v>9</v>
      </c>
      <c r="C1139" s="9">
        <v>1927</v>
      </c>
      <c r="D1139" s="10">
        <v>45729</v>
      </c>
      <c r="E1139" s="11" t="str">
        <f>+HYPERLINK("http://trademark.i-assist.jp/data/china/image_1927th/82372791.pdf","82372791")</f>
        <v>82372791</v>
      </c>
      <c r="F1139" s="9" t="s">
        <v>3283</v>
      </c>
      <c r="G1139" s="12" t="s">
        <v>3284</v>
      </c>
      <c r="H1139" s="9" t="s">
        <v>3285</v>
      </c>
      <c r="I1139" s="10">
        <v>45631</v>
      </c>
    </row>
    <row r="1140" spans="1:9" x14ac:dyDescent="0.15">
      <c r="A1140" s="9">
        <v>1139</v>
      </c>
      <c r="B1140" s="9" t="s">
        <v>9</v>
      </c>
      <c r="C1140" s="9">
        <v>1927</v>
      </c>
      <c r="D1140" s="10">
        <v>45729</v>
      </c>
      <c r="E1140" s="11" t="str">
        <f>+HYPERLINK("http://trademark.i-assist.jp/data/china/image_1927th/82372817.pdf","82372817")</f>
        <v>82372817</v>
      </c>
      <c r="F1140" s="12" t="s">
        <v>3286</v>
      </c>
      <c r="G1140" s="9" t="s">
        <v>3287</v>
      </c>
      <c r="H1140" s="9" t="s">
        <v>3288</v>
      </c>
      <c r="I1140" s="10">
        <v>45631</v>
      </c>
    </row>
    <row r="1141" spans="1:9" x14ac:dyDescent="0.15">
      <c r="A1141" s="9">
        <v>1140</v>
      </c>
      <c r="B1141" s="9" t="s">
        <v>9</v>
      </c>
      <c r="C1141" s="9">
        <v>1927</v>
      </c>
      <c r="D1141" s="10">
        <v>45729</v>
      </c>
      <c r="E1141" s="11" t="str">
        <f>+HYPERLINK("http://trademark.i-assist.jp/data/china/image_1927th/82372889.pdf","82372889")</f>
        <v>82372889</v>
      </c>
      <c r="F1141" s="9" t="s">
        <v>3289</v>
      </c>
      <c r="G1141" s="9" t="s">
        <v>3290</v>
      </c>
      <c r="H1141" s="9" t="s">
        <v>3291</v>
      </c>
      <c r="I1141" s="10">
        <v>45631</v>
      </c>
    </row>
    <row r="1142" spans="1:9" x14ac:dyDescent="0.15">
      <c r="A1142" s="9">
        <v>1141</v>
      </c>
      <c r="B1142" s="9" t="s">
        <v>9</v>
      </c>
      <c r="C1142" s="9">
        <v>1927</v>
      </c>
      <c r="D1142" s="10">
        <v>45729</v>
      </c>
      <c r="E1142" s="11" t="str">
        <f>+HYPERLINK("http://trademark.i-assist.jp/data/china/image_1927th/82373105.pdf","82373105")</f>
        <v>82373105</v>
      </c>
      <c r="F1142" s="9" t="s">
        <v>3292</v>
      </c>
      <c r="G1142" s="12" t="s">
        <v>3293</v>
      </c>
      <c r="H1142" s="9" t="s">
        <v>3294</v>
      </c>
      <c r="I1142" s="10">
        <v>45631</v>
      </c>
    </row>
    <row r="1143" spans="1:9" x14ac:dyDescent="0.15">
      <c r="A1143" s="9">
        <v>1142</v>
      </c>
      <c r="B1143" s="9" t="s">
        <v>9</v>
      </c>
      <c r="C1143" s="9">
        <v>1927</v>
      </c>
      <c r="D1143" s="10">
        <v>45729</v>
      </c>
      <c r="E1143" s="11" t="str">
        <f>+HYPERLINK("http://trademark.i-assist.jp/data/china/image_1927th/82373117.pdf","82373117")</f>
        <v>82373117</v>
      </c>
      <c r="F1143" s="9" t="s">
        <v>3295</v>
      </c>
      <c r="G1143" s="9" t="s">
        <v>171</v>
      </c>
      <c r="H1143" s="9" t="s">
        <v>3296</v>
      </c>
      <c r="I1143" s="10">
        <v>45631</v>
      </c>
    </row>
    <row r="1144" spans="1:9" x14ac:dyDescent="0.15">
      <c r="A1144" s="9">
        <v>1143</v>
      </c>
      <c r="B1144" s="9" t="s">
        <v>9</v>
      </c>
      <c r="C1144" s="9">
        <v>1927</v>
      </c>
      <c r="D1144" s="10">
        <v>45729</v>
      </c>
      <c r="E1144" s="11" t="str">
        <f>+HYPERLINK("http://trademark.i-assist.jp/data/china/image_1927th/82373711.pdf","82373711")</f>
        <v>82373711</v>
      </c>
      <c r="F1144" s="9" t="s">
        <v>3297</v>
      </c>
      <c r="G1144" s="9" t="s">
        <v>3298</v>
      </c>
      <c r="H1144" s="12" t="s">
        <v>3299</v>
      </c>
      <c r="I1144" s="10">
        <v>45631</v>
      </c>
    </row>
    <row r="1145" spans="1:9" x14ac:dyDescent="0.15">
      <c r="A1145" s="9">
        <v>1144</v>
      </c>
      <c r="B1145" s="9" t="s">
        <v>9</v>
      </c>
      <c r="C1145" s="9">
        <v>1927</v>
      </c>
      <c r="D1145" s="10">
        <v>45729</v>
      </c>
      <c r="E1145" s="11" t="str">
        <f>+HYPERLINK("http://trademark.i-assist.jp/data/china/image_1927th/82373715.pdf","82373715")</f>
        <v>82373715</v>
      </c>
      <c r="F1145" s="9" t="s">
        <v>3300</v>
      </c>
      <c r="G1145" s="12" t="s">
        <v>3301</v>
      </c>
      <c r="H1145" s="9" t="s">
        <v>3302</v>
      </c>
      <c r="I1145" s="10">
        <v>45631</v>
      </c>
    </row>
    <row r="1146" spans="1:9" x14ac:dyDescent="0.15">
      <c r="A1146" s="9">
        <v>1145</v>
      </c>
      <c r="B1146" s="9" t="s">
        <v>9</v>
      </c>
      <c r="C1146" s="9">
        <v>1927</v>
      </c>
      <c r="D1146" s="10">
        <v>45729</v>
      </c>
      <c r="E1146" s="11" t="str">
        <f>+HYPERLINK("http://trademark.i-assist.jp/data/china/image_1927th/82373723.pdf","82373723")</f>
        <v>82373723</v>
      </c>
      <c r="F1146" s="9" t="s">
        <v>3303</v>
      </c>
      <c r="G1146" s="12" t="s">
        <v>3301</v>
      </c>
      <c r="H1146" s="9" t="s">
        <v>3304</v>
      </c>
      <c r="I1146" s="10">
        <v>45631</v>
      </c>
    </row>
    <row r="1147" spans="1:9" x14ac:dyDescent="0.15">
      <c r="A1147" s="9">
        <v>1146</v>
      </c>
      <c r="B1147" s="9" t="s">
        <v>9</v>
      </c>
      <c r="C1147" s="9">
        <v>1927</v>
      </c>
      <c r="D1147" s="10">
        <v>45729</v>
      </c>
      <c r="E1147" s="11" t="str">
        <f>+HYPERLINK("http://trademark.i-assist.jp/data/china/image_1927th/82373837.pdf","82373837")</f>
        <v>82373837</v>
      </c>
      <c r="F1147" s="12" t="s">
        <v>3305</v>
      </c>
      <c r="G1147" s="9" t="s">
        <v>3306</v>
      </c>
      <c r="H1147" s="9" t="s">
        <v>3307</v>
      </c>
      <c r="I1147" s="10">
        <v>45631</v>
      </c>
    </row>
    <row r="1148" spans="1:9" x14ac:dyDescent="0.15">
      <c r="A1148" s="9">
        <v>1147</v>
      </c>
      <c r="B1148" s="9" t="s">
        <v>9</v>
      </c>
      <c r="C1148" s="9">
        <v>1927</v>
      </c>
      <c r="D1148" s="10">
        <v>45729</v>
      </c>
      <c r="E1148" s="11" t="str">
        <f>+HYPERLINK("http://trademark.i-assist.jp/data/china/image_1927th/82373925.pdf","82373925")</f>
        <v>82373925</v>
      </c>
      <c r="F1148" s="9" t="s">
        <v>3308</v>
      </c>
      <c r="G1148" s="9" t="s">
        <v>3309</v>
      </c>
      <c r="H1148" s="9" t="s">
        <v>3310</v>
      </c>
      <c r="I1148" s="10">
        <v>45631</v>
      </c>
    </row>
    <row r="1149" spans="1:9" x14ac:dyDescent="0.15">
      <c r="A1149" s="9">
        <v>1148</v>
      </c>
      <c r="B1149" s="9" t="s">
        <v>9</v>
      </c>
      <c r="C1149" s="9">
        <v>1927</v>
      </c>
      <c r="D1149" s="10">
        <v>45729</v>
      </c>
      <c r="E1149" s="11" t="str">
        <f>+HYPERLINK("http://trademark.i-assist.jp/data/china/image_1927th/82373965.pdf","82373965")</f>
        <v>82373965</v>
      </c>
      <c r="F1149" s="9" t="s">
        <v>3311</v>
      </c>
      <c r="G1149" s="9" t="s">
        <v>3312</v>
      </c>
      <c r="H1149" s="9" t="s">
        <v>3313</v>
      </c>
      <c r="I1149" s="10">
        <v>45631</v>
      </c>
    </row>
    <row r="1150" spans="1:9" x14ac:dyDescent="0.15">
      <c r="A1150" s="9">
        <v>1149</v>
      </c>
      <c r="B1150" s="9" t="s">
        <v>9</v>
      </c>
      <c r="C1150" s="9">
        <v>1927</v>
      </c>
      <c r="D1150" s="10">
        <v>45729</v>
      </c>
      <c r="E1150" s="11" t="str">
        <f>+HYPERLINK("http://trademark.i-assist.jp/data/china/image_1927th/82373981.pdf","82373981")</f>
        <v>82373981</v>
      </c>
      <c r="F1150" s="9" t="s">
        <v>3314</v>
      </c>
      <c r="G1150" s="9" t="s">
        <v>3227</v>
      </c>
      <c r="H1150" s="9" t="s">
        <v>3315</v>
      </c>
      <c r="I1150" s="10">
        <v>45631</v>
      </c>
    </row>
    <row r="1151" spans="1:9" x14ac:dyDescent="0.15">
      <c r="A1151" s="9">
        <v>1150</v>
      </c>
      <c r="B1151" s="9" t="s">
        <v>9</v>
      </c>
      <c r="C1151" s="9">
        <v>1927</v>
      </c>
      <c r="D1151" s="10">
        <v>45729</v>
      </c>
      <c r="E1151" s="11" t="str">
        <f>+HYPERLINK("http://trademark.i-assist.jp/data/china/image_1927th/82374655.pdf","82374655")</f>
        <v>82374655</v>
      </c>
      <c r="F1151" s="9" t="s">
        <v>3316</v>
      </c>
      <c r="G1151" s="9" t="s">
        <v>3317</v>
      </c>
      <c r="H1151" s="9" t="s">
        <v>3318</v>
      </c>
      <c r="I1151" s="10">
        <v>45631</v>
      </c>
    </row>
    <row r="1152" spans="1:9" x14ac:dyDescent="0.15">
      <c r="A1152" s="9">
        <v>1151</v>
      </c>
      <c r="B1152" s="9" t="s">
        <v>9</v>
      </c>
      <c r="C1152" s="9">
        <v>1927</v>
      </c>
      <c r="D1152" s="10">
        <v>45729</v>
      </c>
      <c r="E1152" s="11" t="str">
        <f>+HYPERLINK("http://trademark.i-assist.jp/data/china/image_1927th/82374747.pdf","82374747")</f>
        <v>82374747</v>
      </c>
      <c r="F1152" s="9" t="s">
        <v>3319</v>
      </c>
      <c r="G1152" s="9" t="s">
        <v>3320</v>
      </c>
      <c r="H1152" s="9" t="s">
        <v>3321</v>
      </c>
      <c r="I1152" s="10">
        <v>45631</v>
      </c>
    </row>
    <row r="1153" spans="1:9" x14ac:dyDescent="0.15">
      <c r="A1153" s="9">
        <v>1152</v>
      </c>
      <c r="B1153" s="9" t="s">
        <v>9</v>
      </c>
      <c r="C1153" s="9">
        <v>1927</v>
      </c>
      <c r="D1153" s="10">
        <v>45729</v>
      </c>
      <c r="E1153" s="11" t="str">
        <f>+HYPERLINK("http://trademark.i-assist.jp/data/china/image_1927th/82374864.pdf","82374864")</f>
        <v>82374864</v>
      </c>
      <c r="F1153" s="9" t="s">
        <v>3322</v>
      </c>
      <c r="G1153" s="9" t="s">
        <v>3323</v>
      </c>
      <c r="H1153" s="9" t="s">
        <v>3324</v>
      </c>
      <c r="I1153" s="10">
        <v>45631</v>
      </c>
    </row>
    <row r="1154" spans="1:9" x14ac:dyDescent="0.15">
      <c r="A1154" s="9">
        <v>1153</v>
      </c>
      <c r="B1154" s="9" t="s">
        <v>9</v>
      </c>
      <c r="C1154" s="9">
        <v>1927</v>
      </c>
      <c r="D1154" s="10">
        <v>45729</v>
      </c>
      <c r="E1154" s="11" t="str">
        <f>+HYPERLINK("http://trademark.i-assist.jp/data/china/image_1927th/82374953.pdf","82374953")</f>
        <v>82374953</v>
      </c>
      <c r="F1154" s="9" t="s">
        <v>3325</v>
      </c>
      <c r="G1154" s="12" t="s">
        <v>1956</v>
      </c>
      <c r="H1154" s="9" t="s">
        <v>3326</v>
      </c>
      <c r="I1154" s="10">
        <v>45631</v>
      </c>
    </row>
    <row r="1155" spans="1:9" x14ac:dyDescent="0.15">
      <c r="A1155" s="9">
        <v>1154</v>
      </c>
      <c r="B1155" s="9" t="s">
        <v>9</v>
      </c>
      <c r="C1155" s="9">
        <v>1927</v>
      </c>
      <c r="D1155" s="10">
        <v>45729</v>
      </c>
      <c r="E1155" s="11" t="str">
        <f>+HYPERLINK("http://trademark.i-assist.jp/data/china/image_1927th/82375150.pdf","82375150")</f>
        <v>82375150</v>
      </c>
      <c r="F1155" s="12" t="s">
        <v>3327</v>
      </c>
      <c r="G1155" s="9" t="s">
        <v>3328</v>
      </c>
      <c r="H1155" s="9" t="s">
        <v>3329</v>
      </c>
      <c r="I1155" s="10">
        <v>45631</v>
      </c>
    </row>
    <row r="1156" spans="1:9" x14ac:dyDescent="0.15">
      <c r="A1156" s="9">
        <v>1155</v>
      </c>
      <c r="B1156" s="9" t="s">
        <v>9</v>
      </c>
      <c r="C1156" s="9">
        <v>1927</v>
      </c>
      <c r="D1156" s="10">
        <v>45729</v>
      </c>
      <c r="E1156" s="11" t="str">
        <f>+HYPERLINK("http://trademark.i-assist.jp/data/china/image_1927th/82375478.pdf","82375478")</f>
        <v>82375478</v>
      </c>
      <c r="F1156" s="12" t="s">
        <v>3330</v>
      </c>
      <c r="G1156" s="9" t="s">
        <v>27</v>
      </c>
      <c r="H1156" s="9" t="s">
        <v>3331</v>
      </c>
      <c r="I1156" s="10">
        <v>45631</v>
      </c>
    </row>
    <row r="1157" spans="1:9" x14ac:dyDescent="0.15">
      <c r="A1157" s="9">
        <v>1156</v>
      </c>
      <c r="B1157" s="9" t="s">
        <v>9</v>
      </c>
      <c r="C1157" s="9">
        <v>1927</v>
      </c>
      <c r="D1157" s="10">
        <v>45729</v>
      </c>
      <c r="E1157" s="11" t="str">
        <f>+HYPERLINK("http://trademark.i-assist.jp/data/china/image_1927th/82375581.pdf","82375581")</f>
        <v>82375581</v>
      </c>
      <c r="F1157" s="9" t="s">
        <v>3332</v>
      </c>
      <c r="G1157" s="9" t="s">
        <v>3333</v>
      </c>
      <c r="H1157" s="12" t="s">
        <v>3334</v>
      </c>
      <c r="I1157" s="10">
        <v>45631</v>
      </c>
    </row>
    <row r="1158" spans="1:9" x14ac:dyDescent="0.15">
      <c r="A1158" s="9">
        <v>1157</v>
      </c>
      <c r="B1158" s="9" t="s">
        <v>9</v>
      </c>
      <c r="C1158" s="9">
        <v>1927</v>
      </c>
      <c r="D1158" s="10">
        <v>45729</v>
      </c>
      <c r="E1158" s="11" t="str">
        <f>+HYPERLINK("http://trademark.i-assist.jp/data/china/image_1927th/82376387.pdf","82376387")</f>
        <v>82376387</v>
      </c>
      <c r="F1158" s="9" t="s">
        <v>3335</v>
      </c>
      <c r="G1158" s="9" t="s">
        <v>3336</v>
      </c>
      <c r="H1158" s="9" t="s">
        <v>3337</v>
      </c>
      <c r="I1158" s="10">
        <v>45631</v>
      </c>
    </row>
    <row r="1159" spans="1:9" x14ac:dyDescent="0.15">
      <c r="A1159" s="9">
        <v>1158</v>
      </c>
      <c r="B1159" s="9" t="s">
        <v>9</v>
      </c>
      <c r="C1159" s="9">
        <v>1927</v>
      </c>
      <c r="D1159" s="10">
        <v>45729</v>
      </c>
      <c r="E1159" s="11" t="str">
        <f>+HYPERLINK("http://trademark.i-assist.jp/data/china/image_1927th/82376853.pdf","82376853")</f>
        <v>82376853</v>
      </c>
      <c r="F1159" s="9" t="s">
        <v>3338</v>
      </c>
      <c r="G1159" s="9" t="s">
        <v>3339</v>
      </c>
      <c r="H1159" s="9" t="s">
        <v>3340</v>
      </c>
      <c r="I1159" s="10">
        <v>45631</v>
      </c>
    </row>
    <row r="1160" spans="1:9" x14ac:dyDescent="0.15">
      <c r="A1160" s="9">
        <v>1159</v>
      </c>
      <c r="B1160" s="9" t="s">
        <v>9</v>
      </c>
      <c r="C1160" s="9">
        <v>1927</v>
      </c>
      <c r="D1160" s="10">
        <v>45729</v>
      </c>
      <c r="E1160" s="11" t="str">
        <f>+HYPERLINK("http://trademark.i-assist.jp/data/china/image_1927th/82376875.pdf","82376875")</f>
        <v>82376875</v>
      </c>
      <c r="F1160" s="12" t="s">
        <v>3341</v>
      </c>
      <c r="G1160" s="9" t="s">
        <v>3342</v>
      </c>
      <c r="H1160" s="9" t="s">
        <v>3343</v>
      </c>
      <c r="I1160" s="10">
        <v>45631</v>
      </c>
    </row>
    <row r="1161" spans="1:9" x14ac:dyDescent="0.15">
      <c r="A1161" s="9">
        <v>1160</v>
      </c>
      <c r="B1161" s="9" t="s">
        <v>9</v>
      </c>
      <c r="C1161" s="9">
        <v>1927</v>
      </c>
      <c r="D1161" s="10">
        <v>45729</v>
      </c>
      <c r="E1161" s="11" t="str">
        <f>+HYPERLINK("http://trademark.i-assist.jp/data/china/image_1927th/82377207.pdf","82377207")</f>
        <v>82377207</v>
      </c>
      <c r="F1161" s="9" t="s">
        <v>3344</v>
      </c>
      <c r="G1161" s="9" t="s">
        <v>3345</v>
      </c>
      <c r="H1161" s="9" t="s">
        <v>3346</v>
      </c>
      <c r="I1161" s="10">
        <v>45631</v>
      </c>
    </row>
    <row r="1162" spans="1:9" x14ac:dyDescent="0.15">
      <c r="A1162" s="9">
        <v>1161</v>
      </c>
      <c r="B1162" s="9" t="s">
        <v>9</v>
      </c>
      <c r="C1162" s="9">
        <v>1927</v>
      </c>
      <c r="D1162" s="10">
        <v>45729</v>
      </c>
      <c r="E1162" s="11" t="str">
        <f>+HYPERLINK("http://trademark.i-assist.jp/data/china/image_1927th/82377507.pdf","82377507")</f>
        <v>82377507</v>
      </c>
      <c r="F1162" s="9" t="s">
        <v>3347</v>
      </c>
      <c r="G1162" s="12" t="s">
        <v>3348</v>
      </c>
      <c r="H1162" s="9" t="s">
        <v>3349</v>
      </c>
      <c r="I1162" s="10">
        <v>45631</v>
      </c>
    </row>
    <row r="1163" spans="1:9" x14ac:dyDescent="0.15">
      <c r="A1163" s="9">
        <v>1162</v>
      </c>
      <c r="B1163" s="9" t="s">
        <v>9</v>
      </c>
      <c r="C1163" s="9">
        <v>1927</v>
      </c>
      <c r="D1163" s="10">
        <v>45729</v>
      </c>
      <c r="E1163" s="11" t="str">
        <f>+HYPERLINK("http://trademark.i-assist.jp/data/china/image_1927th/82377594.pdf","82377594")</f>
        <v>82377594</v>
      </c>
      <c r="F1163" s="9" t="s">
        <v>3350</v>
      </c>
      <c r="G1163" s="12" t="s">
        <v>3351</v>
      </c>
      <c r="H1163" s="12" t="s">
        <v>3352</v>
      </c>
      <c r="I1163" s="10">
        <v>45631</v>
      </c>
    </row>
    <row r="1164" spans="1:9" x14ac:dyDescent="0.15">
      <c r="A1164" s="9">
        <v>1163</v>
      </c>
      <c r="B1164" s="9" t="s">
        <v>9</v>
      </c>
      <c r="C1164" s="9">
        <v>1927</v>
      </c>
      <c r="D1164" s="10">
        <v>45729</v>
      </c>
      <c r="E1164" s="11" t="str">
        <f>+HYPERLINK("http://trademark.i-assist.jp/data/china/image_1927th/82377607.pdf","82377607")</f>
        <v>82377607</v>
      </c>
      <c r="F1164" s="13" t="s">
        <v>3353</v>
      </c>
      <c r="G1164" s="9" t="s">
        <v>3354</v>
      </c>
      <c r="H1164" s="9" t="s">
        <v>3355</v>
      </c>
      <c r="I1164" s="10">
        <v>45631</v>
      </c>
    </row>
    <row r="1165" spans="1:9" x14ac:dyDescent="0.15">
      <c r="A1165" s="9">
        <v>1164</v>
      </c>
      <c r="B1165" s="9" t="s">
        <v>9</v>
      </c>
      <c r="C1165" s="9">
        <v>1927</v>
      </c>
      <c r="D1165" s="10">
        <v>45729</v>
      </c>
      <c r="E1165" s="11" t="str">
        <f>+HYPERLINK("http://trademark.i-assist.jp/data/china/image_1927th/82377724.pdf","82377724")</f>
        <v>82377724</v>
      </c>
      <c r="F1165" s="12" t="s">
        <v>3356</v>
      </c>
      <c r="G1165" s="9" t="s">
        <v>3357</v>
      </c>
      <c r="H1165" s="9" t="s">
        <v>3358</v>
      </c>
      <c r="I1165" s="10">
        <v>45631</v>
      </c>
    </row>
    <row r="1166" spans="1:9" x14ac:dyDescent="0.15">
      <c r="A1166" s="9">
        <v>1165</v>
      </c>
      <c r="B1166" s="9" t="s">
        <v>9</v>
      </c>
      <c r="C1166" s="9">
        <v>1927</v>
      </c>
      <c r="D1166" s="10">
        <v>45729</v>
      </c>
      <c r="E1166" s="11" t="str">
        <f>+HYPERLINK("http://trademark.i-assist.jp/data/china/image_1927th/82378196.pdf","82378196")</f>
        <v>82378196</v>
      </c>
      <c r="F1166" s="9" t="s">
        <v>3359</v>
      </c>
      <c r="G1166" s="9" t="s">
        <v>3360</v>
      </c>
      <c r="H1166" s="9" t="s">
        <v>3361</v>
      </c>
      <c r="I1166" s="10">
        <v>45631</v>
      </c>
    </row>
    <row r="1167" spans="1:9" x14ac:dyDescent="0.15">
      <c r="A1167" s="9">
        <v>1166</v>
      </c>
      <c r="B1167" s="9" t="s">
        <v>9</v>
      </c>
      <c r="C1167" s="9">
        <v>1927</v>
      </c>
      <c r="D1167" s="10">
        <v>45729</v>
      </c>
      <c r="E1167" s="11" t="str">
        <f>+HYPERLINK("http://trademark.i-assist.jp/data/china/image_1927th/82379011.pdf","82379011")</f>
        <v>82379011</v>
      </c>
      <c r="F1167" s="9" t="s">
        <v>3362</v>
      </c>
      <c r="G1167" s="9" t="s">
        <v>3363</v>
      </c>
      <c r="H1167" s="9" t="s">
        <v>3364</v>
      </c>
      <c r="I1167" s="10">
        <v>45631</v>
      </c>
    </row>
    <row r="1168" spans="1:9" x14ac:dyDescent="0.15">
      <c r="A1168" s="9">
        <v>1167</v>
      </c>
      <c r="B1168" s="9" t="s">
        <v>9</v>
      </c>
      <c r="C1168" s="9">
        <v>1927</v>
      </c>
      <c r="D1168" s="10">
        <v>45729</v>
      </c>
      <c r="E1168" s="11" t="str">
        <f>+HYPERLINK("http://trademark.i-assist.jp/data/china/image_1927th/82379366.pdf","82379366")</f>
        <v>82379366</v>
      </c>
      <c r="F1168" s="9" t="s">
        <v>3365</v>
      </c>
      <c r="G1168" s="9" t="s">
        <v>138</v>
      </c>
      <c r="H1168" s="9" t="s">
        <v>3366</v>
      </c>
      <c r="I1168" s="10">
        <v>45631</v>
      </c>
    </row>
    <row r="1169" spans="1:9" x14ac:dyDescent="0.15">
      <c r="A1169" s="9">
        <v>1168</v>
      </c>
      <c r="B1169" s="9" t="s">
        <v>9</v>
      </c>
      <c r="C1169" s="9">
        <v>1927</v>
      </c>
      <c r="D1169" s="10">
        <v>45729</v>
      </c>
      <c r="E1169" s="11" t="str">
        <f>+HYPERLINK("http://trademark.i-assist.jp/data/china/image_1927th/82379526.pdf","82379526")</f>
        <v>82379526</v>
      </c>
      <c r="F1169" s="9" t="s">
        <v>3367</v>
      </c>
      <c r="G1169" s="9" t="s">
        <v>3368</v>
      </c>
      <c r="H1169" s="9" t="s">
        <v>3369</v>
      </c>
      <c r="I1169" s="10">
        <v>45631</v>
      </c>
    </row>
    <row r="1170" spans="1:9" x14ac:dyDescent="0.15">
      <c r="A1170" s="9">
        <v>1169</v>
      </c>
      <c r="B1170" s="9" t="s">
        <v>9</v>
      </c>
      <c r="C1170" s="9">
        <v>1927</v>
      </c>
      <c r="D1170" s="10">
        <v>45729</v>
      </c>
      <c r="E1170" s="11" t="str">
        <f>+HYPERLINK("http://trademark.i-assist.jp/data/china/image_1927th/82379534.pdf","82379534")</f>
        <v>82379534</v>
      </c>
      <c r="F1170" s="12" t="s">
        <v>3370</v>
      </c>
      <c r="G1170" s="9" t="s">
        <v>70</v>
      </c>
      <c r="H1170" s="9" t="s">
        <v>3371</v>
      </c>
      <c r="I1170" s="10">
        <v>45631</v>
      </c>
    </row>
    <row r="1171" spans="1:9" x14ac:dyDescent="0.15">
      <c r="A1171" s="9">
        <v>1170</v>
      </c>
      <c r="B1171" s="9" t="s">
        <v>9</v>
      </c>
      <c r="C1171" s="9">
        <v>1927</v>
      </c>
      <c r="D1171" s="10">
        <v>45729</v>
      </c>
      <c r="E1171" s="11" t="str">
        <f>+HYPERLINK("http://trademark.i-assist.jp/data/china/image_1927th/82379726.pdf","82379726")</f>
        <v>82379726</v>
      </c>
      <c r="F1171" s="12" t="s">
        <v>3372</v>
      </c>
      <c r="G1171" s="9" t="s">
        <v>3373</v>
      </c>
      <c r="H1171" s="12" t="s">
        <v>3374</v>
      </c>
      <c r="I1171" s="10">
        <v>45631</v>
      </c>
    </row>
    <row r="1172" spans="1:9" x14ac:dyDescent="0.15">
      <c r="A1172" s="9">
        <v>1171</v>
      </c>
      <c r="B1172" s="9" t="s">
        <v>9</v>
      </c>
      <c r="C1172" s="9">
        <v>1927</v>
      </c>
      <c r="D1172" s="10">
        <v>45729</v>
      </c>
      <c r="E1172" s="11" t="str">
        <f>+HYPERLINK("http://trademark.i-assist.jp/data/china/image_1927th/82379783.pdf","82379783")</f>
        <v>82379783</v>
      </c>
      <c r="F1172" s="9" t="s">
        <v>3375</v>
      </c>
      <c r="G1172" s="9" t="s">
        <v>3376</v>
      </c>
      <c r="H1172" s="12" t="s">
        <v>3377</v>
      </c>
      <c r="I1172" s="10">
        <v>45631</v>
      </c>
    </row>
    <row r="1173" spans="1:9" x14ac:dyDescent="0.15">
      <c r="A1173" s="9">
        <v>1172</v>
      </c>
      <c r="B1173" s="9" t="s">
        <v>9</v>
      </c>
      <c r="C1173" s="9">
        <v>1927</v>
      </c>
      <c r="D1173" s="10">
        <v>45729</v>
      </c>
      <c r="E1173" s="11" t="str">
        <f>+HYPERLINK("http://trademark.i-assist.jp/data/china/image_1927th/82379893.pdf","82379893")</f>
        <v>82379893</v>
      </c>
      <c r="F1173" s="9" t="s">
        <v>3378</v>
      </c>
      <c r="G1173" s="9" t="s">
        <v>3379</v>
      </c>
      <c r="H1173" s="9" t="s">
        <v>3380</v>
      </c>
      <c r="I1173" s="10">
        <v>45631</v>
      </c>
    </row>
    <row r="1174" spans="1:9" x14ac:dyDescent="0.15">
      <c r="A1174" s="9">
        <v>1173</v>
      </c>
      <c r="B1174" s="9" t="s">
        <v>9</v>
      </c>
      <c r="C1174" s="9">
        <v>1927</v>
      </c>
      <c r="D1174" s="10">
        <v>45729</v>
      </c>
      <c r="E1174" s="11" t="str">
        <f>+HYPERLINK("http://trademark.i-assist.jp/data/china/image_1927th/82380550.pdf","82380550")</f>
        <v>82380550</v>
      </c>
      <c r="F1174" s="12" t="s">
        <v>3381</v>
      </c>
      <c r="G1174" s="9" t="s">
        <v>3382</v>
      </c>
      <c r="H1174" s="9" t="s">
        <v>3383</v>
      </c>
      <c r="I1174" s="10">
        <v>45631</v>
      </c>
    </row>
    <row r="1175" spans="1:9" x14ac:dyDescent="0.15">
      <c r="A1175" s="9">
        <v>1174</v>
      </c>
      <c r="B1175" s="9" t="s">
        <v>9</v>
      </c>
      <c r="C1175" s="9">
        <v>1927</v>
      </c>
      <c r="D1175" s="10">
        <v>45729</v>
      </c>
      <c r="E1175" s="11" t="str">
        <f>+HYPERLINK("http://trademark.i-assist.jp/data/china/image_1927th/82380739.pdf","82380739")</f>
        <v>82380739</v>
      </c>
      <c r="F1175" s="9" t="s">
        <v>3384</v>
      </c>
      <c r="G1175" s="9" t="s">
        <v>145</v>
      </c>
      <c r="H1175" s="9" t="s">
        <v>3385</v>
      </c>
      <c r="I1175" s="10">
        <v>45631</v>
      </c>
    </row>
    <row r="1176" spans="1:9" x14ac:dyDescent="0.15">
      <c r="A1176" s="9">
        <v>1175</v>
      </c>
      <c r="B1176" s="9" t="s">
        <v>9</v>
      </c>
      <c r="C1176" s="9">
        <v>1927</v>
      </c>
      <c r="D1176" s="10">
        <v>45729</v>
      </c>
      <c r="E1176" s="11" t="str">
        <f>+HYPERLINK("http://trademark.i-assist.jp/data/china/image_1927th/82380932.pdf","82380932")</f>
        <v>82380932</v>
      </c>
      <c r="F1176" s="9" t="s">
        <v>3386</v>
      </c>
      <c r="G1176" s="9" t="s">
        <v>3387</v>
      </c>
      <c r="H1176" s="9" t="s">
        <v>3388</v>
      </c>
      <c r="I1176" s="10">
        <v>45631</v>
      </c>
    </row>
    <row r="1177" spans="1:9" x14ac:dyDescent="0.15">
      <c r="A1177" s="9">
        <v>1176</v>
      </c>
      <c r="B1177" s="9" t="s">
        <v>9</v>
      </c>
      <c r="C1177" s="9">
        <v>1927</v>
      </c>
      <c r="D1177" s="10">
        <v>45729</v>
      </c>
      <c r="E1177" s="11" t="str">
        <f>+HYPERLINK("http://trademark.i-assist.jp/data/china/image_1927th/82381694.pdf","82381694")</f>
        <v>82381694</v>
      </c>
      <c r="F1177" s="9" t="s">
        <v>3389</v>
      </c>
      <c r="G1177" s="12" t="s">
        <v>3281</v>
      </c>
      <c r="H1177" s="9" t="s">
        <v>3390</v>
      </c>
      <c r="I1177" s="10">
        <v>45631</v>
      </c>
    </row>
    <row r="1178" spans="1:9" x14ac:dyDescent="0.15">
      <c r="A1178" s="9">
        <v>1177</v>
      </c>
      <c r="B1178" s="9" t="s">
        <v>9</v>
      </c>
      <c r="C1178" s="9">
        <v>1927</v>
      </c>
      <c r="D1178" s="10">
        <v>45729</v>
      </c>
      <c r="E1178" s="11" t="str">
        <f>+HYPERLINK("http://trademark.i-assist.jp/data/china/image_1927th/82381712.pdf","82381712")</f>
        <v>82381712</v>
      </c>
      <c r="F1178" s="9" t="s">
        <v>3391</v>
      </c>
      <c r="G1178" s="9" t="s">
        <v>3363</v>
      </c>
      <c r="H1178" s="9" t="s">
        <v>3392</v>
      </c>
      <c r="I1178" s="10">
        <v>45631</v>
      </c>
    </row>
    <row r="1179" spans="1:9" x14ac:dyDescent="0.15">
      <c r="A1179" s="9">
        <v>1178</v>
      </c>
      <c r="B1179" s="9" t="s">
        <v>9</v>
      </c>
      <c r="C1179" s="9">
        <v>1927</v>
      </c>
      <c r="D1179" s="10">
        <v>45729</v>
      </c>
      <c r="E1179" s="11" t="str">
        <f>+HYPERLINK("http://trademark.i-assist.jp/data/china/image_1927th/82381821.pdf","82381821")</f>
        <v>82381821</v>
      </c>
      <c r="F1179" s="9" t="s">
        <v>3393</v>
      </c>
      <c r="G1179" s="9" t="s">
        <v>3394</v>
      </c>
      <c r="H1179" s="9" t="s">
        <v>3395</v>
      </c>
      <c r="I1179" s="10">
        <v>45631</v>
      </c>
    </row>
    <row r="1180" spans="1:9" x14ac:dyDescent="0.15">
      <c r="A1180" s="9">
        <v>1179</v>
      </c>
      <c r="B1180" s="9" t="s">
        <v>9</v>
      </c>
      <c r="C1180" s="9">
        <v>1927</v>
      </c>
      <c r="D1180" s="10">
        <v>45729</v>
      </c>
      <c r="E1180" s="11" t="str">
        <f>+HYPERLINK("http://trademark.i-assist.jp/data/china/image_1927th/82381834.pdf","82381834")</f>
        <v>82381834</v>
      </c>
      <c r="F1180" s="9" t="s">
        <v>3396</v>
      </c>
      <c r="G1180" s="9" t="s">
        <v>3397</v>
      </c>
      <c r="H1180" s="9" t="s">
        <v>3398</v>
      </c>
      <c r="I1180" s="10">
        <v>45631</v>
      </c>
    </row>
    <row r="1181" spans="1:9" x14ac:dyDescent="0.15">
      <c r="A1181" s="9">
        <v>1180</v>
      </c>
      <c r="B1181" s="9" t="s">
        <v>9</v>
      </c>
      <c r="C1181" s="9">
        <v>1927</v>
      </c>
      <c r="D1181" s="10">
        <v>45729</v>
      </c>
      <c r="E1181" s="11" t="str">
        <f>+HYPERLINK("http://trademark.i-assist.jp/data/china/image_1927th/82381847.pdf","82381847")</f>
        <v>82381847</v>
      </c>
      <c r="F1181" s="9" t="s">
        <v>3399</v>
      </c>
      <c r="G1181" s="12" t="s">
        <v>3400</v>
      </c>
      <c r="H1181" s="9" t="s">
        <v>3401</v>
      </c>
      <c r="I1181" s="10">
        <v>45631</v>
      </c>
    </row>
    <row r="1182" spans="1:9" x14ac:dyDescent="0.15">
      <c r="A1182" s="9">
        <v>1181</v>
      </c>
      <c r="B1182" s="9" t="s">
        <v>9</v>
      </c>
      <c r="C1182" s="9">
        <v>1927</v>
      </c>
      <c r="D1182" s="10">
        <v>45729</v>
      </c>
      <c r="E1182" s="11" t="str">
        <f>+HYPERLINK("http://trademark.i-assist.jp/data/china/image_1927th/82381854.pdf","82381854")</f>
        <v>82381854</v>
      </c>
      <c r="F1182" s="9" t="s">
        <v>3402</v>
      </c>
      <c r="G1182" s="9" t="s">
        <v>3403</v>
      </c>
      <c r="H1182" s="9" t="s">
        <v>3404</v>
      </c>
      <c r="I1182" s="10">
        <v>45631</v>
      </c>
    </row>
    <row r="1183" spans="1:9" x14ac:dyDescent="0.15">
      <c r="A1183" s="9">
        <v>1182</v>
      </c>
      <c r="B1183" s="9" t="s">
        <v>9</v>
      </c>
      <c r="C1183" s="9">
        <v>1927</v>
      </c>
      <c r="D1183" s="10">
        <v>45729</v>
      </c>
      <c r="E1183" s="11" t="str">
        <f>+HYPERLINK("http://trademark.i-assist.jp/data/china/image_1927th/82381871.pdf","82381871")</f>
        <v>82381871</v>
      </c>
      <c r="F1183" s="9" t="s">
        <v>3405</v>
      </c>
      <c r="G1183" s="9" t="s">
        <v>3406</v>
      </c>
      <c r="H1183" s="9" t="s">
        <v>3407</v>
      </c>
      <c r="I1183" s="10">
        <v>45631</v>
      </c>
    </row>
    <row r="1184" spans="1:9" x14ac:dyDescent="0.15">
      <c r="A1184" s="9">
        <v>1183</v>
      </c>
      <c r="B1184" s="9" t="s">
        <v>9</v>
      </c>
      <c r="C1184" s="9">
        <v>1927</v>
      </c>
      <c r="D1184" s="10">
        <v>45729</v>
      </c>
      <c r="E1184" s="11" t="str">
        <f>+HYPERLINK("http://trademark.i-assist.jp/data/china/image_1927th/82381878.pdf","82381878")</f>
        <v>82381878</v>
      </c>
      <c r="F1184" s="12" t="s">
        <v>3408</v>
      </c>
      <c r="G1184" s="9" t="s">
        <v>3409</v>
      </c>
      <c r="H1184" s="9" t="s">
        <v>3410</v>
      </c>
      <c r="I1184" s="10">
        <v>45631</v>
      </c>
    </row>
    <row r="1185" spans="1:9" x14ac:dyDescent="0.15">
      <c r="A1185" s="9">
        <v>1184</v>
      </c>
      <c r="B1185" s="9" t="s">
        <v>9</v>
      </c>
      <c r="C1185" s="9">
        <v>1927</v>
      </c>
      <c r="D1185" s="10">
        <v>45729</v>
      </c>
      <c r="E1185" s="11" t="str">
        <f>+HYPERLINK("http://trademark.i-assist.jp/data/china/image_1927th/82382241.pdf","82382241")</f>
        <v>82382241</v>
      </c>
      <c r="F1185" s="9" t="s">
        <v>3411</v>
      </c>
      <c r="G1185" s="12" t="s">
        <v>3412</v>
      </c>
      <c r="H1185" s="9" t="s">
        <v>3413</v>
      </c>
      <c r="I1185" s="10">
        <v>45631</v>
      </c>
    </row>
    <row r="1186" spans="1:9" x14ac:dyDescent="0.15">
      <c r="A1186" s="9">
        <v>1185</v>
      </c>
      <c r="B1186" s="9" t="s">
        <v>9</v>
      </c>
      <c r="C1186" s="9">
        <v>1927</v>
      </c>
      <c r="D1186" s="10">
        <v>45729</v>
      </c>
      <c r="E1186" s="11" t="str">
        <f>+HYPERLINK("http://trademark.i-assist.jp/data/china/image_1927th/82382280.pdf","82382280")</f>
        <v>82382280</v>
      </c>
      <c r="F1186" s="9" t="s">
        <v>3414</v>
      </c>
      <c r="G1186" s="9" t="s">
        <v>63</v>
      </c>
      <c r="H1186" s="9" t="s">
        <v>3415</v>
      </c>
      <c r="I1186" s="10">
        <v>45631</v>
      </c>
    </row>
    <row r="1187" spans="1:9" x14ac:dyDescent="0.15">
      <c r="A1187" s="9">
        <v>1186</v>
      </c>
      <c r="B1187" s="9" t="s">
        <v>9</v>
      </c>
      <c r="C1187" s="9">
        <v>1927</v>
      </c>
      <c r="D1187" s="10">
        <v>45729</v>
      </c>
      <c r="E1187" s="11" t="str">
        <f>+HYPERLINK("http://trademark.i-assist.jp/data/china/image_1927th/82382322.pdf","82382322")</f>
        <v>82382322</v>
      </c>
      <c r="F1187" s="9" t="s">
        <v>3416</v>
      </c>
      <c r="G1187" s="9" t="s">
        <v>70</v>
      </c>
      <c r="H1187" s="9" t="s">
        <v>3417</v>
      </c>
      <c r="I1187" s="10">
        <v>45631</v>
      </c>
    </row>
    <row r="1188" spans="1:9" x14ac:dyDescent="0.15">
      <c r="A1188" s="9">
        <v>1187</v>
      </c>
      <c r="B1188" s="9" t="s">
        <v>9</v>
      </c>
      <c r="C1188" s="9">
        <v>1927</v>
      </c>
      <c r="D1188" s="10">
        <v>45729</v>
      </c>
      <c r="E1188" s="11" t="str">
        <f>+HYPERLINK("http://trademark.i-assist.jp/data/china/image_1927th/82382546.pdf","82382546")</f>
        <v>82382546</v>
      </c>
      <c r="F1188" s="9" t="s">
        <v>3418</v>
      </c>
      <c r="G1188" s="9" t="s">
        <v>3419</v>
      </c>
      <c r="H1188" s="9" t="s">
        <v>3420</v>
      </c>
      <c r="I1188" s="10">
        <v>45631</v>
      </c>
    </row>
    <row r="1189" spans="1:9" x14ac:dyDescent="0.15">
      <c r="A1189" s="9">
        <v>1188</v>
      </c>
      <c r="B1189" s="9" t="s">
        <v>9</v>
      </c>
      <c r="C1189" s="9">
        <v>1927</v>
      </c>
      <c r="D1189" s="10">
        <v>45729</v>
      </c>
      <c r="E1189" s="11" t="str">
        <f>+HYPERLINK("http://trademark.i-assist.jp/data/china/image_1927th/82382630.pdf","82382630")</f>
        <v>82382630</v>
      </c>
      <c r="F1189" s="12" t="s">
        <v>3421</v>
      </c>
      <c r="G1189" s="9" t="s">
        <v>3422</v>
      </c>
      <c r="H1189" s="9" t="s">
        <v>3423</v>
      </c>
      <c r="I1189" s="10">
        <v>45631</v>
      </c>
    </row>
    <row r="1190" spans="1:9" x14ac:dyDescent="0.15">
      <c r="A1190" s="9">
        <v>1189</v>
      </c>
      <c r="B1190" s="9" t="s">
        <v>9</v>
      </c>
      <c r="C1190" s="9">
        <v>1927</v>
      </c>
      <c r="D1190" s="10">
        <v>45729</v>
      </c>
      <c r="E1190" s="11" t="str">
        <f>+HYPERLINK("http://trademark.i-assist.jp/data/china/image_1927th/82383078.pdf","82383078")</f>
        <v>82383078</v>
      </c>
      <c r="F1190" s="12" t="s">
        <v>3424</v>
      </c>
      <c r="G1190" s="9" t="s">
        <v>3425</v>
      </c>
      <c r="H1190" s="9" t="s">
        <v>3426</v>
      </c>
      <c r="I1190" s="10">
        <v>45631</v>
      </c>
    </row>
    <row r="1191" spans="1:9" x14ac:dyDescent="0.15">
      <c r="A1191" s="9">
        <v>1190</v>
      </c>
      <c r="B1191" s="9" t="s">
        <v>9</v>
      </c>
      <c r="C1191" s="9">
        <v>1927</v>
      </c>
      <c r="D1191" s="10">
        <v>45729</v>
      </c>
      <c r="E1191" s="11" t="str">
        <f>+HYPERLINK("http://trademark.i-assist.jp/data/china/image_1927th/82383261.pdf","82383261")</f>
        <v>82383261</v>
      </c>
      <c r="F1191" s="9" t="s">
        <v>3427</v>
      </c>
      <c r="G1191" s="9" t="s">
        <v>3428</v>
      </c>
      <c r="H1191" s="9" t="s">
        <v>3429</v>
      </c>
      <c r="I1191" s="10">
        <v>45631</v>
      </c>
    </row>
    <row r="1192" spans="1:9" x14ac:dyDescent="0.15">
      <c r="A1192" s="9">
        <v>1191</v>
      </c>
      <c r="B1192" s="9" t="s">
        <v>9</v>
      </c>
      <c r="C1192" s="9">
        <v>1927</v>
      </c>
      <c r="D1192" s="10">
        <v>45729</v>
      </c>
      <c r="E1192" s="11" t="str">
        <f>+HYPERLINK("http://trademark.i-assist.jp/data/china/image_1927th/82383399.pdf","82383399")</f>
        <v>82383399</v>
      </c>
      <c r="F1192" s="12" t="s">
        <v>3430</v>
      </c>
      <c r="G1192" s="9" t="s">
        <v>3206</v>
      </c>
      <c r="H1192" s="9" t="s">
        <v>3431</v>
      </c>
      <c r="I1192" s="10">
        <v>45631</v>
      </c>
    </row>
    <row r="1193" spans="1:9" x14ac:dyDescent="0.15">
      <c r="A1193" s="9">
        <v>1192</v>
      </c>
      <c r="B1193" s="9" t="s">
        <v>9</v>
      </c>
      <c r="C1193" s="9">
        <v>1927</v>
      </c>
      <c r="D1193" s="10">
        <v>45729</v>
      </c>
      <c r="E1193" s="11" t="str">
        <f>+HYPERLINK("http://trademark.i-assist.jp/data/china/image_1927th/82383709.pdf","82383709")</f>
        <v>82383709</v>
      </c>
      <c r="F1193" s="9" t="s">
        <v>3432</v>
      </c>
      <c r="G1193" s="9" t="s">
        <v>3200</v>
      </c>
      <c r="H1193" s="9" t="s">
        <v>3433</v>
      </c>
      <c r="I1193" s="10">
        <v>45631</v>
      </c>
    </row>
    <row r="1194" spans="1:9" x14ac:dyDescent="0.15">
      <c r="A1194" s="9">
        <v>1193</v>
      </c>
      <c r="B1194" s="9" t="s">
        <v>9</v>
      </c>
      <c r="C1194" s="9">
        <v>1927</v>
      </c>
      <c r="D1194" s="10">
        <v>45729</v>
      </c>
      <c r="E1194" s="11" t="str">
        <f>+HYPERLINK("http://trademark.i-assist.jp/data/china/image_1927th/82383733.pdf","82383733")</f>
        <v>82383733</v>
      </c>
      <c r="F1194" s="9" t="s">
        <v>3434</v>
      </c>
      <c r="G1194" s="9" t="s">
        <v>3435</v>
      </c>
      <c r="H1194" s="9" t="s">
        <v>3436</v>
      </c>
      <c r="I1194" s="10">
        <v>45631</v>
      </c>
    </row>
    <row r="1195" spans="1:9" x14ac:dyDescent="0.15">
      <c r="A1195" s="9">
        <v>1194</v>
      </c>
      <c r="B1195" s="9" t="s">
        <v>9</v>
      </c>
      <c r="C1195" s="9">
        <v>1927</v>
      </c>
      <c r="D1195" s="10">
        <v>45729</v>
      </c>
      <c r="E1195" s="11" t="str">
        <f>+HYPERLINK("http://trademark.i-assist.jp/data/china/image_1927th/82383777.pdf","82383777")</f>
        <v>82383777</v>
      </c>
      <c r="F1195" s="12" t="s">
        <v>3437</v>
      </c>
      <c r="G1195" s="9" t="s">
        <v>3438</v>
      </c>
      <c r="H1195" s="9" t="s">
        <v>3439</v>
      </c>
      <c r="I1195" s="10">
        <v>45631</v>
      </c>
    </row>
    <row r="1196" spans="1:9" x14ac:dyDescent="0.15">
      <c r="A1196" s="9">
        <v>1195</v>
      </c>
      <c r="B1196" s="9" t="s">
        <v>9</v>
      </c>
      <c r="C1196" s="9">
        <v>1927</v>
      </c>
      <c r="D1196" s="10">
        <v>45729</v>
      </c>
      <c r="E1196" s="11" t="str">
        <f>+HYPERLINK("http://trademark.i-assist.jp/data/china/image_1927th/82384251.pdf","82384251")</f>
        <v>82384251</v>
      </c>
      <c r="F1196" s="12" t="s">
        <v>3440</v>
      </c>
      <c r="G1196" s="9" t="s">
        <v>3441</v>
      </c>
      <c r="H1196" s="12" t="s">
        <v>3442</v>
      </c>
      <c r="I1196" s="10">
        <v>45631</v>
      </c>
    </row>
    <row r="1197" spans="1:9" x14ac:dyDescent="0.15">
      <c r="A1197" s="9">
        <v>1196</v>
      </c>
      <c r="B1197" s="9" t="s">
        <v>9</v>
      </c>
      <c r="C1197" s="9">
        <v>1927</v>
      </c>
      <c r="D1197" s="10">
        <v>45729</v>
      </c>
      <c r="E1197" s="11" t="str">
        <f>+HYPERLINK("http://trademark.i-assist.jp/data/china/image_1927th/82384911.pdf","82384911")</f>
        <v>82384911</v>
      </c>
      <c r="F1197" s="12" t="s">
        <v>3443</v>
      </c>
      <c r="G1197" s="12" t="s">
        <v>3443</v>
      </c>
      <c r="H1197" s="12" t="s">
        <v>3444</v>
      </c>
      <c r="I1197" s="10">
        <v>45631</v>
      </c>
    </row>
    <row r="1198" spans="1:9" x14ac:dyDescent="0.15">
      <c r="A1198" s="9">
        <v>1197</v>
      </c>
      <c r="B1198" s="9" t="s">
        <v>9</v>
      </c>
      <c r="C1198" s="9">
        <v>1927</v>
      </c>
      <c r="D1198" s="10">
        <v>45729</v>
      </c>
      <c r="E1198" s="11" t="str">
        <f>+HYPERLINK("http://trademark.i-assist.jp/data/china/image_1927th/82385271.pdf","82385271")</f>
        <v>82385271</v>
      </c>
      <c r="F1198" s="9" t="s">
        <v>3445</v>
      </c>
      <c r="G1198" s="9" t="s">
        <v>174</v>
      </c>
      <c r="H1198" s="9" t="s">
        <v>3446</v>
      </c>
      <c r="I1198" s="10">
        <v>45631</v>
      </c>
    </row>
    <row r="1199" spans="1:9" x14ac:dyDescent="0.15">
      <c r="A1199" s="9">
        <v>1198</v>
      </c>
      <c r="B1199" s="9" t="s">
        <v>9</v>
      </c>
      <c r="C1199" s="9">
        <v>1927</v>
      </c>
      <c r="D1199" s="10">
        <v>45729</v>
      </c>
      <c r="E1199" s="11" t="str">
        <f>+HYPERLINK("http://trademark.i-assist.jp/data/china/image_1927th/82385436.pdf","82385436")</f>
        <v>82385436</v>
      </c>
      <c r="F1199" s="9" t="s">
        <v>3447</v>
      </c>
      <c r="G1199" s="9" t="s">
        <v>3448</v>
      </c>
      <c r="H1199" s="9" t="s">
        <v>3449</v>
      </c>
      <c r="I1199" s="10">
        <v>45631</v>
      </c>
    </row>
    <row r="1200" spans="1:9" x14ac:dyDescent="0.15">
      <c r="A1200" s="9">
        <v>1199</v>
      </c>
      <c r="B1200" s="9" t="s">
        <v>9</v>
      </c>
      <c r="C1200" s="9">
        <v>1927</v>
      </c>
      <c r="D1200" s="10">
        <v>45729</v>
      </c>
      <c r="E1200" s="11" t="str">
        <f>+HYPERLINK("http://trademark.i-assist.jp/data/china/image_1927th/82385452.pdf","82385452")</f>
        <v>82385452</v>
      </c>
      <c r="F1200" s="9" t="s">
        <v>3450</v>
      </c>
      <c r="G1200" s="9" t="s">
        <v>3451</v>
      </c>
      <c r="H1200" s="9" t="s">
        <v>3452</v>
      </c>
      <c r="I1200" s="10">
        <v>45631</v>
      </c>
    </row>
    <row r="1201" spans="1:9" x14ac:dyDescent="0.15">
      <c r="A1201" s="9">
        <v>1200</v>
      </c>
      <c r="B1201" s="9" t="s">
        <v>9</v>
      </c>
      <c r="C1201" s="9">
        <v>1927</v>
      </c>
      <c r="D1201" s="10">
        <v>45729</v>
      </c>
      <c r="E1201" s="11" t="str">
        <f>+HYPERLINK("http://trademark.i-assist.jp/data/china/image_1927th/82385597.pdf","82385597")</f>
        <v>82385597</v>
      </c>
      <c r="F1201" s="12" t="s">
        <v>3453</v>
      </c>
      <c r="G1201" s="12" t="s">
        <v>3454</v>
      </c>
      <c r="H1201" s="9" t="s">
        <v>3455</v>
      </c>
      <c r="I1201" s="10">
        <v>45631</v>
      </c>
    </row>
    <row r="1202" spans="1:9" x14ac:dyDescent="0.15">
      <c r="A1202" s="9">
        <v>1201</v>
      </c>
      <c r="B1202" s="9" t="s">
        <v>9</v>
      </c>
      <c r="C1202" s="9">
        <v>1927</v>
      </c>
      <c r="D1202" s="10">
        <v>45729</v>
      </c>
      <c r="E1202" s="11" t="str">
        <f>+HYPERLINK("http://trademark.i-assist.jp/data/china/image_1927th/82385921.pdf","82385921")</f>
        <v>82385921</v>
      </c>
      <c r="F1202" s="9" t="s">
        <v>3456</v>
      </c>
      <c r="G1202" s="9" t="s">
        <v>3457</v>
      </c>
      <c r="H1202" s="9" t="s">
        <v>3458</v>
      </c>
      <c r="I1202" s="10">
        <v>45631</v>
      </c>
    </row>
    <row r="1203" spans="1:9" x14ac:dyDescent="0.15">
      <c r="A1203" s="9">
        <v>1202</v>
      </c>
      <c r="B1203" s="9" t="s">
        <v>9</v>
      </c>
      <c r="C1203" s="9">
        <v>1927</v>
      </c>
      <c r="D1203" s="10">
        <v>45729</v>
      </c>
      <c r="E1203" s="11" t="str">
        <f>+HYPERLINK("http://trademark.i-assist.jp/data/china/image_1927th/82386115.pdf","82386115")</f>
        <v>82386115</v>
      </c>
      <c r="F1203" s="12" t="s">
        <v>3459</v>
      </c>
      <c r="G1203" s="9" t="s">
        <v>3460</v>
      </c>
      <c r="H1203" s="9" t="s">
        <v>3461</v>
      </c>
      <c r="I1203" s="10">
        <v>45631</v>
      </c>
    </row>
    <row r="1204" spans="1:9" x14ac:dyDescent="0.15">
      <c r="A1204" s="9">
        <v>1203</v>
      </c>
      <c r="B1204" s="9" t="s">
        <v>9</v>
      </c>
      <c r="C1204" s="9">
        <v>1927</v>
      </c>
      <c r="D1204" s="10">
        <v>45729</v>
      </c>
      <c r="E1204" s="11" t="str">
        <f>+HYPERLINK("http://trademark.i-assist.jp/data/china/image_1927th/82386318.pdf","82386318")</f>
        <v>82386318</v>
      </c>
      <c r="F1204" s="12" t="s">
        <v>3462</v>
      </c>
      <c r="G1204" s="9" t="s">
        <v>3287</v>
      </c>
      <c r="H1204" s="9" t="s">
        <v>3463</v>
      </c>
      <c r="I1204" s="10">
        <v>45631</v>
      </c>
    </row>
    <row r="1205" spans="1:9" x14ac:dyDescent="0.15">
      <c r="A1205" s="9">
        <v>1204</v>
      </c>
      <c r="B1205" s="9" t="s">
        <v>9</v>
      </c>
      <c r="C1205" s="9">
        <v>1927</v>
      </c>
      <c r="D1205" s="10">
        <v>45729</v>
      </c>
      <c r="E1205" s="11" t="str">
        <f>+HYPERLINK("http://trademark.i-assist.jp/data/china/image_1927th/82386481.pdf","82386481")</f>
        <v>82386481</v>
      </c>
      <c r="F1205" s="9" t="s">
        <v>3464</v>
      </c>
      <c r="G1205" s="9" t="s">
        <v>3238</v>
      </c>
      <c r="H1205" s="9" t="s">
        <v>3465</v>
      </c>
      <c r="I1205" s="10">
        <v>45631</v>
      </c>
    </row>
    <row r="1206" spans="1:9" x14ac:dyDescent="0.15">
      <c r="A1206" s="9">
        <v>1205</v>
      </c>
      <c r="B1206" s="9" t="s">
        <v>9</v>
      </c>
      <c r="C1206" s="9">
        <v>1927</v>
      </c>
      <c r="D1206" s="10">
        <v>45729</v>
      </c>
      <c r="E1206" s="11" t="str">
        <f>+HYPERLINK("http://trademark.i-assist.jp/data/china/image_1927th/82386666.pdf","82386666")</f>
        <v>82386666</v>
      </c>
      <c r="F1206" s="9" t="s">
        <v>3466</v>
      </c>
      <c r="G1206" s="12" t="s">
        <v>187</v>
      </c>
      <c r="H1206" s="9" t="s">
        <v>3467</v>
      </c>
      <c r="I1206" s="10">
        <v>45631</v>
      </c>
    </row>
    <row r="1207" spans="1:9" x14ac:dyDescent="0.15">
      <c r="A1207" s="9">
        <v>1206</v>
      </c>
      <c r="B1207" s="9" t="s">
        <v>9</v>
      </c>
      <c r="C1207" s="9">
        <v>1927</v>
      </c>
      <c r="D1207" s="10">
        <v>45729</v>
      </c>
      <c r="E1207" s="11" t="str">
        <f>+HYPERLINK("http://trademark.i-assist.jp/data/china/image_1927th/82386700.pdf","82386700")</f>
        <v>82386700</v>
      </c>
      <c r="F1207" s="12" t="s">
        <v>3468</v>
      </c>
      <c r="G1207" s="9" t="s">
        <v>3469</v>
      </c>
      <c r="H1207" s="9" t="s">
        <v>3470</v>
      </c>
      <c r="I1207" s="10">
        <v>45631</v>
      </c>
    </row>
    <row r="1208" spans="1:9" x14ac:dyDescent="0.15">
      <c r="A1208" s="9">
        <v>1207</v>
      </c>
      <c r="B1208" s="9" t="s">
        <v>9</v>
      </c>
      <c r="C1208" s="9">
        <v>1927</v>
      </c>
      <c r="D1208" s="10">
        <v>45729</v>
      </c>
      <c r="E1208" s="11" t="str">
        <f>+HYPERLINK("http://trademark.i-assist.jp/data/china/image_1927th/82387340.pdf","82387340")</f>
        <v>82387340</v>
      </c>
      <c r="F1208" s="9" t="s">
        <v>3471</v>
      </c>
      <c r="G1208" s="9" t="s">
        <v>3472</v>
      </c>
      <c r="H1208" s="9" t="s">
        <v>3473</v>
      </c>
      <c r="I1208" s="10">
        <v>45631</v>
      </c>
    </row>
    <row r="1209" spans="1:9" x14ac:dyDescent="0.15">
      <c r="A1209" s="9">
        <v>1208</v>
      </c>
      <c r="B1209" s="9" t="s">
        <v>9</v>
      </c>
      <c r="C1209" s="9">
        <v>1927</v>
      </c>
      <c r="D1209" s="10">
        <v>45729</v>
      </c>
      <c r="E1209" s="11" t="str">
        <f>+HYPERLINK("http://trademark.i-assist.jp/data/china/image_1927th/82387395.pdf","82387395")</f>
        <v>82387395</v>
      </c>
      <c r="F1209" s="9" t="s">
        <v>3474</v>
      </c>
      <c r="G1209" s="9" t="s">
        <v>3475</v>
      </c>
      <c r="H1209" s="9" t="s">
        <v>209</v>
      </c>
      <c r="I1209" s="10">
        <v>45631</v>
      </c>
    </row>
    <row r="1210" spans="1:9" x14ac:dyDescent="0.15">
      <c r="A1210" s="9">
        <v>1209</v>
      </c>
      <c r="B1210" s="9" t="s">
        <v>9</v>
      </c>
      <c r="C1210" s="9">
        <v>1927</v>
      </c>
      <c r="D1210" s="10">
        <v>45729</v>
      </c>
      <c r="E1210" s="11" t="str">
        <f>+HYPERLINK("http://trademark.i-assist.jp/data/china/image_1927th/82387595.pdf","82387595")</f>
        <v>82387595</v>
      </c>
      <c r="F1210" s="9" t="s">
        <v>3476</v>
      </c>
      <c r="G1210" s="9" t="s">
        <v>3477</v>
      </c>
      <c r="H1210" s="9" t="s">
        <v>3478</v>
      </c>
      <c r="I1210" s="10">
        <v>45631</v>
      </c>
    </row>
    <row r="1211" spans="1:9" x14ac:dyDescent="0.15">
      <c r="A1211" s="9">
        <v>1210</v>
      </c>
      <c r="B1211" s="9" t="s">
        <v>9</v>
      </c>
      <c r="C1211" s="9">
        <v>1927</v>
      </c>
      <c r="D1211" s="10">
        <v>45729</v>
      </c>
      <c r="E1211" s="11" t="str">
        <f>+HYPERLINK("http://trademark.i-assist.jp/data/china/image_1927th/82387657.pdf","82387657")</f>
        <v>82387657</v>
      </c>
      <c r="F1211" s="9" t="s">
        <v>3479</v>
      </c>
      <c r="G1211" s="9" t="s">
        <v>3480</v>
      </c>
      <c r="H1211" s="9" t="s">
        <v>3481</v>
      </c>
      <c r="I1211" s="10">
        <v>45631</v>
      </c>
    </row>
    <row r="1212" spans="1:9" x14ac:dyDescent="0.15">
      <c r="A1212" s="9">
        <v>1211</v>
      </c>
      <c r="B1212" s="9" t="s">
        <v>9</v>
      </c>
      <c r="C1212" s="9">
        <v>1927</v>
      </c>
      <c r="D1212" s="10">
        <v>45729</v>
      </c>
      <c r="E1212" s="11" t="str">
        <f>+HYPERLINK("http://trademark.i-assist.jp/data/china/image_1927th/82387818.pdf","82387818")</f>
        <v>82387818</v>
      </c>
      <c r="F1212" s="9" t="s">
        <v>3482</v>
      </c>
      <c r="G1212" s="9" t="s">
        <v>3483</v>
      </c>
      <c r="H1212" s="9" t="s">
        <v>3484</v>
      </c>
      <c r="I1212" s="10">
        <v>45631</v>
      </c>
    </row>
    <row r="1213" spans="1:9" x14ac:dyDescent="0.15">
      <c r="A1213" s="9">
        <v>1212</v>
      </c>
      <c r="B1213" s="9" t="s">
        <v>9</v>
      </c>
      <c r="C1213" s="9">
        <v>1927</v>
      </c>
      <c r="D1213" s="10">
        <v>45729</v>
      </c>
      <c r="E1213" s="11" t="str">
        <f>+HYPERLINK("http://trademark.i-assist.jp/data/china/image_1927th/82388110.pdf","82388110")</f>
        <v>82388110</v>
      </c>
      <c r="F1213" s="9" t="s">
        <v>3485</v>
      </c>
      <c r="G1213" s="9" t="s">
        <v>180</v>
      </c>
      <c r="H1213" s="9" t="s">
        <v>3486</v>
      </c>
      <c r="I1213" s="10">
        <v>45632</v>
      </c>
    </row>
    <row r="1214" spans="1:9" x14ac:dyDescent="0.15">
      <c r="A1214" s="9">
        <v>1213</v>
      </c>
      <c r="B1214" s="9" t="s">
        <v>9</v>
      </c>
      <c r="C1214" s="9">
        <v>1927</v>
      </c>
      <c r="D1214" s="10">
        <v>45729</v>
      </c>
      <c r="E1214" s="11" t="str">
        <f>+HYPERLINK("http://trademark.i-assist.jp/data/china/image_1927th/82388264.pdf","82388264")</f>
        <v>82388264</v>
      </c>
      <c r="F1214" s="9" t="s">
        <v>3487</v>
      </c>
      <c r="G1214" s="9" t="s">
        <v>3488</v>
      </c>
      <c r="H1214" s="9" t="s">
        <v>3489</v>
      </c>
      <c r="I1214" s="10">
        <v>45632</v>
      </c>
    </row>
    <row r="1215" spans="1:9" x14ac:dyDescent="0.15">
      <c r="A1215" s="9">
        <v>1214</v>
      </c>
      <c r="B1215" s="9" t="s">
        <v>9</v>
      </c>
      <c r="C1215" s="9">
        <v>1927</v>
      </c>
      <c r="D1215" s="10">
        <v>45729</v>
      </c>
      <c r="E1215" s="11" t="str">
        <f>+HYPERLINK("http://trademark.i-assist.jp/data/china/image_1927th/82388588.pdf","82388588")</f>
        <v>82388588</v>
      </c>
      <c r="F1215" s="12" t="s">
        <v>3490</v>
      </c>
      <c r="G1215" s="9" t="s">
        <v>65</v>
      </c>
      <c r="H1215" s="9" t="s">
        <v>3491</v>
      </c>
      <c r="I1215" s="10">
        <v>45632</v>
      </c>
    </row>
    <row r="1216" spans="1:9" x14ac:dyDescent="0.15">
      <c r="A1216" s="9">
        <v>1215</v>
      </c>
      <c r="B1216" s="9" t="s">
        <v>9</v>
      </c>
      <c r="C1216" s="9">
        <v>1927</v>
      </c>
      <c r="D1216" s="10">
        <v>45729</v>
      </c>
      <c r="E1216" s="11" t="str">
        <f>+HYPERLINK("http://trademark.i-assist.jp/data/china/image_1927th/82388618.pdf","82388618")</f>
        <v>82388618</v>
      </c>
      <c r="F1216" s="9" t="s">
        <v>3492</v>
      </c>
      <c r="G1216" s="9" t="s">
        <v>3493</v>
      </c>
      <c r="H1216" s="9" t="s">
        <v>3494</v>
      </c>
      <c r="I1216" s="10">
        <v>45632</v>
      </c>
    </row>
    <row r="1217" spans="1:9" x14ac:dyDescent="0.15">
      <c r="A1217" s="9">
        <v>1216</v>
      </c>
      <c r="B1217" s="9" t="s">
        <v>9</v>
      </c>
      <c r="C1217" s="9">
        <v>1927</v>
      </c>
      <c r="D1217" s="10">
        <v>45729</v>
      </c>
      <c r="E1217" s="11" t="str">
        <f>+HYPERLINK("http://trademark.i-assist.jp/data/china/image_1927th/82388633.pdf","82388633")</f>
        <v>82388633</v>
      </c>
      <c r="F1217" s="9" t="s">
        <v>3495</v>
      </c>
      <c r="G1217" s="9" t="s">
        <v>3496</v>
      </c>
      <c r="H1217" s="9" t="s">
        <v>3497</v>
      </c>
      <c r="I1217" s="10">
        <v>45632</v>
      </c>
    </row>
    <row r="1218" spans="1:9" x14ac:dyDescent="0.15">
      <c r="A1218" s="9">
        <v>1217</v>
      </c>
      <c r="B1218" s="9" t="s">
        <v>9</v>
      </c>
      <c r="C1218" s="9">
        <v>1927</v>
      </c>
      <c r="D1218" s="10">
        <v>45729</v>
      </c>
      <c r="E1218" s="11" t="str">
        <f>+HYPERLINK("http://trademark.i-assist.jp/data/china/image_1927th/82388845.pdf","82388845")</f>
        <v>82388845</v>
      </c>
      <c r="F1218" s="9" t="s">
        <v>3498</v>
      </c>
      <c r="G1218" s="9" t="s">
        <v>3499</v>
      </c>
      <c r="H1218" s="12" t="s">
        <v>3500</v>
      </c>
      <c r="I1218" s="10">
        <v>45632</v>
      </c>
    </row>
    <row r="1219" spans="1:9" x14ac:dyDescent="0.15">
      <c r="A1219" s="9">
        <v>1218</v>
      </c>
      <c r="B1219" s="9" t="s">
        <v>9</v>
      </c>
      <c r="C1219" s="9">
        <v>1927</v>
      </c>
      <c r="D1219" s="10">
        <v>45729</v>
      </c>
      <c r="E1219" s="11" t="str">
        <f>+HYPERLINK("http://trademark.i-assist.jp/data/china/image_1927th/82388958.pdf","82388958")</f>
        <v>82388958</v>
      </c>
      <c r="F1219" s="9" t="s">
        <v>3501</v>
      </c>
      <c r="G1219" s="9" t="s">
        <v>3502</v>
      </c>
      <c r="H1219" s="9" t="s">
        <v>3503</v>
      </c>
      <c r="I1219" s="10">
        <v>45632</v>
      </c>
    </row>
    <row r="1220" spans="1:9" x14ac:dyDescent="0.15">
      <c r="A1220" s="9">
        <v>1219</v>
      </c>
      <c r="B1220" s="9" t="s">
        <v>9</v>
      </c>
      <c r="C1220" s="9">
        <v>1927</v>
      </c>
      <c r="D1220" s="10">
        <v>45729</v>
      </c>
      <c r="E1220" s="11" t="str">
        <f>+HYPERLINK("http://trademark.i-assist.jp/data/china/image_1927th/82390043.pdf","82390043")</f>
        <v>82390043</v>
      </c>
      <c r="F1220" s="12" t="s">
        <v>3504</v>
      </c>
      <c r="G1220" s="9" t="s">
        <v>56</v>
      </c>
      <c r="H1220" s="9" t="s">
        <v>3505</v>
      </c>
      <c r="I1220" s="10">
        <v>45632</v>
      </c>
    </row>
    <row r="1221" spans="1:9" x14ac:dyDescent="0.15">
      <c r="A1221" s="9">
        <v>1220</v>
      </c>
      <c r="B1221" s="9" t="s">
        <v>9</v>
      </c>
      <c r="C1221" s="9">
        <v>1927</v>
      </c>
      <c r="D1221" s="10">
        <v>45729</v>
      </c>
      <c r="E1221" s="11" t="str">
        <f>+HYPERLINK("http://trademark.i-assist.jp/data/china/image_1927th/82390047.pdf","82390047")</f>
        <v>82390047</v>
      </c>
      <c r="F1221" s="9" t="s">
        <v>3506</v>
      </c>
      <c r="G1221" s="9" t="s">
        <v>56</v>
      </c>
      <c r="H1221" s="9" t="s">
        <v>3507</v>
      </c>
      <c r="I1221" s="10">
        <v>45632</v>
      </c>
    </row>
    <row r="1222" spans="1:9" x14ac:dyDescent="0.15">
      <c r="A1222" s="9">
        <v>1221</v>
      </c>
      <c r="B1222" s="9" t="s">
        <v>9</v>
      </c>
      <c r="C1222" s="9">
        <v>1927</v>
      </c>
      <c r="D1222" s="10">
        <v>45729</v>
      </c>
      <c r="E1222" s="11" t="str">
        <f>+HYPERLINK("http://trademark.i-assist.jp/data/china/image_1927th/82390265.pdf","82390265")</f>
        <v>82390265</v>
      </c>
      <c r="F1222" s="9" t="s">
        <v>3508</v>
      </c>
      <c r="G1222" s="9" t="s">
        <v>3509</v>
      </c>
      <c r="H1222" s="9" t="s">
        <v>3510</v>
      </c>
      <c r="I1222" s="10">
        <v>45632</v>
      </c>
    </row>
    <row r="1223" spans="1:9" x14ac:dyDescent="0.15">
      <c r="A1223" s="9">
        <v>1222</v>
      </c>
      <c r="B1223" s="9" t="s">
        <v>9</v>
      </c>
      <c r="C1223" s="9">
        <v>1927</v>
      </c>
      <c r="D1223" s="10">
        <v>45729</v>
      </c>
      <c r="E1223" s="11" t="str">
        <f>+HYPERLINK("http://trademark.i-assist.jp/data/china/image_1927th/82390785.pdf","82390785")</f>
        <v>82390785</v>
      </c>
      <c r="F1223" s="9" t="s">
        <v>3511</v>
      </c>
      <c r="G1223" s="9" t="s">
        <v>3512</v>
      </c>
      <c r="H1223" s="9" t="s">
        <v>3513</v>
      </c>
      <c r="I1223" s="10">
        <v>45632</v>
      </c>
    </row>
    <row r="1224" spans="1:9" x14ac:dyDescent="0.15">
      <c r="A1224" s="9">
        <v>1223</v>
      </c>
      <c r="B1224" s="9" t="s">
        <v>9</v>
      </c>
      <c r="C1224" s="9">
        <v>1927</v>
      </c>
      <c r="D1224" s="10">
        <v>45729</v>
      </c>
      <c r="E1224" s="11" t="str">
        <f>+HYPERLINK("http://trademark.i-assist.jp/data/china/image_1927th/82390915.pdf","82390915")</f>
        <v>82390915</v>
      </c>
      <c r="F1224" s="9" t="s">
        <v>3514</v>
      </c>
      <c r="G1224" s="12" t="s">
        <v>3515</v>
      </c>
      <c r="H1224" s="9" t="s">
        <v>3516</v>
      </c>
      <c r="I1224" s="10">
        <v>45632</v>
      </c>
    </row>
    <row r="1225" spans="1:9" x14ac:dyDescent="0.15">
      <c r="A1225" s="9">
        <v>1224</v>
      </c>
      <c r="B1225" s="9" t="s">
        <v>9</v>
      </c>
      <c r="C1225" s="9">
        <v>1927</v>
      </c>
      <c r="D1225" s="10">
        <v>45729</v>
      </c>
      <c r="E1225" s="11" t="str">
        <f>+HYPERLINK("http://trademark.i-assist.jp/data/china/image_1927th/82391150.pdf","82391150")</f>
        <v>82391150</v>
      </c>
      <c r="F1225" s="12" t="s">
        <v>3517</v>
      </c>
      <c r="G1225" s="12" t="s">
        <v>3518</v>
      </c>
      <c r="H1225" s="12" t="s">
        <v>3519</v>
      </c>
      <c r="I1225" s="10">
        <v>45632</v>
      </c>
    </row>
    <row r="1226" spans="1:9" x14ac:dyDescent="0.15">
      <c r="A1226" s="9">
        <v>1225</v>
      </c>
      <c r="B1226" s="9" t="s">
        <v>9</v>
      </c>
      <c r="C1226" s="9">
        <v>1927</v>
      </c>
      <c r="D1226" s="10">
        <v>45729</v>
      </c>
      <c r="E1226" s="11" t="str">
        <f>+HYPERLINK("http://trademark.i-assist.jp/data/china/image_1927th/82391289.pdf","82391289")</f>
        <v>82391289</v>
      </c>
      <c r="F1226" s="9" t="s">
        <v>3520</v>
      </c>
      <c r="G1226" s="9" t="s">
        <v>3521</v>
      </c>
      <c r="H1226" s="9" t="s">
        <v>3522</v>
      </c>
      <c r="I1226" s="10">
        <v>45632</v>
      </c>
    </row>
    <row r="1227" spans="1:9" x14ac:dyDescent="0.15">
      <c r="A1227" s="9">
        <v>1226</v>
      </c>
      <c r="B1227" s="9" t="s">
        <v>9</v>
      </c>
      <c r="C1227" s="9">
        <v>1927</v>
      </c>
      <c r="D1227" s="10">
        <v>45729</v>
      </c>
      <c r="E1227" s="11" t="str">
        <f>+HYPERLINK("http://trademark.i-assist.jp/data/china/image_1927th/82391702.pdf","82391702")</f>
        <v>82391702</v>
      </c>
      <c r="F1227" s="9" t="s">
        <v>3523</v>
      </c>
      <c r="G1227" s="9" t="s">
        <v>3524</v>
      </c>
      <c r="H1227" s="9" t="s">
        <v>3525</v>
      </c>
      <c r="I1227" s="10">
        <v>45632</v>
      </c>
    </row>
    <row r="1228" spans="1:9" x14ac:dyDescent="0.15">
      <c r="A1228" s="9">
        <v>1227</v>
      </c>
      <c r="B1228" s="9" t="s">
        <v>9</v>
      </c>
      <c r="C1228" s="9">
        <v>1927</v>
      </c>
      <c r="D1228" s="10">
        <v>45729</v>
      </c>
      <c r="E1228" s="11" t="str">
        <f>+HYPERLINK("http://trademark.i-assist.jp/data/china/image_1927th/82391780.pdf","82391780")</f>
        <v>82391780</v>
      </c>
      <c r="F1228" s="9" t="s">
        <v>3526</v>
      </c>
      <c r="G1228" s="9" t="s">
        <v>3527</v>
      </c>
      <c r="H1228" s="9" t="s">
        <v>3528</v>
      </c>
      <c r="I1228" s="10">
        <v>45632</v>
      </c>
    </row>
    <row r="1229" spans="1:9" x14ac:dyDescent="0.15">
      <c r="A1229" s="9">
        <v>1228</v>
      </c>
      <c r="B1229" s="9" t="s">
        <v>9</v>
      </c>
      <c r="C1229" s="9">
        <v>1927</v>
      </c>
      <c r="D1229" s="10">
        <v>45729</v>
      </c>
      <c r="E1229" s="11" t="str">
        <f>+HYPERLINK("http://trademark.i-assist.jp/data/china/image_1927th/82391800.pdf","82391800")</f>
        <v>82391800</v>
      </c>
      <c r="F1229" s="9" t="s">
        <v>3529</v>
      </c>
      <c r="G1229" s="9" t="s">
        <v>3530</v>
      </c>
      <c r="H1229" s="9" t="s">
        <v>3531</v>
      </c>
      <c r="I1229" s="10">
        <v>45632</v>
      </c>
    </row>
    <row r="1230" spans="1:9" x14ac:dyDescent="0.15">
      <c r="A1230" s="9">
        <v>1229</v>
      </c>
      <c r="B1230" s="9" t="s">
        <v>9</v>
      </c>
      <c r="C1230" s="9">
        <v>1927</v>
      </c>
      <c r="D1230" s="10">
        <v>45729</v>
      </c>
      <c r="E1230" s="11" t="str">
        <f>+HYPERLINK("http://trademark.i-assist.jp/data/china/image_1927th/82392201.pdf","82392201")</f>
        <v>82392201</v>
      </c>
      <c r="F1230" s="9" t="s">
        <v>3532</v>
      </c>
      <c r="G1230" s="9" t="s">
        <v>3533</v>
      </c>
      <c r="H1230" s="9" t="s">
        <v>3534</v>
      </c>
      <c r="I1230" s="10">
        <v>45632</v>
      </c>
    </row>
    <row r="1231" spans="1:9" x14ac:dyDescent="0.15">
      <c r="A1231" s="9">
        <v>1230</v>
      </c>
      <c r="B1231" s="9" t="s">
        <v>9</v>
      </c>
      <c r="C1231" s="9">
        <v>1927</v>
      </c>
      <c r="D1231" s="10">
        <v>45729</v>
      </c>
      <c r="E1231" s="11" t="str">
        <f>+HYPERLINK("http://trademark.i-assist.jp/data/china/image_1927th/82392605.pdf","82392605")</f>
        <v>82392605</v>
      </c>
      <c r="F1231" s="12" t="s">
        <v>3535</v>
      </c>
      <c r="G1231" s="9" t="s">
        <v>141</v>
      </c>
      <c r="H1231" s="9" t="s">
        <v>3536</v>
      </c>
      <c r="I1231" s="10">
        <v>45632</v>
      </c>
    </row>
    <row r="1232" spans="1:9" x14ac:dyDescent="0.15">
      <c r="A1232" s="9">
        <v>1231</v>
      </c>
      <c r="B1232" s="9" t="s">
        <v>9</v>
      </c>
      <c r="C1232" s="9">
        <v>1927</v>
      </c>
      <c r="D1232" s="10">
        <v>45729</v>
      </c>
      <c r="E1232" s="11" t="str">
        <f>+HYPERLINK("http://trademark.i-assist.jp/data/china/image_1927th/82392677.pdf","82392677")</f>
        <v>82392677</v>
      </c>
      <c r="F1232" s="12" t="s">
        <v>3537</v>
      </c>
      <c r="G1232" s="9" t="s">
        <v>3538</v>
      </c>
      <c r="H1232" s="12" t="s">
        <v>3539</v>
      </c>
      <c r="I1232" s="10">
        <v>45632</v>
      </c>
    </row>
    <row r="1233" spans="1:9" x14ac:dyDescent="0.15">
      <c r="A1233" s="9">
        <v>1232</v>
      </c>
      <c r="B1233" s="9" t="s">
        <v>9</v>
      </c>
      <c r="C1233" s="9">
        <v>1927</v>
      </c>
      <c r="D1233" s="10">
        <v>45729</v>
      </c>
      <c r="E1233" s="11" t="str">
        <f>+HYPERLINK("http://trademark.i-assist.jp/data/china/image_1927th/82392771.pdf","82392771")</f>
        <v>82392771</v>
      </c>
      <c r="F1233" s="9" t="s">
        <v>3540</v>
      </c>
      <c r="G1233" s="9" t="s">
        <v>63</v>
      </c>
      <c r="H1233" s="9" t="s">
        <v>3541</v>
      </c>
      <c r="I1233" s="10">
        <v>45632</v>
      </c>
    </row>
    <row r="1234" spans="1:9" x14ac:dyDescent="0.15">
      <c r="A1234" s="9">
        <v>1233</v>
      </c>
      <c r="B1234" s="9" t="s">
        <v>9</v>
      </c>
      <c r="C1234" s="9">
        <v>1927</v>
      </c>
      <c r="D1234" s="10">
        <v>45729</v>
      </c>
      <c r="E1234" s="11" t="str">
        <f>+HYPERLINK("http://trademark.i-assist.jp/data/china/image_1927th/82393391.pdf","82393391")</f>
        <v>82393391</v>
      </c>
      <c r="F1234" s="9" t="s">
        <v>3542</v>
      </c>
      <c r="G1234" s="9" t="s">
        <v>3543</v>
      </c>
      <c r="H1234" s="9" t="s">
        <v>3544</v>
      </c>
      <c r="I1234" s="10">
        <v>45632</v>
      </c>
    </row>
    <row r="1235" spans="1:9" x14ac:dyDescent="0.15">
      <c r="A1235" s="9">
        <v>1234</v>
      </c>
      <c r="B1235" s="9" t="s">
        <v>9</v>
      </c>
      <c r="C1235" s="9">
        <v>1927</v>
      </c>
      <c r="D1235" s="10">
        <v>45729</v>
      </c>
      <c r="E1235" s="11" t="str">
        <f>+HYPERLINK("http://trademark.i-assist.jp/data/china/image_1927th/82393608.pdf","82393608")</f>
        <v>82393608</v>
      </c>
      <c r="F1235" s="9" t="s">
        <v>3545</v>
      </c>
      <c r="G1235" s="9" t="s">
        <v>3546</v>
      </c>
      <c r="H1235" s="9" t="s">
        <v>3547</v>
      </c>
      <c r="I1235" s="10">
        <v>45632</v>
      </c>
    </row>
    <row r="1236" spans="1:9" x14ac:dyDescent="0.15">
      <c r="A1236" s="9">
        <v>1235</v>
      </c>
      <c r="B1236" s="9" t="s">
        <v>9</v>
      </c>
      <c r="C1236" s="9">
        <v>1927</v>
      </c>
      <c r="D1236" s="10">
        <v>45729</v>
      </c>
      <c r="E1236" s="11" t="str">
        <f>+HYPERLINK("http://trademark.i-assist.jp/data/china/image_1927th/82393781.pdf","82393781")</f>
        <v>82393781</v>
      </c>
      <c r="F1236" s="9" t="s">
        <v>3548</v>
      </c>
      <c r="G1236" s="12" t="s">
        <v>3549</v>
      </c>
      <c r="H1236" s="9" t="s">
        <v>3550</v>
      </c>
      <c r="I1236" s="10">
        <v>45632</v>
      </c>
    </row>
    <row r="1237" spans="1:9" x14ac:dyDescent="0.15">
      <c r="A1237" s="9">
        <v>1236</v>
      </c>
      <c r="B1237" s="9" t="s">
        <v>9</v>
      </c>
      <c r="C1237" s="9">
        <v>1927</v>
      </c>
      <c r="D1237" s="10">
        <v>45729</v>
      </c>
      <c r="E1237" s="11" t="str">
        <f>+HYPERLINK("http://trademark.i-assist.jp/data/china/image_1927th/82394159.pdf","82394159")</f>
        <v>82394159</v>
      </c>
      <c r="F1237" s="9" t="s">
        <v>3551</v>
      </c>
      <c r="G1237" s="9" t="s">
        <v>3552</v>
      </c>
      <c r="H1237" s="9" t="s">
        <v>3553</v>
      </c>
      <c r="I1237" s="10">
        <v>45632</v>
      </c>
    </row>
    <row r="1238" spans="1:9" x14ac:dyDescent="0.15">
      <c r="A1238" s="9">
        <v>1237</v>
      </c>
      <c r="B1238" s="9" t="s">
        <v>9</v>
      </c>
      <c r="C1238" s="9">
        <v>1927</v>
      </c>
      <c r="D1238" s="10">
        <v>45729</v>
      </c>
      <c r="E1238" s="11" t="str">
        <f>+HYPERLINK("http://trademark.i-assist.jp/data/china/image_1927th/82394344.pdf","82394344")</f>
        <v>82394344</v>
      </c>
      <c r="F1238" s="9" t="s">
        <v>3554</v>
      </c>
      <c r="G1238" s="9" t="s">
        <v>3555</v>
      </c>
      <c r="H1238" s="9" t="s">
        <v>3556</v>
      </c>
      <c r="I1238" s="10">
        <v>45632</v>
      </c>
    </row>
    <row r="1239" spans="1:9" x14ac:dyDescent="0.15">
      <c r="A1239" s="9">
        <v>1238</v>
      </c>
      <c r="B1239" s="9" t="s">
        <v>9</v>
      </c>
      <c r="C1239" s="9">
        <v>1927</v>
      </c>
      <c r="D1239" s="10">
        <v>45729</v>
      </c>
      <c r="E1239" s="11" t="str">
        <f>+HYPERLINK("http://trademark.i-assist.jp/data/china/image_1927th/82394558.pdf","82394558")</f>
        <v>82394558</v>
      </c>
      <c r="F1239" s="12" t="s">
        <v>3557</v>
      </c>
      <c r="G1239" s="9" t="s">
        <v>3558</v>
      </c>
      <c r="H1239" s="9" t="s">
        <v>3559</v>
      </c>
      <c r="I1239" s="10">
        <v>45632</v>
      </c>
    </row>
    <row r="1240" spans="1:9" x14ac:dyDescent="0.15">
      <c r="A1240" s="9">
        <v>1239</v>
      </c>
      <c r="B1240" s="9" t="s">
        <v>9</v>
      </c>
      <c r="C1240" s="9">
        <v>1927</v>
      </c>
      <c r="D1240" s="10">
        <v>45729</v>
      </c>
      <c r="E1240" s="11" t="str">
        <f>+HYPERLINK("http://trademark.i-assist.jp/data/china/image_1927th/82394616.pdf","82394616")</f>
        <v>82394616</v>
      </c>
      <c r="F1240" s="9" t="s">
        <v>3560</v>
      </c>
      <c r="G1240" s="9" t="s">
        <v>3306</v>
      </c>
      <c r="H1240" s="9" t="s">
        <v>3561</v>
      </c>
      <c r="I1240" s="10">
        <v>45632</v>
      </c>
    </row>
    <row r="1241" spans="1:9" x14ac:dyDescent="0.15">
      <c r="A1241" s="9">
        <v>1240</v>
      </c>
      <c r="B1241" s="9" t="s">
        <v>9</v>
      </c>
      <c r="C1241" s="9">
        <v>1927</v>
      </c>
      <c r="D1241" s="10">
        <v>45729</v>
      </c>
      <c r="E1241" s="11" t="str">
        <f>+HYPERLINK("http://trademark.i-assist.jp/data/china/image_1927th/82394718.pdf","82394718")</f>
        <v>82394718</v>
      </c>
      <c r="F1241" s="9" t="s">
        <v>3562</v>
      </c>
      <c r="G1241" s="9" t="s">
        <v>3563</v>
      </c>
      <c r="H1241" s="12" t="s">
        <v>3564</v>
      </c>
      <c r="I1241" s="10">
        <v>45632</v>
      </c>
    </row>
    <row r="1242" spans="1:9" x14ac:dyDescent="0.15">
      <c r="A1242" s="9">
        <v>1241</v>
      </c>
      <c r="B1242" s="9" t="s">
        <v>9</v>
      </c>
      <c r="C1242" s="9">
        <v>1927</v>
      </c>
      <c r="D1242" s="10">
        <v>45729</v>
      </c>
      <c r="E1242" s="11" t="str">
        <f>+HYPERLINK("http://trademark.i-assist.jp/data/china/image_1927th/82394738.pdf","82394738")</f>
        <v>82394738</v>
      </c>
      <c r="F1242" s="12" t="s">
        <v>3565</v>
      </c>
      <c r="G1242" s="9" t="s">
        <v>3566</v>
      </c>
      <c r="H1242" s="9" t="s">
        <v>3567</v>
      </c>
      <c r="I1242" s="10">
        <v>45632</v>
      </c>
    </row>
    <row r="1243" spans="1:9" x14ac:dyDescent="0.15">
      <c r="A1243" s="9">
        <v>1242</v>
      </c>
      <c r="B1243" s="9" t="s">
        <v>9</v>
      </c>
      <c r="C1243" s="9">
        <v>1927</v>
      </c>
      <c r="D1243" s="10">
        <v>45729</v>
      </c>
      <c r="E1243" s="11" t="str">
        <f>+HYPERLINK("http://trademark.i-assist.jp/data/china/image_1927th/82394961.pdf","82394961")</f>
        <v>82394961</v>
      </c>
      <c r="F1243" s="9" t="s">
        <v>3568</v>
      </c>
      <c r="G1243" s="9" t="s">
        <v>3569</v>
      </c>
      <c r="H1243" s="9" t="s">
        <v>3570</v>
      </c>
      <c r="I1243" s="10">
        <v>45632</v>
      </c>
    </row>
    <row r="1244" spans="1:9" x14ac:dyDescent="0.15">
      <c r="A1244" s="9">
        <v>1243</v>
      </c>
      <c r="B1244" s="9" t="s">
        <v>9</v>
      </c>
      <c r="C1244" s="9">
        <v>1927</v>
      </c>
      <c r="D1244" s="10">
        <v>45729</v>
      </c>
      <c r="E1244" s="11" t="str">
        <f>+HYPERLINK("http://trademark.i-assist.jp/data/china/image_1927th/82395396.pdf","82395396")</f>
        <v>82395396</v>
      </c>
      <c r="F1244" s="9" t="s">
        <v>3571</v>
      </c>
      <c r="G1244" s="9" t="s">
        <v>63</v>
      </c>
      <c r="H1244" s="12" t="s">
        <v>3572</v>
      </c>
      <c r="I1244" s="10">
        <v>45632</v>
      </c>
    </row>
    <row r="1245" spans="1:9" x14ac:dyDescent="0.15">
      <c r="A1245" s="9">
        <v>1244</v>
      </c>
      <c r="B1245" s="9" t="s">
        <v>9</v>
      </c>
      <c r="C1245" s="9">
        <v>1927</v>
      </c>
      <c r="D1245" s="10">
        <v>45729</v>
      </c>
      <c r="E1245" s="11" t="str">
        <f>+HYPERLINK("http://trademark.i-assist.jp/data/china/image_1927th/82395528.pdf","82395528")</f>
        <v>82395528</v>
      </c>
      <c r="F1245" s="9" t="s">
        <v>3573</v>
      </c>
      <c r="G1245" s="9" t="s">
        <v>3574</v>
      </c>
      <c r="H1245" s="12" t="s">
        <v>3575</v>
      </c>
      <c r="I1245" s="10">
        <v>45632</v>
      </c>
    </row>
    <row r="1246" spans="1:9" x14ac:dyDescent="0.15">
      <c r="A1246" s="9">
        <v>1245</v>
      </c>
      <c r="B1246" s="9" t="s">
        <v>9</v>
      </c>
      <c r="C1246" s="9">
        <v>1927</v>
      </c>
      <c r="D1246" s="10">
        <v>45729</v>
      </c>
      <c r="E1246" s="11" t="str">
        <f>+HYPERLINK("http://trademark.i-assist.jp/data/china/image_1927th/82396366.pdf","82396366")</f>
        <v>82396366</v>
      </c>
      <c r="F1246" s="12" t="s">
        <v>3576</v>
      </c>
      <c r="G1246" s="9" t="s">
        <v>141</v>
      </c>
      <c r="H1246" s="9" t="s">
        <v>3577</v>
      </c>
      <c r="I1246" s="10">
        <v>45632</v>
      </c>
    </row>
    <row r="1247" spans="1:9" x14ac:dyDescent="0.15">
      <c r="A1247" s="9">
        <v>1246</v>
      </c>
      <c r="B1247" s="9" t="s">
        <v>9</v>
      </c>
      <c r="C1247" s="9">
        <v>1927</v>
      </c>
      <c r="D1247" s="10">
        <v>45729</v>
      </c>
      <c r="E1247" s="11" t="str">
        <f>+HYPERLINK("http://trademark.i-assist.jp/data/china/image_1927th/82396472.pdf","82396472")</f>
        <v>82396472</v>
      </c>
      <c r="F1247" s="12" t="s">
        <v>3578</v>
      </c>
      <c r="G1247" s="9" t="s">
        <v>56</v>
      </c>
      <c r="H1247" s="9" t="s">
        <v>3579</v>
      </c>
      <c r="I1247" s="10">
        <v>45632</v>
      </c>
    </row>
    <row r="1248" spans="1:9" x14ac:dyDescent="0.15">
      <c r="A1248" s="9">
        <v>1247</v>
      </c>
      <c r="B1248" s="9" t="s">
        <v>9</v>
      </c>
      <c r="C1248" s="9">
        <v>1927</v>
      </c>
      <c r="D1248" s="10">
        <v>45729</v>
      </c>
      <c r="E1248" s="11" t="str">
        <f>+HYPERLINK("http://trademark.i-assist.jp/data/china/image_1927th/82396737.pdf","82396737")</f>
        <v>82396737</v>
      </c>
      <c r="F1248" s="9" t="s">
        <v>3580</v>
      </c>
      <c r="G1248" s="12" t="s">
        <v>3581</v>
      </c>
      <c r="H1248" s="9" t="s">
        <v>3582</v>
      </c>
      <c r="I1248" s="10">
        <v>45632</v>
      </c>
    </row>
    <row r="1249" spans="1:9" x14ac:dyDescent="0.15">
      <c r="A1249" s="9">
        <v>1248</v>
      </c>
      <c r="B1249" s="9" t="s">
        <v>9</v>
      </c>
      <c r="C1249" s="9">
        <v>1927</v>
      </c>
      <c r="D1249" s="10">
        <v>45729</v>
      </c>
      <c r="E1249" s="11" t="str">
        <f>+HYPERLINK("http://trademark.i-assist.jp/data/china/image_1927th/82397003.pdf","82397003")</f>
        <v>82397003</v>
      </c>
      <c r="F1249" s="9" t="s">
        <v>3583</v>
      </c>
      <c r="G1249" s="12" t="s">
        <v>3584</v>
      </c>
      <c r="H1249" s="9" t="s">
        <v>3585</v>
      </c>
      <c r="I1249" s="10">
        <v>45632</v>
      </c>
    </row>
    <row r="1250" spans="1:9" x14ac:dyDescent="0.15">
      <c r="A1250" s="9">
        <v>1249</v>
      </c>
      <c r="B1250" s="9" t="s">
        <v>9</v>
      </c>
      <c r="C1250" s="9">
        <v>1927</v>
      </c>
      <c r="D1250" s="10">
        <v>45729</v>
      </c>
      <c r="E1250" s="11" t="str">
        <f>+HYPERLINK("http://trademark.i-assist.jp/data/china/image_1927th/82397086.pdf","82397086")</f>
        <v>82397086</v>
      </c>
      <c r="F1250" s="12" t="s">
        <v>3586</v>
      </c>
      <c r="G1250" s="9" t="s">
        <v>3587</v>
      </c>
      <c r="H1250" s="9" t="s">
        <v>3588</v>
      </c>
      <c r="I1250" s="10">
        <v>45632</v>
      </c>
    </row>
    <row r="1251" spans="1:9" x14ac:dyDescent="0.15">
      <c r="A1251" s="9">
        <v>1250</v>
      </c>
      <c r="B1251" s="9" t="s">
        <v>9</v>
      </c>
      <c r="C1251" s="9">
        <v>1927</v>
      </c>
      <c r="D1251" s="10">
        <v>45729</v>
      </c>
      <c r="E1251" s="11" t="str">
        <f>+HYPERLINK("http://trademark.i-assist.jp/data/china/image_1927th/82397939.pdf","82397939")</f>
        <v>82397939</v>
      </c>
      <c r="F1251" s="9" t="s">
        <v>3589</v>
      </c>
      <c r="G1251" s="9" t="s">
        <v>3590</v>
      </c>
      <c r="H1251" s="9" t="s">
        <v>3591</v>
      </c>
      <c r="I1251" s="10">
        <v>45632</v>
      </c>
    </row>
    <row r="1252" spans="1:9" x14ac:dyDescent="0.15">
      <c r="A1252" s="9">
        <v>1251</v>
      </c>
      <c r="B1252" s="9" t="s">
        <v>9</v>
      </c>
      <c r="C1252" s="9">
        <v>1927</v>
      </c>
      <c r="D1252" s="10">
        <v>45729</v>
      </c>
      <c r="E1252" s="11" t="str">
        <f>+HYPERLINK("http://trademark.i-assist.jp/data/china/image_1927th/82398400.pdf","82398400")</f>
        <v>82398400</v>
      </c>
      <c r="F1252" s="9" t="s">
        <v>3592</v>
      </c>
      <c r="G1252" s="9" t="s">
        <v>3593</v>
      </c>
      <c r="H1252" s="9" t="s">
        <v>3594</v>
      </c>
      <c r="I1252" s="10">
        <v>45632</v>
      </c>
    </row>
    <row r="1253" spans="1:9" x14ac:dyDescent="0.15">
      <c r="A1253" s="9">
        <v>1252</v>
      </c>
      <c r="B1253" s="9" t="s">
        <v>9</v>
      </c>
      <c r="C1253" s="9">
        <v>1927</v>
      </c>
      <c r="D1253" s="10">
        <v>45729</v>
      </c>
      <c r="E1253" s="11" t="str">
        <f>+HYPERLINK("http://trademark.i-assist.jp/data/china/image_1927th/82398542.pdf","82398542")</f>
        <v>82398542</v>
      </c>
      <c r="F1253" s="9" t="s">
        <v>3595</v>
      </c>
      <c r="G1253" s="9" t="s">
        <v>3596</v>
      </c>
      <c r="H1253" s="12" t="s">
        <v>3597</v>
      </c>
      <c r="I1253" s="10">
        <v>45632</v>
      </c>
    </row>
    <row r="1254" spans="1:9" x14ac:dyDescent="0.15">
      <c r="A1254" s="9">
        <v>1253</v>
      </c>
      <c r="B1254" s="9" t="s">
        <v>9</v>
      </c>
      <c r="C1254" s="9">
        <v>1927</v>
      </c>
      <c r="D1254" s="10">
        <v>45729</v>
      </c>
      <c r="E1254" s="11" t="str">
        <f>+HYPERLINK("http://trademark.i-assist.jp/data/china/image_1927th/82398571.pdf","82398571")</f>
        <v>82398571</v>
      </c>
      <c r="F1254" s="9" t="s">
        <v>3598</v>
      </c>
      <c r="G1254" s="9" t="s">
        <v>3599</v>
      </c>
      <c r="H1254" s="9" t="s">
        <v>3600</v>
      </c>
      <c r="I1254" s="10">
        <v>45632</v>
      </c>
    </row>
    <row r="1255" spans="1:9" x14ac:dyDescent="0.15">
      <c r="A1255" s="9">
        <v>1254</v>
      </c>
      <c r="B1255" s="9" t="s">
        <v>9</v>
      </c>
      <c r="C1255" s="9">
        <v>1927</v>
      </c>
      <c r="D1255" s="10">
        <v>45729</v>
      </c>
      <c r="E1255" s="11" t="str">
        <f>+HYPERLINK("http://trademark.i-assist.jp/data/china/image_1927th/82399048.pdf","82399048")</f>
        <v>82399048</v>
      </c>
      <c r="F1255" s="9" t="s">
        <v>3601</v>
      </c>
      <c r="G1255" s="9" t="s">
        <v>3602</v>
      </c>
      <c r="H1255" s="9" t="s">
        <v>3603</v>
      </c>
      <c r="I1255" s="10">
        <v>45632</v>
      </c>
    </row>
    <row r="1256" spans="1:9" x14ac:dyDescent="0.15">
      <c r="A1256" s="9">
        <v>1255</v>
      </c>
      <c r="B1256" s="9" t="s">
        <v>9</v>
      </c>
      <c r="C1256" s="9">
        <v>1927</v>
      </c>
      <c r="D1256" s="10">
        <v>45729</v>
      </c>
      <c r="E1256" s="11" t="str">
        <f>+HYPERLINK("http://trademark.i-assist.jp/data/china/image_1927th/82399070.pdf","82399070")</f>
        <v>82399070</v>
      </c>
      <c r="F1256" s="9" t="s">
        <v>3604</v>
      </c>
      <c r="G1256" s="12" t="s">
        <v>3605</v>
      </c>
      <c r="H1256" s="9" t="s">
        <v>3606</v>
      </c>
      <c r="I1256" s="10">
        <v>45632</v>
      </c>
    </row>
    <row r="1257" spans="1:9" x14ac:dyDescent="0.15">
      <c r="A1257" s="9">
        <v>1256</v>
      </c>
      <c r="B1257" s="9" t="s">
        <v>9</v>
      </c>
      <c r="C1257" s="9">
        <v>1927</v>
      </c>
      <c r="D1257" s="10">
        <v>45729</v>
      </c>
      <c r="E1257" s="11" t="str">
        <f>+HYPERLINK("http://trademark.i-assist.jp/data/china/image_1927th/82399233.pdf","82399233")</f>
        <v>82399233</v>
      </c>
      <c r="F1257" s="9" t="s">
        <v>3607</v>
      </c>
      <c r="G1257" s="12" t="s">
        <v>3608</v>
      </c>
      <c r="H1257" s="9" t="s">
        <v>3609</v>
      </c>
      <c r="I1257" s="10">
        <v>45632</v>
      </c>
    </row>
    <row r="1258" spans="1:9" x14ac:dyDescent="0.15">
      <c r="A1258" s="9">
        <v>1257</v>
      </c>
      <c r="B1258" s="9" t="s">
        <v>9</v>
      </c>
      <c r="C1258" s="9">
        <v>1927</v>
      </c>
      <c r="D1258" s="10">
        <v>45729</v>
      </c>
      <c r="E1258" s="11" t="str">
        <f>+HYPERLINK("http://trademark.i-assist.jp/data/china/image_1927th/82399289.pdf","82399289")</f>
        <v>82399289</v>
      </c>
      <c r="F1258" s="9" t="s">
        <v>3610</v>
      </c>
      <c r="G1258" s="9" t="s">
        <v>3611</v>
      </c>
      <c r="H1258" s="9" t="s">
        <v>3612</v>
      </c>
      <c r="I1258" s="10">
        <v>45632</v>
      </c>
    </row>
    <row r="1259" spans="1:9" x14ac:dyDescent="0.15">
      <c r="A1259" s="9">
        <v>1258</v>
      </c>
      <c r="B1259" s="9" t="s">
        <v>9</v>
      </c>
      <c r="C1259" s="9">
        <v>1927</v>
      </c>
      <c r="D1259" s="10">
        <v>45729</v>
      </c>
      <c r="E1259" s="11" t="str">
        <f>+HYPERLINK("http://trademark.i-assist.jp/data/china/image_1927th/82399364.pdf","82399364")</f>
        <v>82399364</v>
      </c>
      <c r="F1259" s="12" t="s">
        <v>3613</v>
      </c>
      <c r="G1259" s="9" t="s">
        <v>3566</v>
      </c>
      <c r="H1259" s="9" t="s">
        <v>3614</v>
      </c>
      <c r="I1259" s="10">
        <v>45632</v>
      </c>
    </row>
    <row r="1260" spans="1:9" x14ac:dyDescent="0.15">
      <c r="A1260" s="9">
        <v>1259</v>
      </c>
      <c r="B1260" s="9" t="s">
        <v>9</v>
      </c>
      <c r="C1260" s="9">
        <v>1927</v>
      </c>
      <c r="D1260" s="10">
        <v>45729</v>
      </c>
      <c r="E1260" s="11" t="str">
        <f>+HYPERLINK("http://trademark.i-assist.jp/data/china/image_1927th/82399458.pdf","82399458")</f>
        <v>82399458</v>
      </c>
      <c r="F1260" s="9" t="s">
        <v>3615</v>
      </c>
      <c r="G1260" s="9" t="s">
        <v>3616</v>
      </c>
      <c r="H1260" s="9" t="s">
        <v>3617</v>
      </c>
      <c r="I1260" s="10">
        <v>45632</v>
      </c>
    </row>
    <row r="1261" spans="1:9" x14ac:dyDescent="0.15">
      <c r="A1261" s="9">
        <v>1260</v>
      </c>
      <c r="B1261" s="9" t="s">
        <v>9</v>
      </c>
      <c r="C1261" s="9">
        <v>1927</v>
      </c>
      <c r="D1261" s="10">
        <v>45729</v>
      </c>
      <c r="E1261" s="11" t="str">
        <f>+HYPERLINK("http://trademark.i-assist.jp/data/china/image_1927th/82399508.pdf","82399508")</f>
        <v>82399508</v>
      </c>
      <c r="F1261" s="9" t="s">
        <v>3618</v>
      </c>
      <c r="G1261" s="9" t="s">
        <v>3619</v>
      </c>
      <c r="H1261" s="9" t="s">
        <v>3620</v>
      </c>
      <c r="I1261" s="10">
        <v>45632</v>
      </c>
    </row>
    <row r="1262" spans="1:9" x14ac:dyDescent="0.15">
      <c r="A1262" s="9">
        <v>1261</v>
      </c>
      <c r="B1262" s="9" t="s">
        <v>9</v>
      </c>
      <c r="C1262" s="9">
        <v>1927</v>
      </c>
      <c r="D1262" s="10">
        <v>45729</v>
      </c>
      <c r="E1262" s="11" t="str">
        <f>+HYPERLINK("http://trademark.i-assist.jp/data/china/image_1927th/82399625.pdf","82399625")</f>
        <v>82399625</v>
      </c>
      <c r="F1262" s="9" t="s">
        <v>3621</v>
      </c>
      <c r="G1262" s="9" t="s">
        <v>3622</v>
      </c>
      <c r="H1262" s="9" t="s">
        <v>3623</v>
      </c>
      <c r="I1262" s="10">
        <v>45632</v>
      </c>
    </row>
    <row r="1263" spans="1:9" x14ac:dyDescent="0.15">
      <c r="A1263" s="9">
        <v>1262</v>
      </c>
      <c r="B1263" s="9" t="s">
        <v>9</v>
      </c>
      <c r="C1263" s="9">
        <v>1927</v>
      </c>
      <c r="D1263" s="10">
        <v>45729</v>
      </c>
      <c r="E1263" s="11" t="str">
        <f>+HYPERLINK("http://trademark.i-assist.jp/data/china/image_1927th/82399804.pdf","82399804")</f>
        <v>82399804</v>
      </c>
      <c r="F1263" s="9" t="s">
        <v>3624</v>
      </c>
      <c r="G1263" s="9" t="s">
        <v>3574</v>
      </c>
      <c r="H1263" s="9" t="s">
        <v>3625</v>
      </c>
      <c r="I1263" s="10">
        <v>45632</v>
      </c>
    </row>
    <row r="1264" spans="1:9" x14ac:dyDescent="0.15">
      <c r="A1264" s="9">
        <v>1263</v>
      </c>
      <c r="B1264" s="9" t="s">
        <v>9</v>
      </c>
      <c r="C1264" s="9">
        <v>1927</v>
      </c>
      <c r="D1264" s="10">
        <v>45729</v>
      </c>
      <c r="E1264" s="11" t="str">
        <f>+HYPERLINK("http://trademark.i-assist.jp/data/china/image_1927th/82399964.pdf","82399964")</f>
        <v>82399964</v>
      </c>
      <c r="F1264" s="12" t="s">
        <v>16</v>
      </c>
      <c r="G1264" s="9" t="s">
        <v>3626</v>
      </c>
      <c r="H1264" s="9" t="s">
        <v>3627</v>
      </c>
      <c r="I1264" s="10">
        <v>45632</v>
      </c>
    </row>
    <row r="1265" spans="1:9" x14ac:dyDescent="0.15">
      <c r="A1265" s="9">
        <v>1264</v>
      </c>
      <c r="B1265" s="9" t="s">
        <v>9</v>
      </c>
      <c r="C1265" s="9">
        <v>1927</v>
      </c>
      <c r="D1265" s="10">
        <v>45729</v>
      </c>
      <c r="E1265" s="11" t="str">
        <f>+HYPERLINK("http://trademark.i-assist.jp/data/china/image_1927th/82400439.pdf","82400439")</f>
        <v>82400439</v>
      </c>
      <c r="F1265" s="9" t="s">
        <v>3628</v>
      </c>
      <c r="G1265" s="9" t="s">
        <v>3629</v>
      </c>
      <c r="H1265" s="9" t="s">
        <v>3630</v>
      </c>
      <c r="I1265" s="10">
        <v>45632</v>
      </c>
    </row>
    <row r="1266" spans="1:9" x14ac:dyDescent="0.15">
      <c r="A1266" s="9">
        <v>1265</v>
      </c>
      <c r="B1266" s="9" t="s">
        <v>9</v>
      </c>
      <c r="C1266" s="9">
        <v>1927</v>
      </c>
      <c r="D1266" s="10">
        <v>45729</v>
      </c>
      <c r="E1266" s="11" t="str">
        <f>+HYPERLINK("http://trademark.i-assist.jp/data/china/image_1927th/82400484.pdf","82400484")</f>
        <v>82400484</v>
      </c>
      <c r="F1266" s="9" t="s">
        <v>3631</v>
      </c>
      <c r="G1266" s="9" t="s">
        <v>3632</v>
      </c>
      <c r="H1266" s="9" t="s">
        <v>3633</v>
      </c>
      <c r="I1266" s="10">
        <v>45632</v>
      </c>
    </row>
    <row r="1267" spans="1:9" x14ac:dyDescent="0.15">
      <c r="A1267" s="9">
        <v>1266</v>
      </c>
      <c r="B1267" s="9" t="s">
        <v>9</v>
      </c>
      <c r="C1267" s="9">
        <v>1927</v>
      </c>
      <c r="D1267" s="10">
        <v>45729</v>
      </c>
      <c r="E1267" s="11" t="str">
        <f>+HYPERLINK("http://trademark.i-assist.jp/data/china/image_1927th/82401032.pdf","82401032")</f>
        <v>82401032</v>
      </c>
      <c r="F1267" s="12" t="s">
        <v>16</v>
      </c>
      <c r="G1267" s="9" t="s">
        <v>3634</v>
      </c>
      <c r="H1267" s="9" t="s">
        <v>3635</v>
      </c>
      <c r="I1267" s="10">
        <v>45632</v>
      </c>
    </row>
    <row r="1268" spans="1:9" x14ac:dyDescent="0.15">
      <c r="A1268" s="9">
        <v>1267</v>
      </c>
      <c r="B1268" s="9" t="s">
        <v>9</v>
      </c>
      <c r="C1268" s="9">
        <v>1927</v>
      </c>
      <c r="D1268" s="10">
        <v>45729</v>
      </c>
      <c r="E1268" s="11" t="str">
        <f>+HYPERLINK("http://trademark.i-assist.jp/data/china/image_1927th/82401082.pdf","82401082")</f>
        <v>82401082</v>
      </c>
      <c r="F1268" s="9" t="s">
        <v>3636</v>
      </c>
      <c r="G1268" s="9" t="s">
        <v>3637</v>
      </c>
      <c r="H1268" s="9" t="s">
        <v>3638</v>
      </c>
      <c r="I1268" s="10">
        <v>45632</v>
      </c>
    </row>
    <row r="1269" spans="1:9" x14ac:dyDescent="0.15">
      <c r="A1269" s="9">
        <v>1268</v>
      </c>
      <c r="B1269" s="9" t="s">
        <v>9</v>
      </c>
      <c r="C1269" s="9">
        <v>1927</v>
      </c>
      <c r="D1269" s="10">
        <v>45729</v>
      </c>
      <c r="E1269" s="11" t="str">
        <f>+HYPERLINK("http://trademark.i-assist.jp/data/china/image_1927th/82401460.pdf","82401460")</f>
        <v>82401460</v>
      </c>
      <c r="F1269" s="12" t="s">
        <v>3639</v>
      </c>
      <c r="G1269" s="9" t="s">
        <v>141</v>
      </c>
      <c r="H1269" s="9" t="s">
        <v>3640</v>
      </c>
      <c r="I1269" s="10">
        <v>45632</v>
      </c>
    </row>
    <row r="1270" spans="1:9" x14ac:dyDescent="0.15">
      <c r="A1270" s="9">
        <v>1269</v>
      </c>
      <c r="B1270" s="9" t="s">
        <v>9</v>
      </c>
      <c r="C1270" s="9">
        <v>1927</v>
      </c>
      <c r="D1270" s="10">
        <v>45729</v>
      </c>
      <c r="E1270" s="11" t="str">
        <f>+HYPERLINK("http://trademark.i-assist.jp/data/china/image_1927th/82401493.pdf","82401493")</f>
        <v>82401493</v>
      </c>
      <c r="F1270" s="12" t="s">
        <v>3641</v>
      </c>
      <c r="G1270" s="12" t="s">
        <v>3642</v>
      </c>
      <c r="H1270" s="9" t="s">
        <v>3643</v>
      </c>
      <c r="I1270" s="10">
        <v>45632</v>
      </c>
    </row>
    <row r="1271" spans="1:9" x14ac:dyDescent="0.15">
      <c r="A1271" s="9">
        <v>1270</v>
      </c>
      <c r="B1271" s="9" t="s">
        <v>9</v>
      </c>
      <c r="C1271" s="9">
        <v>1927</v>
      </c>
      <c r="D1271" s="10">
        <v>45729</v>
      </c>
      <c r="E1271" s="11" t="str">
        <f>+HYPERLINK("http://trademark.i-assist.jp/data/china/image_1927th/82401542.pdf","82401542")</f>
        <v>82401542</v>
      </c>
      <c r="F1271" s="9" t="s">
        <v>3644</v>
      </c>
      <c r="G1271" s="9" t="s">
        <v>3496</v>
      </c>
      <c r="H1271" s="9" t="s">
        <v>3645</v>
      </c>
      <c r="I1271" s="10">
        <v>45632</v>
      </c>
    </row>
    <row r="1272" spans="1:9" x14ac:dyDescent="0.15">
      <c r="A1272" s="9">
        <v>1271</v>
      </c>
      <c r="B1272" s="9" t="s">
        <v>9</v>
      </c>
      <c r="C1272" s="9">
        <v>1927</v>
      </c>
      <c r="D1272" s="10">
        <v>45729</v>
      </c>
      <c r="E1272" s="11" t="str">
        <f>+HYPERLINK("http://trademark.i-assist.jp/data/china/image_1927th/82401788.pdf","82401788")</f>
        <v>82401788</v>
      </c>
      <c r="F1272" s="9" t="s">
        <v>3646</v>
      </c>
      <c r="G1272" s="9" t="s">
        <v>3647</v>
      </c>
      <c r="H1272" s="9" t="s">
        <v>3648</v>
      </c>
      <c r="I1272" s="10">
        <v>45632</v>
      </c>
    </row>
    <row r="1273" spans="1:9" x14ac:dyDescent="0.15">
      <c r="A1273" s="9">
        <v>1272</v>
      </c>
      <c r="B1273" s="9" t="s">
        <v>9</v>
      </c>
      <c r="C1273" s="9">
        <v>1927</v>
      </c>
      <c r="D1273" s="10">
        <v>45729</v>
      </c>
      <c r="E1273" s="11" t="str">
        <f>+HYPERLINK("http://trademark.i-assist.jp/data/china/image_1927th/82401821.pdf","82401821")</f>
        <v>82401821</v>
      </c>
      <c r="F1273" s="9" t="s">
        <v>3649</v>
      </c>
      <c r="G1273" s="12" t="s">
        <v>101</v>
      </c>
      <c r="H1273" s="9" t="s">
        <v>3650</v>
      </c>
      <c r="I1273" s="10">
        <v>45632</v>
      </c>
    </row>
    <row r="1274" spans="1:9" x14ac:dyDescent="0.15">
      <c r="A1274" s="9">
        <v>1273</v>
      </c>
      <c r="B1274" s="9" t="s">
        <v>9</v>
      </c>
      <c r="C1274" s="9">
        <v>1927</v>
      </c>
      <c r="D1274" s="10">
        <v>45729</v>
      </c>
      <c r="E1274" s="11" t="str">
        <f>+HYPERLINK("http://trademark.i-assist.jp/data/china/image_1927th/82402066.pdf","82402066")</f>
        <v>82402066</v>
      </c>
      <c r="F1274" s="9" t="s">
        <v>3651</v>
      </c>
      <c r="G1274" s="9" t="s">
        <v>3652</v>
      </c>
      <c r="H1274" s="9" t="s">
        <v>3653</v>
      </c>
      <c r="I1274" s="10">
        <v>45632</v>
      </c>
    </row>
    <row r="1275" spans="1:9" x14ac:dyDescent="0.15">
      <c r="A1275" s="9">
        <v>1274</v>
      </c>
      <c r="B1275" s="9" t="s">
        <v>9</v>
      </c>
      <c r="C1275" s="9">
        <v>1927</v>
      </c>
      <c r="D1275" s="10">
        <v>45729</v>
      </c>
      <c r="E1275" s="11" t="str">
        <f>+HYPERLINK("http://trademark.i-assist.jp/data/china/image_1927th/82402077.pdf","82402077")</f>
        <v>82402077</v>
      </c>
      <c r="F1275" s="12" t="s">
        <v>3654</v>
      </c>
      <c r="G1275" s="9" t="s">
        <v>3655</v>
      </c>
      <c r="H1275" s="9" t="s">
        <v>3656</v>
      </c>
      <c r="I1275" s="10">
        <v>45632</v>
      </c>
    </row>
    <row r="1276" spans="1:9" x14ac:dyDescent="0.15">
      <c r="A1276" s="9">
        <v>1275</v>
      </c>
      <c r="B1276" s="9" t="s">
        <v>9</v>
      </c>
      <c r="C1276" s="9">
        <v>1927</v>
      </c>
      <c r="D1276" s="10">
        <v>45729</v>
      </c>
      <c r="E1276" s="11" t="str">
        <f>+HYPERLINK("http://trademark.i-assist.jp/data/china/image_1927th/82402540.pdf","82402540")</f>
        <v>82402540</v>
      </c>
      <c r="F1276" s="9" t="s">
        <v>3657</v>
      </c>
      <c r="G1276" s="12" t="s">
        <v>3658</v>
      </c>
      <c r="H1276" s="9" t="s">
        <v>3659</v>
      </c>
      <c r="I1276" s="10">
        <v>45632</v>
      </c>
    </row>
    <row r="1277" spans="1:9" x14ac:dyDescent="0.15">
      <c r="A1277" s="9">
        <v>1276</v>
      </c>
      <c r="B1277" s="9" t="s">
        <v>9</v>
      </c>
      <c r="C1277" s="9">
        <v>1927</v>
      </c>
      <c r="D1277" s="10">
        <v>45729</v>
      </c>
      <c r="E1277" s="11" t="str">
        <f>+HYPERLINK("http://trademark.i-assist.jp/data/china/image_1927th/82402857.pdf","82402857")</f>
        <v>82402857</v>
      </c>
      <c r="F1277" s="9" t="s">
        <v>3660</v>
      </c>
      <c r="G1277" s="12" t="s">
        <v>3581</v>
      </c>
      <c r="H1277" s="9" t="s">
        <v>3661</v>
      </c>
      <c r="I1277" s="10">
        <v>45632</v>
      </c>
    </row>
    <row r="1278" spans="1:9" x14ac:dyDescent="0.15">
      <c r="A1278" s="9">
        <v>1277</v>
      </c>
      <c r="B1278" s="9" t="s">
        <v>9</v>
      </c>
      <c r="C1278" s="9">
        <v>1927</v>
      </c>
      <c r="D1278" s="10">
        <v>45729</v>
      </c>
      <c r="E1278" s="11" t="str">
        <f>+HYPERLINK("http://trademark.i-assist.jp/data/china/image_1927th/82403191.pdf","82403191")</f>
        <v>82403191</v>
      </c>
      <c r="F1278" s="9" t="s">
        <v>3662</v>
      </c>
      <c r="G1278" s="9" t="s">
        <v>3663</v>
      </c>
      <c r="H1278" s="9" t="s">
        <v>3664</v>
      </c>
      <c r="I1278" s="10">
        <v>45632</v>
      </c>
    </row>
    <row r="1279" spans="1:9" x14ac:dyDescent="0.15">
      <c r="A1279" s="9">
        <v>1278</v>
      </c>
      <c r="B1279" s="9" t="s">
        <v>9</v>
      </c>
      <c r="C1279" s="9">
        <v>1927</v>
      </c>
      <c r="D1279" s="10">
        <v>45729</v>
      </c>
      <c r="E1279" s="11" t="str">
        <f>+HYPERLINK("http://trademark.i-assist.jp/data/china/image_1927th/82403402.pdf","82403402")</f>
        <v>82403402</v>
      </c>
      <c r="F1279" s="9" t="s">
        <v>3665</v>
      </c>
      <c r="G1279" s="9" t="s">
        <v>3666</v>
      </c>
      <c r="H1279" s="9" t="s">
        <v>3667</v>
      </c>
      <c r="I1279" s="10">
        <v>45632</v>
      </c>
    </row>
    <row r="1280" spans="1:9" x14ac:dyDescent="0.15">
      <c r="A1280" s="9">
        <v>1279</v>
      </c>
      <c r="B1280" s="9" t="s">
        <v>9</v>
      </c>
      <c r="C1280" s="9">
        <v>1927</v>
      </c>
      <c r="D1280" s="10">
        <v>45729</v>
      </c>
      <c r="E1280" s="11" t="str">
        <f>+HYPERLINK("http://trademark.i-assist.jp/data/china/image_1927th/82403462.pdf","82403462")</f>
        <v>82403462</v>
      </c>
      <c r="F1280" s="12" t="s">
        <v>3668</v>
      </c>
      <c r="G1280" s="9" t="s">
        <v>3655</v>
      </c>
      <c r="H1280" s="9" t="s">
        <v>3669</v>
      </c>
      <c r="I1280" s="10">
        <v>45632</v>
      </c>
    </row>
    <row r="1281" spans="1:9" x14ac:dyDescent="0.15">
      <c r="A1281" s="9">
        <v>1280</v>
      </c>
      <c r="B1281" s="9" t="s">
        <v>9</v>
      </c>
      <c r="C1281" s="9">
        <v>1927</v>
      </c>
      <c r="D1281" s="10">
        <v>45729</v>
      </c>
      <c r="E1281" s="11" t="str">
        <f>+HYPERLINK("http://trademark.i-assist.jp/data/china/image_1927th/82403653.pdf","82403653")</f>
        <v>82403653</v>
      </c>
      <c r="F1281" s="12" t="s">
        <v>3670</v>
      </c>
      <c r="G1281" s="9" t="s">
        <v>176</v>
      </c>
      <c r="H1281" s="9" t="s">
        <v>3671</v>
      </c>
      <c r="I1281" s="10">
        <v>45632</v>
      </c>
    </row>
    <row r="1282" spans="1:9" x14ac:dyDescent="0.15">
      <c r="A1282" s="9">
        <v>1281</v>
      </c>
      <c r="B1282" s="9" t="s">
        <v>9</v>
      </c>
      <c r="C1282" s="9">
        <v>1927</v>
      </c>
      <c r="D1282" s="10">
        <v>45729</v>
      </c>
      <c r="E1282" s="11" t="str">
        <f>+HYPERLINK("http://trademark.i-assist.jp/data/china/image_1927th/82403654.pdf","82403654")</f>
        <v>82403654</v>
      </c>
      <c r="F1282" s="9" t="s">
        <v>3672</v>
      </c>
      <c r="G1282" s="9" t="s">
        <v>115</v>
      </c>
      <c r="H1282" s="9" t="s">
        <v>3673</v>
      </c>
      <c r="I1282" s="10">
        <v>45632</v>
      </c>
    </row>
    <row r="1283" spans="1:9" x14ac:dyDescent="0.15">
      <c r="A1283" s="9">
        <v>1282</v>
      </c>
      <c r="B1283" s="9" t="s">
        <v>9</v>
      </c>
      <c r="C1283" s="9">
        <v>1927</v>
      </c>
      <c r="D1283" s="10">
        <v>45729</v>
      </c>
      <c r="E1283" s="11" t="str">
        <f>+HYPERLINK("http://trademark.i-assist.jp/data/china/image_1927th/82403754.pdf","82403754")</f>
        <v>82403754</v>
      </c>
      <c r="F1283" s="9" t="s">
        <v>3674</v>
      </c>
      <c r="G1283" s="9" t="s">
        <v>3675</v>
      </c>
      <c r="H1283" s="9" t="s">
        <v>3676</v>
      </c>
      <c r="I1283" s="10">
        <v>45632</v>
      </c>
    </row>
    <row r="1284" spans="1:9" x14ac:dyDescent="0.15">
      <c r="A1284" s="9">
        <v>1283</v>
      </c>
      <c r="B1284" s="9" t="s">
        <v>9</v>
      </c>
      <c r="C1284" s="9">
        <v>1927</v>
      </c>
      <c r="D1284" s="10">
        <v>45729</v>
      </c>
      <c r="E1284" s="11" t="str">
        <f>+HYPERLINK("http://trademark.i-assist.jp/data/china/image_1927th/82404146.pdf","82404146")</f>
        <v>82404146</v>
      </c>
      <c r="F1284" s="12" t="s">
        <v>3677</v>
      </c>
      <c r="G1284" s="9" t="s">
        <v>3678</v>
      </c>
      <c r="H1284" s="9" t="s">
        <v>3679</v>
      </c>
      <c r="I1284" s="10">
        <v>45632</v>
      </c>
    </row>
    <row r="1285" spans="1:9" x14ac:dyDescent="0.15">
      <c r="A1285" s="9">
        <v>1284</v>
      </c>
      <c r="B1285" s="9" t="s">
        <v>9</v>
      </c>
      <c r="C1285" s="9">
        <v>1927</v>
      </c>
      <c r="D1285" s="10">
        <v>45729</v>
      </c>
      <c r="E1285" s="11" t="str">
        <f>+HYPERLINK("http://trademark.i-assist.jp/data/china/image_1927th/82404846.pdf","82404846")</f>
        <v>82404846</v>
      </c>
      <c r="F1285" s="9" t="s">
        <v>3680</v>
      </c>
      <c r="G1285" s="9" t="s">
        <v>3681</v>
      </c>
      <c r="H1285" s="9" t="s">
        <v>3682</v>
      </c>
      <c r="I1285" s="10">
        <v>45632</v>
      </c>
    </row>
    <row r="1286" spans="1:9" x14ac:dyDescent="0.15">
      <c r="A1286" s="9">
        <v>1285</v>
      </c>
      <c r="B1286" s="9" t="s">
        <v>9</v>
      </c>
      <c r="C1286" s="9">
        <v>1927</v>
      </c>
      <c r="D1286" s="10">
        <v>45729</v>
      </c>
      <c r="E1286" s="11" t="str">
        <f>+HYPERLINK("http://trademark.i-assist.jp/data/china/image_1927th/82405325.pdf","82405325")</f>
        <v>82405325</v>
      </c>
      <c r="F1286" s="9" t="s">
        <v>3683</v>
      </c>
      <c r="G1286" s="9" t="s">
        <v>3684</v>
      </c>
      <c r="H1286" s="9" t="s">
        <v>3685</v>
      </c>
      <c r="I1286" s="10">
        <v>45632</v>
      </c>
    </row>
    <row r="1287" spans="1:9" x14ac:dyDescent="0.15">
      <c r="A1287" s="9">
        <v>1286</v>
      </c>
      <c r="B1287" s="9" t="s">
        <v>9</v>
      </c>
      <c r="C1287" s="9">
        <v>1927</v>
      </c>
      <c r="D1287" s="10">
        <v>45729</v>
      </c>
      <c r="E1287" s="11" t="str">
        <f>+HYPERLINK("http://trademark.i-assist.jp/data/china/image_1927th/82405379.pdf","82405379")</f>
        <v>82405379</v>
      </c>
      <c r="F1287" s="9" t="s">
        <v>3686</v>
      </c>
      <c r="G1287" s="12" t="s">
        <v>3687</v>
      </c>
      <c r="H1287" s="12" t="s">
        <v>3688</v>
      </c>
      <c r="I1287" s="10">
        <v>45632</v>
      </c>
    </row>
    <row r="1288" spans="1:9" x14ac:dyDescent="0.15">
      <c r="A1288" s="9">
        <v>1287</v>
      </c>
      <c r="B1288" s="9" t="s">
        <v>9</v>
      </c>
      <c r="C1288" s="9">
        <v>1927</v>
      </c>
      <c r="D1288" s="10">
        <v>45729</v>
      </c>
      <c r="E1288" s="11" t="str">
        <f>+HYPERLINK("http://trademark.i-assist.jp/data/china/image_1927th/82405393.pdf","82405393")</f>
        <v>82405393</v>
      </c>
      <c r="F1288" s="9" t="s">
        <v>3689</v>
      </c>
      <c r="G1288" s="9" t="s">
        <v>3690</v>
      </c>
      <c r="H1288" s="9" t="s">
        <v>3691</v>
      </c>
      <c r="I1288" s="10">
        <v>45632</v>
      </c>
    </row>
    <row r="1289" spans="1:9" x14ac:dyDescent="0.15">
      <c r="A1289" s="9">
        <v>1288</v>
      </c>
      <c r="B1289" s="9" t="s">
        <v>9</v>
      </c>
      <c r="C1289" s="9">
        <v>1927</v>
      </c>
      <c r="D1289" s="10">
        <v>45729</v>
      </c>
      <c r="E1289" s="11" t="str">
        <f>+HYPERLINK("http://trademark.i-assist.jp/data/china/image_1927th/82405418.pdf","82405418")</f>
        <v>82405418</v>
      </c>
      <c r="F1289" s="9" t="s">
        <v>3692</v>
      </c>
      <c r="G1289" s="9" t="s">
        <v>3693</v>
      </c>
      <c r="H1289" s="9" t="s">
        <v>3694</v>
      </c>
      <c r="I1289" s="10">
        <v>45632</v>
      </c>
    </row>
    <row r="1290" spans="1:9" x14ac:dyDescent="0.15">
      <c r="A1290" s="9">
        <v>1289</v>
      </c>
      <c r="B1290" s="9" t="s">
        <v>9</v>
      </c>
      <c r="C1290" s="9">
        <v>1927</v>
      </c>
      <c r="D1290" s="10">
        <v>45729</v>
      </c>
      <c r="E1290" s="11" t="str">
        <f>+HYPERLINK("http://trademark.i-assist.jp/data/china/image_1927th/82405612.pdf","82405612")</f>
        <v>82405612</v>
      </c>
      <c r="F1290" s="9" t="s">
        <v>3695</v>
      </c>
      <c r="G1290" s="9" t="s">
        <v>3696</v>
      </c>
      <c r="H1290" s="9" t="s">
        <v>3697</v>
      </c>
      <c r="I1290" s="10">
        <v>45632</v>
      </c>
    </row>
    <row r="1291" spans="1:9" x14ac:dyDescent="0.15">
      <c r="A1291" s="9">
        <v>1290</v>
      </c>
      <c r="B1291" s="9" t="s">
        <v>9</v>
      </c>
      <c r="C1291" s="9">
        <v>1927</v>
      </c>
      <c r="D1291" s="10">
        <v>45729</v>
      </c>
      <c r="E1291" s="11" t="str">
        <f>+HYPERLINK("http://trademark.i-assist.jp/data/china/image_1927th/82406134.pdf","82406134")</f>
        <v>82406134</v>
      </c>
      <c r="F1291" s="9" t="s">
        <v>3698</v>
      </c>
      <c r="G1291" s="9" t="s">
        <v>177</v>
      </c>
      <c r="H1291" s="9" t="s">
        <v>3699</v>
      </c>
      <c r="I1291" s="10">
        <v>45632</v>
      </c>
    </row>
    <row r="1292" spans="1:9" x14ac:dyDescent="0.15">
      <c r="A1292" s="9">
        <v>1291</v>
      </c>
      <c r="B1292" s="9" t="s">
        <v>9</v>
      </c>
      <c r="C1292" s="9">
        <v>1927</v>
      </c>
      <c r="D1292" s="10">
        <v>45729</v>
      </c>
      <c r="E1292" s="11" t="str">
        <f>+HYPERLINK("http://trademark.i-assist.jp/data/china/image_1927th/82406751.pdf","82406751")</f>
        <v>82406751</v>
      </c>
      <c r="F1292" s="9" t="s">
        <v>3700</v>
      </c>
      <c r="G1292" s="9" t="s">
        <v>132</v>
      </c>
      <c r="H1292" s="9" t="s">
        <v>3701</v>
      </c>
      <c r="I1292" s="10">
        <v>45632</v>
      </c>
    </row>
    <row r="1293" spans="1:9" x14ac:dyDescent="0.15">
      <c r="A1293" s="9">
        <v>1292</v>
      </c>
      <c r="B1293" s="9" t="s">
        <v>9</v>
      </c>
      <c r="C1293" s="9">
        <v>1927</v>
      </c>
      <c r="D1293" s="10">
        <v>45729</v>
      </c>
      <c r="E1293" s="11" t="str">
        <f>+HYPERLINK("http://trademark.i-assist.jp/data/china/image_1927th/82406763.pdf","82406763")</f>
        <v>82406763</v>
      </c>
      <c r="F1293" s="9" t="s">
        <v>3702</v>
      </c>
      <c r="G1293" s="9" t="s">
        <v>3703</v>
      </c>
      <c r="H1293" s="9" t="s">
        <v>3704</v>
      </c>
      <c r="I1293" s="10">
        <v>45632</v>
      </c>
    </row>
    <row r="1294" spans="1:9" x14ac:dyDescent="0.15">
      <c r="A1294" s="9">
        <v>1293</v>
      </c>
      <c r="B1294" s="9" t="s">
        <v>9</v>
      </c>
      <c r="C1294" s="9">
        <v>1927</v>
      </c>
      <c r="D1294" s="10">
        <v>45729</v>
      </c>
      <c r="E1294" s="11" t="str">
        <f>+HYPERLINK("http://trademark.i-assist.jp/data/china/image_1927th/82406840.pdf","82406840")</f>
        <v>82406840</v>
      </c>
      <c r="F1294" s="9" t="s">
        <v>3705</v>
      </c>
      <c r="G1294" s="9" t="s">
        <v>3706</v>
      </c>
      <c r="H1294" s="9" t="s">
        <v>3707</v>
      </c>
      <c r="I1294" s="10">
        <v>45632</v>
      </c>
    </row>
    <row r="1295" spans="1:9" x14ac:dyDescent="0.15">
      <c r="A1295" s="9">
        <v>1294</v>
      </c>
      <c r="B1295" s="9" t="s">
        <v>9</v>
      </c>
      <c r="C1295" s="9">
        <v>1927</v>
      </c>
      <c r="D1295" s="10">
        <v>45729</v>
      </c>
      <c r="E1295" s="11" t="str">
        <f>+HYPERLINK("http://trademark.i-assist.jp/data/china/image_1927th/82407509.pdf","82407509")</f>
        <v>82407509</v>
      </c>
      <c r="F1295" s="9" t="s">
        <v>3708</v>
      </c>
      <c r="G1295" s="12" t="s">
        <v>3709</v>
      </c>
      <c r="H1295" s="9" t="s">
        <v>3710</v>
      </c>
      <c r="I1295" s="10">
        <v>45632</v>
      </c>
    </row>
    <row r="1296" spans="1:9" x14ac:dyDescent="0.15">
      <c r="A1296" s="9">
        <v>1295</v>
      </c>
      <c r="B1296" s="9" t="s">
        <v>9</v>
      </c>
      <c r="C1296" s="9">
        <v>1927</v>
      </c>
      <c r="D1296" s="10">
        <v>45729</v>
      </c>
      <c r="E1296" s="11" t="str">
        <f>+HYPERLINK("http://trademark.i-assist.jp/data/china/image_1927th/82407724.pdf","82407724")</f>
        <v>82407724</v>
      </c>
      <c r="F1296" s="9" t="s">
        <v>3711</v>
      </c>
      <c r="G1296" s="9" t="s">
        <v>3712</v>
      </c>
      <c r="H1296" s="9" t="s">
        <v>3713</v>
      </c>
      <c r="I1296" s="10">
        <v>45632</v>
      </c>
    </row>
    <row r="1297" spans="1:9" x14ac:dyDescent="0.15">
      <c r="A1297" s="9">
        <v>1296</v>
      </c>
      <c r="B1297" s="9" t="s">
        <v>9</v>
      </c>
      <c r="C1297" s="9">
        <v>1927</v>
      </c>
      <c r="D1297" s="10">
        <v>45729</v>
      </c>
      <c r="E1297" s="11" t="str">
        <f>+HYPERLINK("http://trademark.i-assist.jp/data/china/image_1927th/82408036.pdf","82408036")</f>
        <v>82408036</v>
      </c>
      <c r="F1297" s="9" t="s">
        <v>3714</v>
      </c>
      <c r="G1297" s="12" t="s">
        <v>185</v>
      </c>
      <c r="H1297" s="9" t="s">
        <v>3715</v>
      </c>
      <c r="I1297" s="10">
        <v>45632</v>
      </c>
    </row>
    <row r="1298" spans="1:9" x14ac:dyDescent="0.15">
      <c r="A1298" s="9">
        <v>1297</v>
      </c>
      <c r="B1298" s="9" t="s">
        <v>9</v>
      </c>
      <c r="C1298" s="9">
        <v>1927</v>
      </c>
      <c r="D1298" s="10">
        <v>45729</v>
      </c>
      <c r="E1298" s="11" t="str">
        <f>+HYPERLINK("http://trademark.i-assist.jp/data/china/image_1927th/82408149.pdf","82408149")</f>
        <v>82408149</v>
      </c>
      <c r="F1298" s="9" t="s">
        <v>3716</v>
      </c>
      <c r="G1298" s="9" t="s">
        <v>3717</v>
      </c>
      <c r="H1298" s="9" t="s">
        <v>3718</v>
      </c>
      <c r="I1298" s="10">
        <v>45632</v>
      </c>
    </row>
    <row r="1299" spans="1:9" x14ac:dyDescent="0.15">
      <c r="A1299" s="9">
        <v>1298</v>
      </c>
      <c r="B1299" s="9" t="s">
        <v>9</v>
      </c>
      <c r="C1299" s="9">
        <v>1927</v>
      </c>
      <c r="D1299" s="10">
        <v>45729</v>
      </c>
      <c r="E1299" s="11" t="str">
        <f>+HYPERLINK("http://trademark.i-assist.jp/data/china/image_1927th/82408159.pdf","82408159")</f>
        <v>82408159</v>
      </c>
      <c r="F1299" s="9" t="s">
        <v>3719</v>
      </c>
      <c r="G1299" s="9" t="s">
        <v>3647</v>
      </c>
      <c r="H1299" s="9" t="s">
        <v>3720</v>
      </c>
      <c r="I1299" s="10">
        <v>45632</v>
      </c>
    </row>
    <row r="1300" spans="1:9" x14ac:dyDescent="0.15">
      <c r="A1300" s="9">
        <v>1299</v>
      </c>
      <c r="B1300" s="9" t="s">
        <v>9</v>
      </c>
      <c r="C1300" s="9">
        <v>1927</v>
      </c>
      <c r="D1300" s="10">
        <v>45729</v>
      </c>
      <c r="E1300" s="11" t="str">
        <f>+HYPERLINK("http://trademark.i-assist.jp/data/china/image_1927th/82408201.pdf","82408201")</f>
        <v>82408201</v>
      </c>
      <c r="F1300" s="9" t="s">
        <v>3721</v>
      </c>
      <c r="G1300" s="9" t="s">
        <v>48</v>
      </c>
      <c r="H1300" s="9" t="s">
        <v>3722</v>
      </c>
      <c r="I1300" s="10">
        <v>45632</v>
      </c>
    </row>
    <row r="1301" spans="1:9" x14ac:dyDescent="0.15">
      <c r="A1301" s="9">
        <v>1300</v>
      </c>
      <c r="B1301" s="9" t="s">
        <v>9</v>
      </c>
      <c r="C1301" s="9">
        <v>1927</v>
      </c>
      <c r="D1301" s="10">
        <v>45729</v>
      </c>
      <c r="E1301" s="11" t="str">
        <f>+HYPERLINK("http://trademark.i-assist.jp/data/china/image_1927th/82408502.pdf","82408502")</f>
        <v>82408502</v>
      </c>
      <c r="F1301" s="9" t="s">
        <v>3723</v>
      </c>
      <c r="G1301" s="9" t="s">
        <v>32</v>
      </c>
      <c r="H1301" s="9" t="s">
        <v>3724</v>
      </c>
      <c r="I1301" s="10">
        <v>45632</v>
      </c>
    </row>
    <row r="1302" spans="1:9" x14ac:dyDescent="0.15">
      <c r="A1302" s="9">
        <v>1301</v>
      </c>
      <c r="B1302" s="9" t="s">
        <v>9</v>
      </c>
      <c r="C1302" s="9">
        <v>1927</v>
      </c>
      <c r="D1302" s="10">
        <v>45729</v>
      </c>
      <c r="E1302" s="11" t="str">
        <f>+HYPERLINK("http://trademark.i-assist.jp/data/china/image_1927th/82408772.pdf","82408772")</f>
        <v>82408772</v>
      </c>
      <c r="F1302" s="9" t="s">
        <v>178</v>
      </c>
      <c r="G1302" s="9" t="s">
        <v>179</v>
      </c>
      <c r="H1302" s="12" t="s">
        <v>3725</v>
      </c>
      <c r="I1302" s="10">
        <v>45632</v>
      </c>
    </row>
    <row r="1303" spans="1:9" x14ac:dyDescent="0.15">
      <c r="A1303" s="9">
        <v>1302</v>
      </c>
      <c r="B1303" s="9" t="s">
        <v>9</v>
      </c>
      <c r="C1303" s="9">
        <v>1927</v>
      </c>
      <c r="D1303" s="10">
        <v>45729</v>
      </c>
      <c r="E1303" s="11" t="str">
        <f>+HYPERLINK("http://trademark.i-assist.jp/data/china/image_1927th/82409382.pdf","82409382")</f>
        <v>82409382</v>
      </c>
      <c r="F1303" s="9" t="s">
        <v>3726</v>
      </c>
      <c r="G1303" s="9" t="s">
        <v>3727</v>
      </c>
      <c r="H1303" s="9" t="s">
        <v>3728</v>
      </c>
      <c r="I1303" s="10">
        <v>45632</v>
      </c>
    </row>
    <row r="1304" spans="1:9" x14ac:dyDescent="0.15">
      <c r="A1304" s="9">
        <v>1303</v>
      </c>
      <c r="B1304" s="9" t="s">
        <v>9</v>
      </c>
      <c r="C1304" s="9">
        <v>1927</v>
      </c>
      <c r="D1304" s="10">
        <v>45729</v>
      </c>
      <c r="E1304" s="11" t="str">
        <f>+HYPERLINK("http://trademark.i-assist.jp/data/china/image_1927th/82409989.pdf","82409989")</f>
        <v>82409989</v>
      </c>
      <c r="F1304" s="12" t="s">
        <v>3729</v>
      </c>
      <c r="G1304" s="12" t="s">
        <v>3730</v>
      </c>
      <c r="H1304" s="9" t="s">
        <v>3731</v>
      </c>
      <c r="I1304" s="10">
        <v>45632</v>
      </c>
    </row>
    <row r="1305" spans="1:9" x14ac:dyDescent="0.15">
      <c r="A1305" s="9">
        <v>1304</v>
      </c>
      <c r="B1305" s="9" t="s">
        <v>9</v>
      </c>
      <c r="C1305" s="9">
        <v>1927</v>
      </c>
      <c r="D1305" s="10">
        <v>45729</v>
      </c>
      <c r="E1305" s="11" t="str">
        <f>+HYPERLINK("http://trademark.i-assist.jp/data/china/image_1927th/82410000.pdf","82410000")</f>
        <v>82410000</v>
      </c>
      <c r="F1305" s="9" t="s">
        <v>3732</v>
      </c>
      <c r="G1305" s="12" t="s">
        <v>3730</v>
      </c>
      <c r="H1305" s="9" t="s">
        <v>3733</v>
      </c>
      <c r="I1305" s="10">
        <v>45632</v>
      </c>
    </row>
    <row r="1306" spans="1:9" x14ac:dyDescent="0.15">
      <c r="A1306" s="9">
        <v>1305</v>
      </c>
      <c r="B1306" s="9" t="s">
        <v>9</v>
      </c>
      <c r="C1306" s="9">
        <v>1927</v>
      </c>
      <c r="D1306" s="10">
        <v>45729</v>
      </c>
      <c r="E1306" s="11" t="str">
        <f>+HYPERLINK("http://trademark.i-assist.jp/data/china/image_1927th/82410086.pdf","82410086")</f>
        <v>82410086</v>
      </c>
      <c r="F1306" s="9" t="s">
        <v>3734</v>
      </c>
      <c r="G1306" s="9" t="s">
        <v>73</v>
      </c>
      <c r="H1306" s="9" t="s">
        <v>3735</v>
      </c>
      <c r="I1306" s="10">
        <v>45632</v>
      </c>
    </row>
    <row r="1307" spans="1:9" x14ac:dyDescent="0.15">
      <c r="A1307" s="9">
        <v>1306</v>
      </c>
      <c r="B1307" s="9" t="s">
        <v>9</v>
      </c>
      <c r="C1307" s="9">
        <v>1927</v>
      </c>
      <c r="D1307" s="10">
        <v>45729</v>
      </c>
      <c r="E1307" s="11" t="str">
        <f>+HYPERLINK("http://trademark.i-assist.jp/data/china/image_1927th/82410253.pdf","82410253")</f>
        <v>82410253</v>
      </c>
      <c r="F1307" s="9" t="s">
        <v>3736</v>
      </c>
      <c r="G1307" s="9" t="s">
        <v>3737</v>
      </c>
      <c r="H1307" s="9" t="s">
        <v>3738</v>
      </c>
      <c r="I1307" s="10">
        <v>45632</v>
      </c>
    </row>
    <row r="1308" spans="1:9" x14ac:dyDescent="0.15">
      <c r="A1308" s="9">
        <v>1307</v>
      </c>
      <c r="B1308" s="9" t="s">
        <v>9</v>
      </c>
      <c r="C1308" s="9">
        <v>1927</v>
      </c>
      <c r="D1308" s="10">
        <v>45729</v>
      </c>
      <c r="E1308" s="11" t="str">
        <f>+HYPERLINK("http://trademark.i-assist.jp/data/china/image_1927th/82410542.pdf","82410542")</f>
        <v>82410542</v>
      </c>
      <c r="F1308" s="9" t="s">
        <v>3739</v>
      </c>
      <c r="G1308" s="9" t="s">
        <v>3740</v>
      </c>
      <c r="H1308" s="12" t="s">
        <v>3741</v>
      </c>
      <c r="I1308" s="10">
        <v>45632</v>
      </c>
    </row>
    <row r="1309" spans="1:9" x14ac:dyDescent="0.15">
      <c r="A1309" s="9">
        <v>1308</v>
      </c>
      <c r="B1309" s="9" t="s">
        <v>9</v>
      </c>
      <c r="C1309" s="9">
        <v>1927</v>
      </c>
      <c r="D1309" s="10">
        <v>45729</v>
      </c>
      <c r="E1309" s="11" t="str">
        <f>+HYPERLINK("http://trademark.i-assist.jp/data/china/image_1927th/82410742.pdf","82410742")</f>
        <v>82410742</v>
      </c>
      <c r="F1309" s="13" t="s">
        <v>3742</v>
      </c>
      <c r="G1309" s="9" t="s">
        <v>3743</v>
      </c>
      <c r="H1309" s="9" t="s">
        <v>3744</v>
      </c>
      <c r="I1309" s="10">
        <v>45632</v>
      </c>
    </row>
    <row r="1310" spans="1:9" x14ac:dyDescent="0.15">
      <c r="A1310" s="9">
        <v>1309</v>
      </c>
      <c r="B1310" s="9" t="s">
        <v>9</v>
      </c>
      <c r="C1310" s="9">
        <v>1927</v>
      </c>
      <c r="D1310" s="10">
        <v>45729</v>
      </c>
      <c r="E1310" s="11" t="str">
        <f>+HYPERLINK("http://trademark.i-assist.jp/data/china/image_1927th/82411058.pdf","82411058")</f>
        <v>82411058</v>
      </c>
      <c r="F1310" s="9" t="s">
        <v>3745</v>
      </c>
      <c r="G1310" s="9" t="s">
        <v>3746</v>
      </c>
      <c r="H1310" s="9" t="s">
        <v>3747</v>
      </c>
      <c r="I1310" s="10">
        <v>45632</v>
      </c>
    </row>
    <row r="1311" spans="1:9" x14ac:dyDescent="0.15">
      <c r="A1311" s="9">
        <v>1310</v>
      </c>
      <c r="B1311" s="9" t="s">
        <v>9</v>
      </c>
      <c r="C1311" s="9">
        <v>1927</v>
      </c>
      <c r="D1311" s="10">
        <v>45729</v>
      </c>
      <c r="E1311" s="11" t="str">
        <f>+HYPERLINK("http://trademark.i-assist.jp/data/china/image_1927th/82411283.pdf","82411283")</f>
        <v>82411283</v>
      </c>
      <c r="F1311" s="12" t="s">
        <v>3748</v>
      </c>
      <c r="G1311" s="9" t="s">
        <v>211</v>
      </c>
      <c r="H1311" s="12" t="s">
        <v>3749</v>
      </c>
      <c r="I1311" s="10">
        <v>45632</v>
      </c>
    </row>
    <row r="1312" spans="1:9" x14ac:dyDescent="0.15">
      <c r="A1312" s="9">
        <v>1311</v>
      </c>
      <c r="B1312" s="9" t="s">
        <v>9</v>
      </c>
      <c r="C1312" s="9">
        <v>1927</v>
      </c>
      <c r="D1312" s="10">
        <v>45729</v>
      </c>
      <c r="E1312" s="11" t="str">
        <f>+HYPERLINK("http://trademark.i-assist.jp/data/china/image_1927th/82411337.pdf","82411337")</f>
        <v>82411337</v>
      </c>
      <c r="F1312" s="9" t="s">
        <v>3750</v>
      </c>
      <c r="G1312" s="9" t="s">
        <v>3751</v>
      </c>
      <c r="H1312" s="9" t="s">
        <v>3752</v>
      </c>
      <c r="I1312" s="10">
        <v>45632</v>
      </c>
    </row>
    <row r="1313" spans="1:9" x14ac:dyDescent="0.15">
      <c r="A1313" s="9">
        <v>1312</v>
      </c>
      <c r="B1313" s="9" t="s">
        <v>9</v>
      </c>
      <c r="C1313" s="9">
        <v>1927</v>
      </c>
      <c r="D1313" s="10">
        <v>45729</v>
      </c>
      <c r="E1313" s="11" t="str">
        <f>+HYPERLINK("http://trademark.i-assist.jp/data/china/image_1927th/82411370.pdf","82411370")</f>
        <v>82411370</v>
      </c>
      <c r="F1313" s="9" t="s">
        <v>3753</v>
      </c>
      <c r="G1313" s="9" t="s">
        <v>3754</v>
      </c>
      <c r="H1313" s="9" t="s">
        <v>3755</v>
      </c>
      <c r="I1313" s="10">
        <v>45632</v>
      </c>
    </row>
    <row r="1314" spans="1:9" x14ac:dyDescent="0.15">
      <c r="A1314" s="9">
        <v>1313</v>
      </c>
      <c r="B1314" s="9" t="s">
        <v>9</v>
      </c>
      <c r="C1314" s="9">
        <v>1927</v>
      </c>
      <c r="D1314" s="10">
        <v>45729</v>
      </c>
      <c r="E1314" s="11" t="str">
        <f>+HYPERLINK("http://trademark.i-assist.jp/data/china/image_1927th/82411591.pdf","82411591")</f>
        <v>82411591</v>
      </c>
      <c r="F1314" s="12" t="s">
        <v>3756</v>
      </c>
      <c r="G1314" s="9" t="s">
        <v>32</v>
      </c>
      <c r="H1314" s="9" t="s">
        <v>3757</v>
      </c>
      <c r="I1314" s="10">
        <v>45632</v>
      </c>
    </row>
    <row r="1315" spans="1:9" x14ac:dyDescent="0.15">
      <c r="A1315" s="9">
        <v>1314</v>
      </c>
      <c r="B1315" s="9" t="s">
        <v>9</v>
      </c>
      <c r="C1315" s="9">
        <v>1927</v>
      </c>
      <c r="D1315" s="10">
        <v>45729</v>
      </c>
      <c r="E1315" s="11" t="str">
        <f>+HYPERLINK("http://trademark.i-assist.jp/data/china/image_1927th/82411660.pdf","82411660")</f>
        <v>82411660</v>
      </c>
      <c r="F1315" s="12" t="s">
        <v>3758</v>
      </c>
      <c r="G1315" s="9" t="s">
        <v>3759</v>
      </c>
      <c r="H1315" s="9" t="s">
        <v>3760</v>
      </c>
      <c r="I1315" s="10">
        <v>45632</v>
      </c>
    </row>
    <row r="1316" spans="1:9" x14ac:dyDescent="0.15">
      <c r="A1316" s="9">
        <v>1315</v>
      </c>
      <c r="B1316" s="9" t="s">
        <v>9</v>
      </c>
      <c r="C1316" s="9">
        <v>1927</v>
      </c>
      <c r="D1316" s="10">
        <v>45729</v>
      </c>
      <c r="E1316" s="11" t="str">
        <f>+HYPERLINK("http://trademark.i-assist.jp/data/china/image_1927th/82411701.pdf","82411701")</f>
        <v>82411701</v>
      </c>
      <c r="F1316" s="9" t="s">
        <v>3761</v>
      </c>
      <c r="G1316" s="9" t="s">
        <v>181</v>
      </c>
      <c r="H1316" s="9" t="s">
        <v>3762</v>
      </c>
      <c r="I1316" s="10">
        <v>45632</v>
      </c>
    </row>
    <row r="1317" spans="1:9" x14ac:dyDescent="0.15">
      <c r="A1317" s="9">
        <v>1316</v>
      </c>
      <c r="B1317" s="9" t="s">
        <v>9</v>
      </c>
      <c r="C1317" s="9">
        <v>1927</v>
      </c>
      <c r="D1317" s="10">
        <v>45729</v>
      </c>
      <c r="E1317" s="11" t="str">
        <f>+HYPERLINK("http://trademark.i-assist.jp/data/china/image_1927th/82411729.pdf","82411729")</f>
        <v>82411729</v>
      </c>
      <c r="F1317" s="12" t="s">
        <v>3763</v>
      </c>
      <c r="G1317" s="9" t="s">
        <v>3764</v>
      </c>
      <c r="H1317" s="9" t="s">
        <v>3765</v>
      </c>
      <c r="I1317" s="10">
        <v>45632</v>
      </c>
    </row>
    <row r="1318" spans="1:9" x14ac:dyDescent="0.15">
      <c r="A1318" s="9">
        <v>1317</v>
      </c>
      <c r="B1318" s="9" t="s">
        <v>9</v>
      </c>
      <c r="C1318" s="9">
        <v>1927</v>
      </c>
      <c r="D1318" s="10">
        <v>45729</v>
      </c>
      <c r="E1318" s="11" t="str">
        <f>+HYPERLINK("http://trademark.i-assist.jp/data/china/image_1927th/82412005.pdf","82412005")</f>
        <v>82412005</v>
      </c>
      <c r="F1318" s="9" t="s">
        <v>3766</v>
      </c>
      <c r="G1318" s="12" t="s">
        <v>3581</v>
      </c>
      <c r="H1318" s="9" t="s">
        <v>3767</v>
      </c>
      <c r="I1318" s="10">
        <v>45632</v>
      </c>
    </row>
    <row r="1319" spans="1:9" x14ac:dyDescent="0.15">
      <c r="A1319" s="9">
        <v>1318</v>
      </c>
      <c r="B1319" s="9" t="s">
        <v>9</v>
      </c>
      <c r="C1319" s="9">
        <v>1927</v>
      </c>
      <c r="D1319" s="10">
        <v>45729</v>
      </c>
      <c r="E1319" s="11" t="str">
        <f>+HYPERLINK("http://trademark.i-assist.jp/data/china/image_1927th/82412019.pdf","82412019")</f>
        <v>82412019</v>
      </c>
      <c r="F1319" s="9" t="s">
        <v>3768</v>
      </c>
      <c r="G1319" s="9" t="s">
        <v>3546</v>
      </c>
      <c r="H1319" s="9" t="s">
        <v>3769</v>
      </c>
      <c r="I1319" s="10">
        <v>45632</v>
      </c>
    </row>
    <row r="1320" spans="1:9" x14ac:dyDescent="0.15">
      <c r="A1320" s="9">
        <v>1319</v>
      </c>
      <c r="B1320" s="9" t="s">
        <v>9</v>
      </c>
      <c r="C1320" s="9">
        <v>1927</v>
      </c>
      <c r="D1320" s="10">
        <v>45729</v>
      </c>
      <c r="E1320" s="11" t="str">
        <f>+HYPERLINK("http://trademark.i-assist.jp/data/china/image_1927th/82412224.pdf","82412224")</f>
        <v>82412224</v>
      </c>
      <c r="F1320" s="9" t="s">
        <v>3770</v>
      </c>
      <c r="G1320" s="9" t="s">
        <v>3771</v>
      </c>
      <c r="H1320" s="9" t="s">
        <v>3772</v>
      </c>
      <c r="I1320" s="10">
        <v>45632</v>
      </c>
    </row>
    <row r="1321" spans="1:9" x14ac:dyDescent="0.15">
      <c r="A1321" s="9">
        <v>1320</v>
      </c>
      <c r="B1321" s="9" t="s">
        <v>9</v>
      </c>
      <c r="C1321" s="9">
        <v>1927</v>
      </c>
      <c r="D1321" s="10">
        <v>45729</v>
      </c>
      <c r="E1321" s="11" t="str">
        <f>+HYPERLINK("http://trademark.i-assist.jp/data/china/image_1927th/82412343.pdf","82412343")</f>
        <v>82412343</v>
      </c>
      <c r="F1321" s="9" t="s">
        <v>3773</v>
      </c>
      <c r="G1321" s="9" t="s">
        <v>3774</v>
      </c>
      <c r="H1321" s="9" t="s">
        <v>3775</v>
      </c>
      <c r="I1321" s="10">
        <v>45632</v>
      </c>
    </row>
    <row r="1322" spans="1:9" x14ac:dyDescent="0.15">
      <c r="A1322" s="9">
        <v>1321</v>
      </c>
      <c r="B1322" s="9" t="s">
        <v>9</v>
      </c>
      <c r="C1322" s="9">
        <v>1927</v>
      </c>
      <c r="D1322" s="10">
        <v>45729</v>
      </c>
      <c r="E1322" s="11" t="str">
        <f>+HYPERLINK("http://trademark.i-assist.jp/data/china/image_1927th/82412401.pdf","82412401")</f>
        <v>82412401</v>
      </c>
      <c r="F1322" s="9" t="s">
        <v>3776</v>
      </c>
      <c r="G1322" s="9" t="s">
        <v>3777</v>
      </c>
      <c r="H1322" s="12" t="s">
        <v>3778</v>
      </c>
      <c r="I1322" s="10">
        <v>45632</v>
      </c>
    </row>
    <row r="1323" spans="1:9" x14ac:dyDescent="0.15">
      <c r="A1323" s="9">
        <v>1322</v>
      </c>
      <c r="B1323" s="9" t="s">
        <v>9</v>
      </c>
      <c r="C1323" s="9">
        <v>1927</v>
      </c>
      <c r="D1323" s="10">
        <v>45729</v>
      </c>
      <c r="E1323" s="11" t="str">
        <f>+HYPERLINK("http://trademark.i-assist.jp/data/china/image_1927th/82412520.pdf","82412520")</f>
        <v>82412520</v>
      </c>
      <c r="F1323" s="9" t="s">
        <v>3779</v>
      </c>
      <c r="G1323" s="12" t="s">
        <v>3780</v>
      </c>
      <c r="H1323" s="9" t="s">
        <v>3781</v>
      </c>
      <c r="I1323" s="10">
        <v>45632</v>
      </c>
    </row>
    <row r="1324" spans="1:9" x14ac:dyDescent="0.15">
      <c r="A1324" s="9">
        <v>1323</v>
      </c>
      <c r="B1324" s="9" t="s">
        <v>9</v>
      </c>
      <c r="C1324" s="9">
        <v>1927</v>
      </c>
      <c r="D1324" s="10">
        <v>45729</v>
      </c>
      <c r="E1324" s="11" t="str">
        <f>+HYPERLINK("http://trademark.i-assist.jp/data/china/image_1927th/82412527.pdf","82412527")</f>
        <v>82412527</v>
      </c>
      <c r="F1324" s="12" t="s">
        <v>3782</v>
      </c>
      <c r="G1324" s="9" t="s">
        <v>141</v>
      </c>
      <c r="H1324" s="9" t="s">
        <v>3783</v>
      </c>
      <c r="I1324" s="10">
        <v>45632</v>
      </c>
    </row>
    <row r="1325" spans="1:9" x14ac:dyDescent="0.15">
      <c r="A1325" s="9">
        <v>1324</v>
      </c>
      <c r="B1325" s="9" t="s">
        <v>9</v>
      </c>
      <c r="C1325" s="9">
        <v>1927</v>
      </c>
      <c r="D1325" s="10">
        <v>45729</v>
      </c>
      <c r="E1325" s="11" t="str">
        <f>+HYPERLINK("http://trademark.i-assist.jp/data/china/image_1927th/82412746.pdf","82412746")</f>
        <v>82412746</v>
      </c>
      <c r="F1325" s="9" t="s">
        <v>3784</v>
      </c>
      <c r="G1325" s="9" t="s">
        <v>3785</v>
      </c>
      <c r="H1325" s="9" t="s">
        <v>3786</v>
      </c>
      <c r="I1325" s="10">
        <v>45632</v>
      </c>
    </row>
    <row r="1326" spans="1:9" x14ac:dyDescent="0.15">
      <c r="A1326" s="9">
        <v>1325</v>
      </c>
      <c r="B1326" s="9" t="s">
        <v>9</v>
      </c>
      <c r="C1326" s="9">
        <v>1927</v>
      </c>
      <c r="D1326" s="10">
        <v>45729</v>
      </c>
      <c r="E1326" s="11" t="str">
        <f>+HYPERLINK("http://trademark.i-assist.jp/data/china/image_1927th/82412919.pdf","82412919")</f>
        <v>82412919</v>
      </c>
      <c r="F1326" s="12" t="s">
        <v>3787</v>
      </c>
      <c r="G1326" s="9" t="s">
        <v>141</v>
      </c>
      <c r="H1326" s="9" t="s">
        <v>3788</v>
      </c>
      <c r="I1326" s="10">
        <v>45632</v>
      </c>
    </row>
    <row r="1327" spans="1:9" x14ac:dyDescent="0.15">
      <c r="A1327" s="9">
        <v>1326</v>
      </c>
      <c r="B1327" s="9" t="s">
        <v>9</v>
      </c>
      <c r="C1327" s="9">
        <v>1927</v>
      </c>
      <c r="D1327" s="10">
        <v>45729</v>
      </c>
      <c r="E1327" s="11" t="str">
        <f>+HYPERLINK("http://trademark.i-assist.jp/data/china/image_1927th/82413405.pdf","82413405")</f>
        <v>82413405</v>
      </c>
      <c r="F1327" s="9" t="s">
        <v>3789</v>
      </c>
      <c r="G1327" s="9" t="s">
        <v>188</v>
      </c>
      <c r="H1327" s="12" t="s">
        <v>3790</v>
      </c>
      <c r="I1327" s="10">
        <v>45633</v>
      </c>
    </row>
    <row r="1328" spans="1:9" x14ac:dyDescent="0.15">
      <c r="A1328" s="9">
        <v>1327</v>
      </c>
      <c r="B1328" s="9" t="s">
        <v>9</v>
      </c>
      <c r="C1328" s="9">
        <v>1927</v>
      </c>
      <c r="D1328" s="10">
        <v>45729</v>
      </c>
      <c r="E1328" s="11" t="str">
        <f>+HYPERLINK("http://trademark.i-assist.jp/data/china/image_1927th/82413644.pdf","82413644")</f>
        <v>82413644</v>
      </c>
      <c r="F1328" s="9" t="s">
        <v>3791</v>
      </c>
      <c r="G1328" s="12" t="s">
        <v>3792</v>
      </c>
      <c r="H1328" s="9" t="s">
        <v>3793</v>
      </c>
      <c r="I1328" s="10">
        <v>45633</v>
      </c>
    </row>
    <row r="1329" spans="1:9" x14ac:dyDescent="0.15">
      <c r="A1329" s="9">
        <v>1328</v>
      </c>
      <c r="B1329" s="9" t="s">
        <v>9</v>
      </c>
      <c r="C1329" s="9">
        <v>1927</v>
      </c>
      <c r="D1329" s="10">
        <v>45729</v>
      </c>
      <c r="E1329" s="11" t="str">
        <f>+HYPERLINK("http://trademark.i-assist.jp/data/china/image_1927th/82414120.pdf","82414120")</f>
        <v>82414120</v>
      </c>
      <c r="F1329" s="9" t="s">
        <v>3794</v>
      </c>
      <c r="G1329" s="12" t="s">
        <v>3795</v>
      </c>
      <c r="H1329" s="9" t="s">
        <v>3796</v>
      </c>
      <c r="I1329" s="10">
        <v>45633</v>
      </c>
    </row>
    <row r="1330" spans="1:9" x14ac:dyDescent="0.15">
      <c r="A1330" s="9">
        <v>1329</v>
      </c>
      <c r="B1330" s="9" t="s">
        <v>9</v>
      </c>
      <c r="C1330" s="9">
        <v>1927</v>
      </c>
      <c r="D1330" s="10">
        <v>45729</v>
      </c>
      <c r="E1330" s="11" t="str">
        <f>+HYPERLINK("http://trademark.i-assist.jp/data/china/image_1927th/82414523.pdf","82414523")</f>
        <v>82414523</v>
      </c>
      <c r="F1330" s="9" t="s">
        <v>3797</v>
      </c>
      <c r="G1330" s="9" t="s">
        <v>3798</v>
      </c>
      <c r="H1330" s="9" t="s">
        <v>3799</v>
      </c>
      <c r="I1330" s="10">
        <v>45633</v>
      </c>
    </row>
    <row r="1331" spans="1:9" x14ac:dyDescent="0.15">
      <c r="A1331" s="9">
        <v>1330</v>
      </c>
      <c r="B1331" s="9" t="s">
        <v>9</v>
      </c>
      <c r="C1331" s="9">
        <v>1927</v>
      </c>
      <c r="D1331" s="10">
        <v>45729</v>
      </c>
      <c r="E1331" s="11" t="str">
        <f>+HYPERLINK("http://trademark.i-assist.jp/data/china/image_1927th/82414683.pdf","82414683")</f>
        <v>82414683</v>
      </c>
      <c r="F1331" s="9" t="s">
        <v>3800</v>
      </c>
      <c r="G1331" s="9" t="s">
        <v>3801</v>
      </c>
      <c r="H1331" s="9" t="s">
        <v>3802</v>
      </c>
      <c r="I1331" s="10">
        <v>45633</v>
      </c>
    </row>
    <row r="1332" spans="1:9" x14ac:dyDescent="0.15">
      <c r="A1332" s="9">
        <v>1331</v>
      </c>
      <c r="B1332" s="9" t="s">
        <v>9</v>
      </c>
      <c r="C1332" s="9">
        <v>1927</v>
      </c>
      <c r="D1332" s="10">
        <v>45729</v>
      </c>
      <c r="E1332" s="11" t="str">
        <f>+HYPERLINK("http://trademark.i-assist.jp/data/china/image_1927th/82414795.pdf","82414795")</f>
        <v>82414795</v>
      </c>
      <c r="F1332" s="9" t="s">
        <v>3803</v>
      </c>
      <c r="G1332" s="9" t="s">
        <v>3804</v>
      </c>
      <c r="H1332" s="9" t="s">
        <v>3805</v>
      </c>
      <c r="I1332" s="10">
        <v>45633</v>
      </c>
    </row>
    <row r="1333" spans="1:9" x14ac:dyDescent="0.15">
      <c r="A1333" s="9">
        <v>1332</v>
      </c>
      <c r="B1333" s="9" t="s">
        <v>9</v>
      </c>
      <c r="C1333" s="9">
        <v>1927</v>
      </c>
      <c r="D1333" s="10">
        <v>45729</v>
      </c>
      <c r="E1333" s="11" t="str">
        <f>+HYPERLINK("http://trademark.i-assist.jp/data/china/image_1927th/82415143.pdf","82415143")</f>
        <v>82415143</v>
      </c>
      <c r="F1333" s="9" t="s">
        <v>3806</v>
      </c>
      <c r="G1333" s="9" t="s">
        <v>188</v>
      </c>
      <c r="H1333" s="9" t="s">
        <v>3807</v>
      </c>
      <c r="I1333" s="10">
        <v>45633</v>
      </c>
    </row>
    <row r="1334" spans="1:9" x14ac:dyDescent="0.15">
      <c r="A1334" s="9">
        <v>1333</v>
      </c>
      <c r="B1334" s="9" t="s">
        <v>9</v>
      </c>
      <c r="C1334" s="9">
        <v>1927</v>
      </c>
      <c r="D1334" s="10">
        <v>45729</v>
      </c>
      <c r="E1334" s="11" t="str">
        <f>+HYPERLINK("http://trademark.i-assist.jp/data/china/image_1927th/82415397.pdf","82415397")</f>
        <v>82415397</v>
      </c>
      <c r="F1334" s="9" t="s">
        <v>3808</v>
      </c>
      <c r="G1334" s="9" t="s">
        <v>3809</v>
      </c>
      <c r="H1334" s="9" t="s">
        <v>3810</v>
      </c>
      <c r="I1334" s="10">
        <v>45633</v>
      </c>
    </row>
    <row r="1335" spans="1:9" x14ac:dyDescent="0.15">
      <c r="A1335" s="9">
        <v>1334</v>
      </c>
      <c r="B1335" s="9" t="s">
        <v>9</v>
      </c>
      <c r="C1335" s="9">
        <v>1927</v>
      </c>
      <c r="D1335" s="10">
        <v>45729</v>
      </c>
      <c r="E1335" s="11" t="str">
        <f>+HYPERLINK("http://trademark.i-assist.jp/data/china/image_1927th/82415466.pdf","82415466")</f>
        <v>82415466</v>
      </c>
      <c r="F1335" s="9" t="s">
        <v>3811</v>
      </c>
      <c r="G1335" s="12" t="s">
        <v>3812</v>
      </c>
      <c r="H1335" s="9" t="s">
        <v>3813</v>
      </c>
      <c r="I1335" s="10">
        <v>45633</v>
      </c>
    </row>
    <row r="1336" spans="1:9" x14ac:dyDescent="0.15">
      <c r="A1336" s="9">
        <v>1335</v>
      </c>
      <c r="B1336" s="9" t="s">
        <v>9</v>
      </c>
      <c r="C1336" s="9">
        <v>1927</v>
      </c>
      <c r="D1336" s="10">
        <v>45729</v>
      </c>
      <c r="E1336" s="11" t="str">
        <f>+HYPERLINK("http://trademark.i-assist.jp/data/china/image_1927th/82415556.pdf","82415556")</f>
        <v>82415556</v>
      </c>
      <c r="F1336" s="12" t="s">
        <v>3814</v>
      </c>
      <c r="G1336" s="12" t="s">
        <v>3815</v>
      </c>
      <c r="H1336" s="9" t="s">
        <v>3816</v>
      </c>
      <c r="I1336" s="10">
        <v>45633</v>
      </c>
    </row>
    <row r="1337" spans="1:9" x14ac:dyDescent="0.15">
      <c r="A1337" s="9">
        <v>1336</v>
      </c>
      <c r="B1337" s="9" t="s">
        <v>9</v>
      </c>
      <c r="C1337" s="9">
        <v>1927</v>
      </c>
      <c r="D1337" s="10">
        <v>45729</v>
      </c>
      <c r="E1337" s="11" t="str">
        <f>+HYPERLINK("http://trademark.i-assist.jp/data/china/image_1927th/82415647.pdf","82415647")</f>
        <v>82415647</v>
      </c>
      <c r="F1337" s="12" t="s">
        <v>3817</v>
      </c>
      <c r="G1337" s="12" t="s">
        <v>3818</v>
      </c>
      <c r="H1337" s="12" t="s">
        <v>3819</v>
      </c>
      <c r="I1337" s="10">
        <v>45633</v>
      </c>
    </row>
    <row r="1338" spans="1:9" x14ac:dyDescent="0.15">
      <c r="A1338" s="9">
        <v>1337</v>
      </c>
      <c r="B1338" s="9" t="s">
        <v>9</v>
      </c>
      <c r="C1338" s="9">
        <v>1927</v>
      </c>
      <c r="D1338" s="10">
        <v>45729</v>
      </c>
      <c r="E1338" s="11" t="str">
        <f>+HYPERLINK("http://trademark.i-assist.jp/data/china/image_1927th/82415667.pdf","82415667")</f>
        <v>82415667</v>
      </c>
      <c r="F1338" s="9" t="s">
        <v>3820</v>
      </c>
      <c r="G1338" s="9" t="s">
        <v>3821</v>
      </c>
      <c r="H1338" s="9" t="s">
        <v>3822</v>
      </c>
      <c r="I1338" s="10">
        <v>45633</v>
      </c>
    </row>
    <row r="1339" spans="1:9" x14ac:dyDescent="0.15">
      <c r="A1339" s="9">
        <v>1338</v>
      </c>
      <c r="B1339" s="9" t="s">
        <v>9</v>
      </c>
      <c r="C1339" s="9">
        <v>1927</v>
      </c>
      <c r="D1339" s="10">
        <v>45729</v>
      </c>
      <c r="E1339" s="11" t="str">
        <f>+HYPERLINK("http://trademark.i-assist.jp/data/china/image_1927th/82415743.pdf","82415743")</f>
        <v>82415743</v>
      </c>
      <c r="F1339" s="9" t="s">
        <v>3823</v>
      </c>
      <c r="G1339" s="9" t="s">
        <v>3824</v>
      </c>
      <c r="H1339" s="9" t="s">
        <v>3825</v>
      </c>
      <c r="I1339" s="10">
        <v>45633</v>
      </c>
    </row>
    <row r="1340" spans="1:9" x14ac:dyDescent="0.15">
      <c r="A1340" s="9">
        <v>1339</v>
      </c>
      <c r="B1340" s="9" t="s">
        <v>9</v>
      </c>
      <c r="C1340" s="9">
        <v>1927</v>
      </c>
      <c r="D1340" s="10">
        <v>45729</v>
      </c>
      <c r="E1340" s="11" t="str">
        <f>+HYPERLINK("http://trademark.i-assist.jp/data/china/image_1927th/82415939.pdf","82415939")</f>
        <v>82415939</v>
      </c>
      <c r="F1340" s="9" t="s">
        <v>3826</v>
      </c>
      <c r="G1340" s="9" t="s">
        <v>188</v>
      </c>
      <c r="H1340" s="9" t="s">
        <v>3827</v>
      </c>
      <c r="I1340" s="10">
        <v>45633</v>
      </c>
    </row>
    <row r="1341" spans="1:9" x14ac:dyDescent="0.15">
      <c r="A1341" s="9">
        <v>1340</v>
      </c>
      <c r="B1341" s="9" t="s">
        <v>9</v>
      </c>
      <c r="C1341" s="9">
        <v>1927</v>
      </c>
      <c r="D1341" s="10">
        <v>45729</v>
      </c>
      <c r="E1341" s="11" t="str">
        <f>+HYPERLINK("http://trademark.i-assist.jp/data/china/image_1927th/82416106.pdf","82416106")</f>
        <v>82416106</v>
      </c>
      <c r="F1341" s="12" t="s">
        <v>3828</v>
      </c>
      <c r="G1341" s="9" t="s">
        <v>188</v>
      </c>
      <c r="H1341" s="9" t="s">
        <v>3829</v>
      </c>
      <c r="I1341" s="10">
        <v>45633</v>
      </c>
    </row>
    <row r="1342" spans="1:9" x14ac:dyDescent="0.15">
      <c r="A1342" s="9">
        <v>1341</v>
      </c>
      <c r="B1342" s="9" t="s">
        <v>9</v>
      </c>
      <c r="C1342" s="9">
        <v>1927</v>
      </c>
      <c r="D1342" s="10">
        <v>45729</v>
      </c>
      <c r="E1342" s="11" t="str">
        <f>+HYPERLINK("http://trademark.i-assist.jp/data/china/image_1927th/82416235.pdf","82416235")</f>
        <v>82416235</v>
      </c>
      <c r="F1342" s="12" t="s">
        <v>3830</v>
      </c>
      <c r="G1342" s="9" t="s">
        <v>188</v>
      </c>
      <c r="H1342" s="9" t="s">
        <v>3831</v>
      </c>
      <c r="I1342" s="10">
        <v>45633</v>
      </c>
    </row>
    <row r="1343" spans="1:9" x14ac:dyDescent="0.15">
      <c r="A1343" s="9">
        <v>1342</v>
      </c>
      <c r="B1343" s="9" t="s">
        <v>9</v>
      </c>
      <c r="C1343" s="9">
        <v>1927</v>
      </c>
      <c r="D1343" s="10">
        <v>45729</v>
      </c>
      <c r="E1343" s="11" t="str">
        <f>+HYPERLINK("http://trademark.i-assist.jp/data/china/image_1927th/82416741.pdf","82416741")</f>
        <v>82416741</v>
      </c>
      <c r="F1343" s="9" t="s">
        <v>3832</v>
      </c>
      <c r="G1343" s="9" t="s">
        <v>3833</v>
      </c>
      <c r="H1343" s="9" t="s">
        <v>3834</v>
      </c>
      <c r="I1343" s="10">
        <v>45633</v>
      </c>
    </row>
    <row r="1344" spans="1:9" x14ac:dyDescent="0.15">
      <c r="A1344" s="9">
        <v>1343</v>
      </c>
      <c r="B1344" s="9" t="s">
        <v>9</v>
      </c>
      <c r="C1344" s="9">
        <v>1927</v>
      </c>
      <c r="D1344" s="10">
        <v>45729</v>
      </c>
      <c r="E1344" s="11" t="str">
        <f>+HYPERLINK("http://trademark.i-assist.jp/data/china/image_1927th/82417053.pdf","82417053")</f>
        <v>82417053</v>
      </c>
      <c r="F1344" s="9" t="s">
        <v>3835</v>
      </c>
      <c r="G1344" s="9" t="s">
        <v>3836</v>
      </c>
      <c r="H1344" s="9" t="s">
        <v>3837</v>
      </c>
      <c r="I1344" s="10">
        <v>45633</v>
      </c>
    </row>
    <row r="1345" spans="1:9" x14ac:dyDescent="0.15">
      <c r="A1345" s="9">
        <v>1344</v>
      </c>
      <c r="B1345" s="9" t="s">
        <v>9</v>
      </c>
      <c r="C1345" s="9">
        <v>1927</v>
      </c>
      <c r="D1345" s="10">
        <v>45729</v>
      </c>
      <c r="E1345" s="11" t="str">
        <f>+HYPERLINK("http://trademark.i-assist.jp/data/china/image_1927th/82417241.pdf","82417241")</f>
        <v>82417241</v>
      </c>
      <c r="F1345" s="9" t="s">
        <v>3838</v>
      </c>
      <c r="G1345" s="9" t="s">
        <v>189</v>
      </c>
      <c r="H1345" s="9" t="s">
        <v>3839</v>
      </c>
      <c r="I1345" s="10">
        <v>45633</v>
      </c>
    </row>
    <row r="1346" spans="1:9" x14ac:dyDescent="0.15">
      <c r="A1346" s="9">
        <v>1345</v>
      </c>
      <c r="B1346" s="9" t="s">
        <v>9</v>
      </c>
      <c r="C1346" s="9">
        <v>1927</v>
      </c>
      <c r="D1346" s="10">
        <v>45729</v>
      </c>
      <c r="E1346" s="11" t="str">
        <f>+HYPERLINK("http://trademark.i-assist.jp/data/china/image_1927th/82417610.pdf","82417610")</f>
        <v>82417610</v>
      </c>
      <c r="F1346" s="9" t="s">
        <v>3840</v>
      </c>
      <c r="G1346" s="9" t="s">
        <v>3841</v>
      </c>
      <c r="H1346" s="9" t="s">
        <v>3842</v>
      </c>
      <c r="I1346" s="10">
        <v>45633</v>
      </c>
    </row>
    <row r="1347" spans="1:9" x14ac:dyDescent="0.15">
      <c r="A1347" s="9">
        <v>1346</v>
      </c>
      <c r="B1347" s="9" t="s">
        <v>9</v>
      </c>
      <c r="C1347" s="9">
        <v>1927</v>
      </c>
      <c r="D1347" s="10">
        <v>45729</v>
      </c>
      <c r="E1347" s="11" t="str">
        <f>+HYPERLINK("http://trademark.i-assist.jp/data/china/image_1927th/82417910.pdf","82417910")</f>
        <v>82417910</v>
      </c>
      <c r="F1347" s="9" t="s">
        <v>3843</v>
      </c>
      <c r="G1347" s="12" t="s">
        <v>3844</v>
      </c>
      <c r="H1347" s="9" t="s">
        <v>3845</v>
      </c>
      <c r="I1347" s="10">
        <v>45633</v>
      </c>
    </row>
    <row r="1348" spans="1:9" x14ac:dyDescent="0.15">
      <c r="A1348" s="9">
        <v>1347</v>
      </c>
      <c r="B1348" s="9" t="s">
        <v>9</v>
      </c>
      <c r="C1348" s="9">
        <v>1927</v>
      </c>
      <c r="D1348" s="10">
        <v>45729</v>
      </c>
      <c r="E1348" s="11" t="str">
        <f>+HYPERLINK("http://trademark.i-assist.jp/data/china/image_1927th/82418266.pdf","82418266")</f>
        <v>82418266</v>
      </c>
      <c r="F1348" s="12" t="s">
        <v>3846</v>
      </c>
      <c r="G1348" s="9" t="s">
        <v>3847</v>
      </c>
      <c r="H1348" s="9" t="s">
        <v>3848</v>
      </c>
      <c r="I1348" s="10">
        <v>45633</v>
      </c>
    </row>
    <row r="1349" spans="1:9" x14ac:dyDescent="0.15">
      <c r="A1349" s="9">
        <v>1348</v>
      </c>
      <c r="B1349" s="9" t="s">
        <v>9</v>
      </c>
      <c r="C1349" s="9">
        <v>1927</v>
      </c>
      <c r="D1349" s="10">
        <v>45729</v>
      </c>
      <c r="E1349" s="11" t="str">
        <f>+HYPERLINK("http://trademark.i-assist.jp/data/china/image_1927th/82418666.pdf","82418666")</f>
        <v>82418666</v>
      </c>
      <c r="F1349" s="9" t="s">
        <v>3849</v>
      </c>
      <c r="G1349" s="9" t="s">
        <v>3850</v>
      </c>
      <c r="H1349" s="9" t="s">
        <v>3851</v>
      </c>
      <c r="I1349" s="10">
        <v>45633</v>
      </c>
    </row>
    <row r="1350" spans="1:9" x14ac:dyDescent="0.15">
      <c r="A1350" s="9">
        <v>1349</v>
      </c>
      <c r="B1350" s="9" t="s">
        <v>9</v>
      </c>
      <c r="C1350" s="9">
        <v>1927</v>
      </c>
      <c r="D1350" s="10">
        <v>45729</v>
      </c>
      <c r="E1350" s="11" t="str">
        <f>+HYPERLINK("http://trademark.i-assist.jp/data/china/image_1927th/82418790.pdf","82418790")</f>
        <v>82418790</v>
      </c>
      <c r="F1350" s="9" t="s">
        <v>3852</v>
      </c>
      <c r="G1350" s="9" t="s">
        <v>3853</v>
      </c>
      <c r="H1350" s="9" t="s">
        <v>3854</v>
      </c>
      <c r="I1350" s="10">
        <v>45633</v>
      </c>
    </row>
    <row r="1351" spans="1:9" x14ac:dyDescent="0.15">
      <c r="A1351" s="9">
        <v>1350</v>
      </c>
      <c r="B1351" s="9" t="s">
        <v>9</v>
      </c>
      <c r="C1351" s="9">
        <v>1927</v>
      </c>
      <c r="D1351" s="10">
        <v>45729</v>
      </c>
      <c r="E1351" s="11" t="str">
        <f>+HYPERLINK("http://trademark.i-assist.jp/data/china/image_1927th/82419079.pdf","82419079")</f>
        <v>82419079</v>
      </c>
      <c r="F1351" s="12" t="s">
        <v>3855</v>
      </c>
      <c r="G1351" s="12" t="s">
        <v>3856</v>
      </c>
      <c r="H1351" s="9" t="s">
        <v>3857</v>
      </c>
      <c r="I1351" s="10">
        <v>45633</v>
      </c>
    </row>
    <row r="1352" spans="1:9" x14ac:dyDescent="0.15">
      <c r="A1352" s="9">
        <v>1351</v>
      </c>
      <c r="B1352" s="9" t="s">
        <v>9</v>
      </c>
      <c r="C1352" s="9">
        <v>1927</v>
      </c>
      <c r="D1352" s="10">
        <v>45729</v>
      </c>
      <c r="E1352" s="11" t="str">
        <f>+HYPERLINK("http://trademark.i-assist.jp/data/china/image_1927th/82419125.pdf","82419125")</f>
        <v>82419125</v>
      </c>
      <c r="F1352" s="9" t="s">
        <v>3858</v>
      </c>
      <c r="G1352" s="9" t="s">
        <v>230</v>
      </c>
      <c r="H1352" s="9" t="s">
        <v>3859</v>
      </c>
      <c r="I1352" s="10">
        <v>45633</v>
      </c>
    </row>
    <row r="1353" spans="1:9" x14ac:dyDescent="0.15">
      <c r="A1353" s="9">
        <v>1352</v>
      </c>
      <c r="B1353" s="9" t="s">
        <v>9</v>
      </c>
      <c r="C1353" s="9">
        <v>1927</v>
      </c>
      <c r="D1353" s="10">
        <v>45729</v>
      </c>
      <c r="E1353" s="11" t="str">
        <f>+HYPERLINK("http://trademark.i-assist.jp/data/china/image_1927th/82419193.pdf","82419193")</f>
        <v>82419193</v>
      </c>
      <c r="F1353" s="12" t="s">
        <v>16</v>
      </c>
      <c r="G1353" s="9" t="s">
        <v>3860</v>
      </c>
      <c r="H1353" s="9" t="s">
        <v>3861</v>
      </c>
      <c r="I1353" s="10">
        <v>45633</v>
      </c>
    </row>
    <row r="1354" spans="1:9" x14ac:dyDescent="0.15">
      <c r="A1354" s="9">
        <v>1353</v>
      </c>
      <c r="B1354" s="9" t="s">
        <v>9</v>
      </c>
      <c r="C1354" s="9">
        <v>1927</v>
      </c>
      <c r="D1354" s="10">
        <v>45729</v>
      </c>
      <c r="E1354" s="11" t="str">
        <f>+HYPERLINK("http://trademark.i-assist.jp/data/china/image_1927th/82419232.pdf","82419232")</f>
        <v>82419232</v>
      </c>
      <c r="F1354" s="9" t="s">
        <v>3862</v>
      </c>
      <c r="G1354" s="9" t="s">
        <v>3863</v>
      </c>
      <c r="H1354" s="9" t="s">
        <v>3864</v>
      </c>
      <c r="I1354" s="10">
        <v>45633</v>
      </c>
    </row>
    <row r="1355" spans="1:9" x14ac:dyDescent="0.15">
      <c r="A1355" s="9">
        <v>1354</v>
      </c>
      <c r="B1355" s="9" t="s">
        <v>9</v>
      </c>
      <c r="C1355" s="9">
        <v>1927</v>
      </c>
      <c r="D1355" s="10">
        <v>45729</v>
      </c>
      <c r="E1355" s="11" t="str">
        <f>+HYPERLINK("http://trademark.i-assist.jp/data/china/image_1927th/82420262.pdf","82420262")</f>
        <v>82420262</v>
      </c>
      <c r="F1355" s="9" t="s">
        <v>3865</v>
      </c>
      <c r="G1355" s="9" t="s">
        <v>3866</v>
      </c>
      <c r="H1355" s="12" t="s">
        <v>3867</v>
      </c>
      <c r="I1355" s="10">
        <v>45634</v>
      </c>
    </row>
    <row r="1356" spans="1:9" x14ac:dyDescent="0.15">
      <c r="A1356" s="9">
        <v>1355</v>
      </c>
      <c r="B1356" s="9" t="s">
        <v>9</v>
      </c>
      <c r="C1356" s="9">
        <v>1927</v>
      </c>
      <c r="D1356" s="10">
        <v>45729</v>
      </c>
      <c r="E1356" s="11" t="str">
        <f>+HYPERLINK("http://trademark.i-assist.jp/data/china/image_1927th/82420320.pdf","82420320")</f>
        <v>82420320</v>
      </c>
      <c r="F1356" s="9" t="s">
        <v>3868</v>
      </c>
      <c r="G1356" s="9" t="s">
        <v>3868</v>
      </c>
      <c r="H1356" s="12" t="s">
        <v>3869</v>
      </c>
      <c r="I1356" s="10">
        <v>45634</v>
      </c>
    </row>
    <row r="1357" spans="1:9" x14ac:dyDescent="0.15">
      <c r="A1357" s="9">
        <v>1356</v>
      </c>
      <c r="B1357" s="9" t="s">
        <v>9</v>
      </c>
      <c r="C1357" s="9">
        <v>1927</v>
      </c>
      <c r="D1357" s="10">
        <v>45729</v>
      </c>
      <c r="E1357" s="11" t="str">
        <f>+HYPERLINK("http://trademark.i-assist.jp/data/china/image_1927th/82420424.pdf","82420424")</f>
        <v>82420424</v>
      </c>
      <c r="F1357" s="12" t="s">
        <v>3870</v>
      </c>
      <c r="G1357" s="9" t="s">
        <v>3871</v>
      </c>
      <c r="H1357" s="12" t="s">
        <v>3872</v>
      </c>
      <c r="I1357" s="10">
        <v>45634</v>
      </c>
    </row>
    <row r="1358" spans="1:9" x14ac:dyDescent="0.15">
      <c r="A1358" s="9">
        <v>1357</v>
      </c>
      <c r="B1358" s="9" t="s">
        <v>9</v>
      </c>
      <c r="C1358" s="9">
        <v>1927</v>
      </c>
      <c r="D1358" s="10">
        <v>45729</v>
      </c>
      <c r="E1358" s="11" t="str">
        <f>+HYPERLINK("http://trademark.i-assist.jp/data/china/image_1927th/82420619.pdf","82420619")</f>
        <v>82420619</v>
      </c>
      <c r="F1358" s="12" t="s">
        <v>3873</v>
      </c>
      <c r="G1358" s="9" t="s">
        <v>25</v>
      </c>
      <c r="H1358" s="9" t="s">
        <v>3874</v>
      </c>
      <c r="I1358" s="10">
        <v>45634</v>
      </c>
    </row>
    <row r="1359" spans="1:9" x14ac:dyDescent="0.15">
      <c r="A1359" s="9">
        <v>1358</v>
      </c>
      <c r="B1359" s="9" t="s">
        <v>9</v>
      </c>
      <c r="C1359" s="9">
        <v>1927</v>
      </c>
      <c r="D1359" s="10">
        <v>45729</v>
      </c>
      <c r="E1359" s="11" t="str">
        <f>+HYPERLINK("http://trademark.i-assist.jp/data/china/image_1927th/82420990.pdf","82420990")</f>
        <v>82420990</v>
      </c>
      <c r="F1359" s="12" t="s">
        <v>3875</v>
      </c>
      <c r="G1359" s="9" t="s">
        <v>3876</v>
      </c>
      <c r="H1359" s="9" t="s">
        <v>3877</v>
      </c>
      <c r="I1359" s="10">
        <v>45634</v>
      </c>
    </row>
    <row r="1360" spans="1:9" x14ac:dyDescent="0.15">
      <c r="A1360" s="9">
        <v>1359</v>
      </c>
      <c r="B1360" s="9" t="s">
        <v>9</v>
      </c>
      <c r="C1360" s="9">
        <v>1927</v>
      </c>
      <c r="D1360" s="10">
        <v>45729</v>
      </c>
      <c r="E1360" s="11" t="str">
        <f>+HYPERLINK("http://trademark.i-assist.jp/data/china/image_1927th/82421018.pdf","82421018")</f>
        <v>82421018</v>
      </c>
      <c r="F1360" s="9" t="s">
        <v>3878</v>
      </c>
      <c r="G1360" s="9" t="s">
        <v>3879</v>
      </c>
      <c r="H1360" s="9" t="s">
        <v>3880</v>
      </c>
      <c r="I1360" s="10">
        <v>45634</v>
      </c>
    </row>
    <row r="1361" spans="1:9" x14ac:dyDescent="0.15">
      <c r="A1361" s="9">
        <v>1360</v>
      </c>
      <c r="B1361" s="9" t="s">
        <v>9</v>
      </c>
      <c r="C1361" s="9">
        <v>1927</v>
      </c>
      <c r="D1361" s="10">
        <v>45729</v>
      </c>
      <c r="E1361" s="11" t="str">
        <f>+HYPERLINK("http://trademark.i-assist.jp/data/china/image_1927th/82421071.pdf","82421071")</f>
        <v>82421071</v>
      </c>
      <c r="F1361" s="9" t="s">
        <v>3881</v>
      </c>
      <c r="G1361" s="9" t="s">
        <v>3882</v>
      </c>
      <c r="H1361" s="9" t="s">
        <v>3883</v>
      </c>
      <c r="I1361" s="10">
        <v>45634</v>
      </c>
    </row>
    <row r="1362" spans="1:9" x14ac:dyDescent="0.15">
      <c r="A1362" s="9">
        <v>1361</v>
      </c>
      <c r="B1362" s="9" t="s">
        <v>9</v>
      </c>
      <c r="C1362" s="9">
        <v>1927</v>
      </c>
      <c r="D1362" s="10">
        <v>45729</v>
      </c>
      <c r="E1362" s="11" t="str">
        <f>+HYPERLINK("http://trademark.i-assist.jp/data/china/image_1927th/82421306.pdf","82421306")</f>
        <v>82421306</v>
      </c>
      <c r="F1362" s="9" t="s">
        <v>3884</v>
      </c>
      <c r="G1362" s="9" t="s">
        <v>3885</v>
      </c>
      <c r="H1362" s="9" t="s">
        <v>3886</v>
      </c>
      <c r="I1362" s="10">
        <v>45634</v>
      </c>
    </row>
    <row r="1363" spans="1:9" x14ac:dyDescent="0.15">
      <c r="A1363" s="9">
        <v>1362</v>
      </c>
      <c r="B1363" s="9" t="s">
        <v>9</v>
      </c>
      <c r="C1363" s="9">
        <v>1927</v>
      </c>
      <c r="D1363" s="10">
        <v>45729</v>
      </c>
      <c r="E1363" s="11" t="str">
        <f>+HYPERLINK("http://trademark.i-assist.jp/data/china/image_1927th/82421750.pdf","82421750")</f>
        <v>82421750</v>
      </c>
      <c r="F1363" s="9" t="s">
        <v>3887</v>
      </c>
      <c r="G1363" s="12" t="s">
        <v>3888</v>
      </c>
      <c r="H1363" s="9" t="s">
        <v>3889</v>
      </c>
      <c r="I1363" s="10">
        <v>45634</v>
      </c>
    </row>
    <row r="1364" spans="1:9" x14ac:dyDescent="0.15">
      <c r="A1364" s="9">
        <v>1363</v>
      </c>
      <c r="B1364" s="9" t="s">
        <v>9</v>
      </c>
      <c r="C1364" s="9">
        <v>1927</v>
      </c>
      <c r="D1364" s="10">
        <v>45729</v>
      </c>
      <c r="E1364" s="11" t="str">
        <f>+HYPERLINK("http://trademark.i-assist.jp/data/china/image_1927th/82421777.pdf","82421777")</f>
        <v>82421777</v>
      </c>
      <c r="F1364" s="9" t="s">
        <v>3890</v>
      </c>
      <c r="G1364" s="9" t="s">
        <v>3876</v>
      </c>
      <c r="H1364" s="12" t="s">
        <v>3891</v>
      </c>
      <c r="I1364" s="10">
        <v>45634</v>
      </c>
    </row>
    <row r="1365" spans="1:9" x14ac:dyDescent="0.15">
      <c r="A1365" s="9">
        <v>1364</v>
      </c>
      <c r="B1365" s="9" t="s">
        <v>9</v>
      </c>
      <c r="C1365" s="9">
        <v>1927</v>
      </c>
      <c r="D1365" s="10">
        <v>45729</v>
      </c>
      <c r="E1365" s="11" t="str">
        <f>+HYPERLINK("http://trademark.i-assist.jp/data/china/image_1927th/82421846.pdf","82421846")</f>
        <v>82421846</v>
      </c>
      <c r="F1365" s="9" t="s">
        <v>3892</v>
      </c>
      <c r="G1365" s="9" t="s">
        <v>3866</v>
      </c>
      <c r="H1365" s="9" t="s">
        <v>3893</v>
      </c>
      <c r="I1365" s="10">
        <v>45634</v>
      </c>
    </row>
    <row r="1366" spans="1:9" x14ac:dyDescent="0.15">
      <c r="A1366" s="9">
        <v>1365</v>
      </c>
      <c r="B1366" s="9" t="s">
        <v>9</v>
      </c>
      <c r="C1366" s="9">
        <v>1927</v>
      </c>
      <c r="D1366" s="10">
        <v>45729</v>
      </c>
      <c r="E1366" s="11" t="str">
        <f>+HYPERLINK("http://trademark.i-assist.jp/data/china/image_1927th/82422010.pdf","82422010")</f>
        <v>82422010</v>
      </c>
      <c r="F1366" s="9" t="s">
        <v>3894</v>
      </c>
      <c r="G1366" s="9" t="s">
        <v>190</v>
      </c>
      <c r="H1366" s="12" t="s">
        <v>3895</v>
      </c>
      <c r="I1366" s="10">
        <v>45635</v>
      </c>
    </row>
    <row r="1367" spans="1:9" x14ac:dyDescent="0.15">
      <c r="A1367" s="9">
        <v>1366</v>
      </c>
      <c r="B1367" s="9" t="s">
        <v>9</v>
      </c>
      <c r="C1367" s="9">
        <v>1927</v>
      </c>
      <c r="D1367" s="10">
        <v>45729</v>
      </c>
      <c r="E1367" s="11" t="str">
        <f>+HYPERLINK("http://trademark.i-assist.jp/data/china/image_1927th/82422012.pdf","82422012")</f>
        <v>82422012</v>
      </c>
      <c r="F1367" s="9" t="s">
        <v>3896</v>
      </c>
      <c r="G1367" s="9" t="s">
        <v>190</v>
      </c>
      <c r="H1367" s="12" t="s">
        <v>3897</v>
      </c>
      <c r="I1367" s="10">
        <v>45635</v>
      </c>
    </row>
    <row r="1368" spans="1:9" x14ac:dyDescent="0.15">
      <c r="A1368" s="9">
        <v>1367</v>
      </c>
      <c r="B1368" s="9" t="s">
        <v>9</v>
      </c>
      <c r="C1368" s="9">
        <v>1927</v>
      </c>
      <c r="D1368" s="10">
        <v>45729</v>
      </c>
      <c r="E1368" s="11" t="str">
        <f>+HYPERLINK("http://trademark.i-assist.jp/data/china/image_1927th/82422226.pdf","82422226")</f>
        <v>82422226</v>
      </c>
      <c r="F1368" s="9" t="s">
        <v>3898</v>
      </c>
      <c r="G1368" s="9" t="s">
        <v>3899</v>
      </c>
      <c r="H1368" s="9" t="s">
        <v>3900</v>
      </c>
      <c r="I1368" s="10">
        <v>45635</v>
      </c>
    </row>
    <row r="1369" spans="1:9" x14ac:dyDescent="0.15">
      <c r="A1369" s="9">
        <v>1368</v>
      </c>
      <c r="B1369" s="9" t="s">
        <v>9</v>
      </c>
      <c r="C1369" s="9">
        <v>1927</v>
      </c>
      <c r="D1369" s="10">
        <v>45729</v>
      </c>
      <c r="E1369" s="11" t="str">
        <f>+HYPERLINK("http://trademark.i-assist.jp/data/china/image_1927th/82422284.pdf","82422284")</f>
        <v>82422284</v>
      </c>
      <c r="F1369" s="9" t="s">
        <v>3901</v>
      </c>
      <c r="G1369" s="9" t="s">
        <v>3902</v>
      </c>
      <c r="H1369" s="9" t="s">
        <v>3903</v>
      </c>
      <c r="I1369" s="10">
        <v>45635</v>
      </c>
    </row>
    <row r="1370" spans="1:9" x14ac:dyDescent="0.15">
      <c r="A1370" s="9">
        <v>1369</v>
      </c>
      <c r="B1370" s="9" t="s">
        <v>9</v>
      </c>
      <c r="C1370" s="9">
        <v>1927</v>
      </c>
      <c r="D1370" s="10">
        <v>45729</v>
      </c>
      <c r="E1370" s="11" t="str">
        <f>+HYPERLINK("http://trademark.i-assist.jp/data/china/image_1927th/82422288.pdf","82422288")</f>
        <v>82422288</v>
      </c>
      <c r="F1370" s="12" t="s">
        <v>3904</v>
      </c>
      <c r="G1370" s="12" t="s">
        <v>3905</v>
      </c>
      <c r="H1370" s="9" t="s">
        <v>3906</v>
      </c>
      <c r="I1370" s="10">
        <v>45635</v>
      </c>
    </row>
    <row r="1371" spans="1:9" x14ac:dyDescent="0.15">
      <c r="A1371" s="9">
        <v>1370</v>
      </c>
      <c r="B1371" s="9" t="s">
        <v>9</v>
      </c>
      <c r="C1371" s="9">
        <v>1927</v>
      </c>
      <c r="D1371" s="10">
        <v>45729</v>
      </c>
      <c r="E1371" s="11" t="str">
        <f>+HYPERLINK("http://trademark.i-assist.jp/data/china/image_1927th/82422366.pdf","82422366")</f>
        <v>82422366</v>
      </c>
      <c r="F1371" s="12" t="s">
        <v>3907</v>
      </c>
      <c r="G1371" s="9" t="s">
        <v>3908</v>
      </c>
      <c r="H1371" s="9" t="s">
        <v>3909</v>
      </c>
      <c r="I1371" s="10">
        <v>45635</v>
      </c>
    </row>
    <row r="1372" spans="1:9" x14ac:dyDescent="0.15">
      <c r="A1372" s="9">
        <v>1371</v>
      </c>
      <c r="B1372" s="9" t="s">
        <v>9</v>
      </c>
      <c r="C1372" s="9">
        <v>1927</v>
      </c>
      <c r="D1372" s="10">
        <v>45729</v>
      </c>
      <c r="E1372" s="11" t="str">
        <f>+HYPERLINK("http://trademark.i-assist.jp/data/china/image_1927th/82422671.pdf","82422671")</f>
        <v>82422671</v>
      </c>
      <c r="F1372" s="12" t="s">
        <v>3910</v>
      </c>
      <c r="G1372" s="9" t="s">
        <v>3911</v>
      </c>
      <c r="H1372" s="9" t="s">
        <v>3912</v>
      </c>
      <c r="I1372" s="10">
        <v>45635</v>
      </c>
    </row>
    <row r="1373" spans="1:9" x14ac:dyDescent="0.15">
      <c r="A1373" s="9">
        <v>1372</v>
      </c>
      <c r="B1373" s="9" t="s">
        <v>9</v>
      </c>
      <c r="C1373" s="9">
        <v>1927</v>
      </c>
      <c r="D1373" s="10">
        <v>45729</v>
      </c>
      <c r="E1373" s="11" t="str">
        <f>+HYPERLINK("http://trademark.i-assist.jp/data/china/image_1927th/82422777.pdf","82422777")</f>
        <v>82422777</v>
      </c>
      <c r="F1373" s="9" t="s">
        <v>3913</v>
      </c>
      <c r="G1373" s="9" t="s">
        <v>3914</v>
      </c>
      <c r="H1373" s="9" t="s">
        <v>3915</v>
      </c>
      <c r="I1373" s="10">
        <v>45635</v>
      </c>
    </row>
    <row r="1374" spans="1:9" x14ac:dyDescent="0.15">
      <c r="A1374" s="9">
        <v>1373</v>
      </c>
      <c r="B1374" s="9" t="s">
        <v>9</v>
      </c>
      <c r="C1374" s="9">
        <v>1927</v>
      </c>
      <c r="D1374" s="10">
        <v>45729</v>
      </c>
      <c r="E1374" s="11" t="str">
        <f>+HYPERLINK("http://trademark.i-assist.jp/data/china/image_1927th/82422829.pdf","82422829")</f>
        <v>82422829</v>
      </c>
      <c r="F1374" s="9" t="s">
        <v>3916</v>
      </c>
      <c r="G1374" s="9" t="s">
        <v>3469</v>
      </c>
      <c r="H1374" s="9" t="s">
        <v>3917</v>
      </c>
      <c r="I1374" s="10">
        <v>45635</v>
      </c>
    </row>
    <row r="1375" spans="1:9" x14ac:dyDescent="0.15">
      <c r="A1375" s="9">
        <v>1374</v>
      </c>
      <c r="B1375" s="9" t="s">
        <v>9</v>
      </c>
      <c r="C1375" s="9">
        <v>1927</v>
      </c>
      <c r="D1375" s="10">
        <v>45729</v>
      </c>
      <c r="E1375" s="11" t="str">
        <f>+HYPERLINK("http://trademark.i-assist.jp/data/china/image_1927th/82423148.pdf","82423148")</f>
        <v>82423148</v>
      </c>
      <c r="F1375" s="12" t="s">
        <v>3918</v>
      </c>
      <c r="G1375" s="12" t="s">
        <v>3919</v>
      </c>
      <c r="H1375" s="9" t="s">
        <v>3920</v>
      </c>
      <c r="I1375" s="10">
        <v>45635</v>
      </c>
    </row>
    <row r="1376" spans="1:9" x14ac:dyDescent="0.15">
      <c r="A1376" s="9">
        <v>1375</v>
      </c>
      <c r="B1376" s="9" t="s">
        <v>9</v>
      </c>
      <c r="C1376" s="9">
        <v>1927</v>
      </c>
      <c r="D1376" s="10">
        <v>45729</v>
      </c>
      <c r="E1376" s="11" t="str">
        <f>+HYPERLINK("http://trademark.i-assist.jp/data/china/image_1927th/82423213.pdf","82423213")</f>
        <v>82423213</v>
      </c>
      <c r="F1376" s="9" t="s">
        <v>3921</v>
      </c>
      <c r="G1376" s="12" t="s">
        <v>3922</v>
      </c>
      <c r="H1376" s="9" t="s">
        <v>3923</v>
      </c>
      <c r="I1376" s="10">
        <v>45635</v>
      </c>
    </row>
    <row r="1377" spans="1:9" x14ac:dyDescent="0.15">
      <c r="A1377" s="9">
        <v>1376</v>
      </c>
      <c r="B1377" s="9" t="s">
        <v>9</v>
      </c>
      <c r="C1377" s="9">
        <v>1927</v>
      </c>
      <c r="D1377" s="10">
        <v>45729</v>
      </c>
      <c r="E1377" s="11" t="str">
        <f>+HYPERLINK("http://trademark.i-assist.jp/data/china/image_1927th/82423280.pdf","82423280")</f>
        <v>82423280</v>
      </c>
      <c r="F1377" s="9" t="s">
        <v>3924</v>
      </c>
      <c r="G1377" s="12" t="s">
        <v>3925</v>
      </c>
      <c r="H1377" s="12" t="s">
        <v>3926</v>
      </c>
      <c r="I1377" s="10">
        <v>45635</v>
      </c>
    </row>
    <row r="1378" spans="1:9" x14ac:dyDescent="0.15">
      <c r="A1378" s="9">
        <v>1377</v>
      </c>
      <c r="B1378" s="9" t="s">
        <v>9</v>
      </c>
      <c r="C1378" s="9">
        <v>1927</v>
      </c>
      <c r="D1378" s="10">
        <v>45729</v>
      </c>
      <c r="E1378" s="11" t="str">
        <f>+HYPERLINK("http://trademark.i-assist.jp/data/china/image_1927th/82423542.pdf","82423542")</f>
        <v>82423542</v>
      </c>
      <c r="F1378" s="12" t="s">
        <v>3927</v>
      </c>
      <c r="G1378" s="12" t="s">
        <v>3928</v>
      </c>
      <c r="H1378" s="9" t="s">
        <v>3929</v>
      </c>
      <c r="I1378" s="10">
        <v>45635</v>
      </c>
    </row>
    <row r="1379" spans="1:9" x14ac:dyDescent="0.15">
      <c r="A1379" s="9">
        <v>1378</v>
      </c>
      <c r="B1379" s="9" t="s">
        <v>9</v>
      </c>
      <c r="C1379" s="9">
        <v>1927</v>
      </c>
      <c r="D1379" s="10">
        <v>45729</v>
      </c>
      <c r="E1379" s="11" t="str">
        <f>+HYPERLINK("http://trademark.i-assist.jp/data/china/image_1927th/82423547.pdf","82423547")</f>
        <v>82423547</v>
      </c>
      <c r="F1379" s="9" t="s">
        <v>3930</v>
      </c>
      <c r="G1379" s="12" t="s">
        <v>3928</v>
      </c>
      <c r="H1379" s="9" t="s">
        <v>3931</v>
      </c>
      <c r="I1379" s="10">
        <v>45635</v>
      </c>
    </row>
    <row r="1380" spans="1:9" x14ac:dyDescent="0.15">
      <c r="A1380" s="9">
        <v>1379</v>
      </c>
      <c r="B1380" s="9" t="s">
        <v>9</v>
      </c>
      <c r="C1380" s="9">
        <v>1927</v>
      </c>
      <c r="D1380" s="10">
        <v>45729</v>
      </c>
      <c r="E1380" s="11" t="str">
        <f>+HYPERLINK("http://trademark.i-assist.jp/data/china/image_1927th/82423549.pdf","82423549")</f>
        <v>82423549</v>
      </c>
      <c r="F1380" s="9" t="s">
        <v>3932</v>
      </c>
      <c r="G1380" s="9" t="s">
        <v>37</v>
      </c>
      <c r="H1380" s="9" t="s">
        <v>3933</v>
      </c>
      <c r="I1380" s="10">
        <v>45635</v>
      </c>
    </row>
    <row r="1381" spans="1:9" x14ac:dyDescent="0.15">
      <c r="A1381" s="9">
        <v>1380</v>
      </c>
      <c r="B1381" s="9" t="s">
        <v>9</v>
      </c>
      <c r="C1381" s="9">
        <v>1927</v>
      </c>
      <c r="D1381" s="10">
        <v>45729</v>
      </c>
      <c r="E1381" s="11" t="str">
        <f>+HYPERLINK("http://trademark.i-assist.jp/data/china/image_1927th/82423551.pdf","82423551")</f>
        <v>82423551</v>
      </c>
      <c r="F1381" s="9" t="s">
        <v>3934</v>
      </c>
      <c r="G1381" s="12" t="s">
        <v>3928</v>
      </c>
      <c r="H1381" s="9" t="s">
        <v>3935</v>
      </c>
      <c r="I1381" s="10">
        <v>45635</v>
      </c>
    </row>
    <row r="1382" spans="1:9" x14ac:dyDescent="0.15">
      <c r="A1382" s="9">
        <v>1381</v>
      </c>
      <c r="B1382" s="9" t="s">
        <v>9</v>
      </c>
      <c r="C1382" s="9">
        <v>1927</v>
      </c>
      <c r="D1382" s="10">
        <v>45729</v>
      </c>
      <c r="E1382" s="11" t="str">
        <f>+HYPERLINK("http://trademark.i-assist.jp/data/china/image_1927th/82423764.pdf","82423764")</f>
        <v>82423764</v>
      </c>
      <c r="F1382" s="9" t="s">
        <v>3936</v>
      </c>
      <c r="G1382" s="9" t="s">
        <v>3937</v>
      </c>
      <c r="H1382" s="9" t="s">
        <v>3938</v>
      </c>
      <c r="I1382" s="10">
        <v>45635</v>
      </c>
    </row>
    <row r="1383" spans="1:9" x14ac:dyDescent="0.15">
      <c r="A1383" s="9">
        <v>1382</v>
      </c>
      <c r="B1383" s="9" t="s">
        <v>9</v>
      </c>
      <c r="C1383" s="9">
        <v>1927</v>
      </c>
      <c r="D1383" s="10">
        <v>45729</v>
      </c>
      <c r="E1383" s="11" t="str">
        <f>+HYPERLINK("http://trademark.i-assist.jp/data/china/image_1927th/82424190.pdf","82424190")</f>
        <v>82424190</v>
      </c>
      <c r="F1383" s="9" t="s">
        <v>3939</v>
      </c>
      <c r="G1383" s="12" t="s">
        <v>3940</v>
      </c>
      <c r="H1383" s="9" t="s">
        <v>3941</v>
      </c>
      <c r="I1383" s="10">
        <v>45635</v>
      </c>
    </row>
    <row r="1384" spans="1:9" x14ac:dyDescent="0.15">
      <c r="A1384" s="9">
        <v>1383</v>
      </c>
      <c r="B1384" s="9" t="s">
        <v>9</v>
      </c>
      <c r="C1384" s="9">
        <v>1927</v>
      </c>
      <c r="D1384" s="10">
        <v>45729</v>
      </c>
      <c r="E1384" s="11" t="str">
        <f>+HYPERLINK("http://trademark.i-assist.jp/data/china/image_1927th/82424614.pdf","82424614")</f>
        <v>82424614</v>
      </c>
      <c r="F1384" s="9" t="s">
        <v>3942</v>
      </c>
      <c r="G1384" s="9" t="s">
        <v>3943</v>
      </c>
      <c r="H1384" s="9" t="s">
        <v>3944</v>
      </c>
      <c r="I1384" s="10">
        <v>45635</v>
      </c>
    </row>
    <row r="1385" spans="1:9" x14ac:dyDescent="0.15">
      <c r="A1385" s="9">
        <v>1384</v>
      </c>
      <c r="B1385" s="9" t="s">
        <v>9</v>
      </c>
      <c r="C1385" s="9">
        <v>1927</v>
      </c>
      <c r="D1385" s="10">
        <v>45729</v>
      </c>
      <c r="E1385" s="11" t="str">
        <f>+HYPERLINK("http://trademark.i-assist.jp/data/china/image_1927th/82424676.pdf","82424676")</f>
        <v>82424676</v>
      </c>
      <c r="F1385" s="9" t="s">
        <v>3945</v>
      </c>
      <c r="G1385" s="9" t="s">
        <v>3946</v>
      </c>
      <c r="H1385" s="9" t="s">
        <v>3947</v>
      </c>
      <c r="I1385" s="10">
        <v>45635</v>
      </c>
    </row>
    <row r="1386" spans="1:9" x14ac:dyDescent="0.15">
      <c r="A1386" s="9">
        <v>1385</v>
      </c>
      <c r="B1386" s="9" t="s">
        <v>9</v>
      </c>
      <c r="C1386" s="9">
        <v>1927</v>
      </c>
      <c r="D1386" s="10">
        <v>45729</v>
      </c>
      <c r="E1386" s="11" t="str">
        <f>+HYPERLINK("http://trademark.i-assist.jp/data/china/image_1927th/82424706.pdf","82424706")</f>
        <v>82424706</v>
      </c>
      <c r="F1386" s="9" t="s">
        <v>3948</v>
      </c>
      <c r="G1386" s="9" t="s">
        <v>3949</v>
      </c>
      <c r="H1386" s="9" t="s">
        <v>3950</v>
      </c>
      <c r="I1386" s="10">
        <v>45635</v>
      </c>
    </row>
    <row r="1387" spans="1:9" x14ac:dyDescent="0.15">
      <c r="A1387" s="9">
        <v>1386</v>
      </c>
      <c r="B1387" s="9" t="s">
        <v>9</v>
      </c>
      <c r="C1387" s="9">
        <v>1927</v>
      </c>
      <c r="D1387" s="10">
        <v>45729</v>
      </c>
      <c r="E1387" s="11" t="str">
        <f>+HYPERLINK("http://trademark.i-assist.jp/data/china/image_1927th/82424724.pdf","82424724")</f>
        <v>82424724</v>
      </c>
      <c r="F1387" s="9" t="s">
        <v>3951</v>
      </c>
      <c r="G1387" s="9" t="s">
        <v>3949</v>
      </c>
      <c r="H1387" s="9" t="s">
        <v>3952</v>
      </c>
      <c r="I1387" s="10">
        <v>45635</v>
      </c>
    </row>
    <row r="1388" spans="1:9" x14ac:dyDescent="0.15">
      <c r="A1388" s="9">
        <v>1387</v>
      </c>
      <c r="B1388" s="9" t="s">
        <v>9</v>
      </c>
      <c r="C1388" s="9">
        <v>1927</v>
      </c>
      <c r="D1388" s="10">
        <v>45729</v>
      </c>
      <c r="E1388" s="11" t="str">
        <f>+HYPERLINK("http://trademark.i-assist.jp/data/china/image_1927th/82424796.pdf","82424796")</f>
        <v>82424796</v>
      </c>
      <c r="F1388" s="9" t="s">
        <v>3953</v>
      </c>
      <c r="G1388" s="9" t="s">
        <v>3954</v>
      </c>
      <c r="H1388" s="9" t="s">
        <v>3955</v>
      </c>
      <c r="I1388" s="10">
        <v>45635</v>
      </c>
    </row>
    <row r="1389" spans="1:9" x14ac:dyDescent="0.15">
      <c r="A1389" s="9">
        <v>1388</v>
      </c>
      <c r="B1389" s="9" t="s">
        <v>9</v>
      </c>
      <c r="C1389" s="9">
        <v>1927</v>
      </c>
      <c r="D1389" s="10">
        <v>45729</v>
      </c>
      <c r="E1389" s="11" t="str">
        <f>+HYPERLINK("http://trademark.i-assist.jp/data/china/image_1927th/82425218.pdf","82425218")</f>
        <v>82425218</v>
      </c>
      <c r="F1389" s="9" t="s">
        <v>3956</v>
      </c>
      <c r="G1389" s="12" t="s">
        <v>3925</v>
      </c>
      <c r="H1389" s="12" t="s">
        <v>3957</v>
      </c>
      <c r="I1389" s="10">
        <v>45635</v>
      </c>
    </row>
    <row r="1390" spans="1:9" x14ac:dyDescent="0.15">
      <c r="A1390" s="9">
        <v>1389</v>
      </c>
      <c r="B1390" s="9" t="s">
        <v>9</v>
      </c>
      <c r="C1390" s="9">
        <v>1927</v>
      </c>
      <c r="D1390" s="10">
        <v>45729</v>
      </c>
      <c r="E1390" s="11" t="str">
        <f>+HYPERLINK("http://trademark.i-assist.jp/data/china/image_1927th/82425355.pdf","82425355")</f>
        <v>82425355</v>
      </c>
      <c r="F1390" s="9" t="s">
        <v>3958</v>
      </c>
      <c r="G1390" s="12" t="s">
        <v>3959</v>
      </c>
      <c r="H1390" s="9" t="s">
        <v>3960</v>
      </c>
      <c r="I1390" s="10">
        <v>45635</v>
      </c>
    </row>
    <row r="1391" spans="1:9" x14ac:dyDescent="0.15">
      <c r="A1391" s="9">
        <v>1390</v>
      </c>
      <c r="B1391" s="9" t="s">
        <v>9</v>
      </c>
      <c r="C1391" s="9">
        <v>1927</v>
      </c>
      <c r="D1391" s="10">
        <v>45729</v>
      </c>
      <c r="E1391" s="11" t="str">
        <f>+HYPERLINK("http://trademark.i-assist.jp/data/china/image_1927th/82425359.pdf","82425359")</f>
        <v>82425359</v>
      </c>
      <c r="F1391" s="9" t="s">
        <v>3961</v>
      </c>
      <c r="G1391" s="12" t="s">
        <v>3962</v>
      </c>
      <c r="H1391" s="9" t="s">
        <v>3963</v>
      </c>
      <c r="I1391" s="10">
        <v>45635</v>
      </c>
    </row>
    <row r="1392" spans="1:9" x14ac:dyDescent="0.15">
      <c r="A1392" s="9">
        <v>1391</v>
      </c>
      <c r="B1392" s="9" t="s">
        <v>9</v>
      </c>
      <c r="C1392" s="9">
        <v>1927</v>
      </c>
      <c r="D1392" s="10">
        <v>45729</v>
      </c>
      <c r="E1392" s="11" t="str">
        <f>+HYPERLINK("http://trademark.i-assist.jp/data/china/image_1927th/82425384.pdf","82425384")</f>
        <v>82425384</v>
      </c>
      <c r="F1392" s="9" t="s">
        <v>3964</v>
      </c>
      <c r="G1392" s="9" t="s">
        <v>3552</v>
      </c>
      <c r="H1392" s="9" t="s">
        <v>3965</v>
      </c>
      <c r="I1392" s="10">
        <v>45635</v>
      </c>
    </row>
    <row r="1393" spans="1:9" x14ac:dyDescent="0.15">
      <c r="A1393" s="9">
        <v>1392</v>
      </c>
      <c r="B1393" s="9" t="s">
        <v>9</v>
      </c>
      <c r="C1393" s="9">
        <v>1927</v>
      </c>
      <c r="D1393" s="10">
        <v>45729</v>
      </c>
      <c r="E1393" s="11" t="str">
        <f>+HYPERLINK("http://trademark.i-assist.jp/data/china/image_1927th/82425547.pdf","82425547")</f>
        <v>82425547</v>
      </c>
      <c r="F1393" s="9" t="s">
        <v>3966</v>
      </c>
      <c r="G1393" s="12" t="s">
        <v>3967</v>
      </c>
      <c r="H1393" s="12" t="s">
        <v>3968</v>
      </c>
      <c r="I1393" s="10">
        <v>45635</v>
      </c>
    </row>
    <row r="1394" spans="1:9" x14ac:dyDescent="0.15">
      <c r="A1394" s="9">
        <v>1393</v>
      </c>
      <c r="B1394" s="9" t="s">
        <v>9</v>
      </c>
      <c r="C1394" s="9">
        <v>1927</v>
      </c>
      <c r="D1394" s="10">
        <v>45729</v>
      </c>
      <c r="E1394" s="11" t="str">
        <f>+HYPERLINK("http://trademark.i-assist.jp/data/china/image_1927th/82425562.pdf","82425562")</f>
        <v>82425562</v>
      </c>
      <c r="F1394" s="9" t="s">
        <v>3969</v>
      </c>
      <c r="G1394" s="9" t="s">
        <v>3970</v>
      </c>
      <c r="H1394" s="9" t="s">
        <v>3971</v>
      </c>
      <c r="I1394" s="10">
        <v>45635</v>
      </c>
    </row>
    <row r="1395" spans="1:9" x14ac:dyDescent="0.15">
      <c r="A1395" s="9">
        <v>1394</v>
      </c>
      <c r="B1395" s="9" t="s">
        <v>9</v>
      </c>
      <c r="C1395" s="9">
        <v>1927</v>
      </c>
      <c r="D1395" s="10">
        <v>45729</v>
      </c>
      <c r="E1395" s="11" t="str">
        <f>+HYPERLINK("http://trademark.i-assist.jp/data/china/image_1927th/82425968.pdf","82425968")</f>
        <v>82425968</v>
      </c>
      <c r="F1395" s="9" t="s">
        <v>3972</v>
      </c>
      <c r="G1395" s="9" t="s">
        <v>3973</v>
      </c>
      <c r="H1395" s="9" t="s">
        <v>3974</v>
      </c>
      <c r="I1395" s="10">
        <v>45635</v>
      </c>
    </row>
    <row r="1396" spans="1:9" x14ac:dyDescent="0.15">
      <c r="A1396" s="9">
        <v>1395</v>
      </c>
      <c r="B1396" s="9" t="s">
        <v>9</v>
      </c>
      <c r="C1396" s="9">
        <v>1927</v>
      </c>
      <c r="D1396" s="10">
        <v>45729</v>
      </c>
      <c r="E1396" s="11" t="str">
        <f>+HYPERLINK("http://trademark.i-assist.jp/data/china/image_1927th/82425986.pdf","82425986")</f>
        <v>82425986</v>
      </c>
      <c r="F1396" s="9" t="s">
        <v>3975</v>
      </c>
      <c r="G1396" s="12" t="s">
        <v>3976</v>
      </c>
      <c r="H1396" s="9" t="s">
        <v>3977</v>
      </c>
      <c r="I1396" s="10">
        <v>45635</v>
      </c>
    </row>
    <row r="1397" spans="1:9" x14ac:dyDescent="0.15">
      <c r="A1397" s="9">
        <v>1396</v>
      </c>
      <c r="B1397" s="9" t="s">
        <v>9</v>
      </c>
      <c r="C1397" s="9">
        <v>1927</v>
      </c>
      <c r="D1397" s="10">
        <v>45729</v>
      </c>
      <c r="E1397" s="11" t="str">
        <f>+HYPERLINK("http://trademark.i-assist.jp/data/china/image_1927th/82426229.pdf","82426229")</f>
        <v>82426229</v>
      </c>
      <c r="F1397" s="9" t="s">
        <v>3978</v>
      </c>
      <c r="G1397" s="9" t="s">
        <v>3979</v>
      </c>
      <c r="H1397" s="9" t="s">
        <v>3980</v>
      </c>
      <c r="I1397" s="10">
        <v>45635</v>
      </c>
    </row>
    <row r="1398" spans="1:9" x14ac:dyDescent="0.15">
      <c r="A1398" s="9">
        <v>1397</v>
      </c>
      <c r="B1398" s="9" t="s">
        <v>9</v>
      </c>
      <c r="C1398" s="9">
        <v>1927</v>
      </c>
      <c r="D1398" s="10">
        <v>45729</v>
      </c>
      <c r="E1398" s="11" t="str">
        <f>+HYPERLINK("http://trademark.i-assist.jp/data/china/image_1927th/82426373.pdf","82426373")</f>
        <v>82426373</v>
      </c>
      <c r="F1398" s="9" t="s">
        <v>3981</v>
      </c>
      <c r="G1398" s="9" t="s">
        <v>3982</v>
      </c>
      <c r="H1398" s="12" t="s">
        <v>3983</v>
      </c>
      <c r="I1398" s="10">
        <v>45635</v>
      </c>
    </row>
    <row r="1399" spans="1:9" x14ac:dyDescent="0.15">
      <c r="A1399" s="9">
        <v>1398</v>
      </c>
      <c r="B1399" s="9" t="s">
        <v>9</v>
      </c>
      <c r="C1399" s="9">
        <v>1927</v>
      </c>
      <c r="D1399" s="10">
        <v>45729</v>
      </c>
      <c r="E1399" s="11" t="str">
        <f>+HYPERLINK("http://trademark.i-assist.jp/data/china/image_1927th/82426710.pdf","82426710")</f>
        <v>82426710</v>
      </c>
      <c r="F1399" s="9" t="s">
        <v>3984</v>
      </c>
      <c r="G1399" s="9" t="s">
        <v>190</v>
      </c>
      <c r="H1399" s="9" t="s">
        <v>3985</v>
      </c>
      <c r="I1399" s="10">
        <v>45635</v>
      </c>
    </row>
    <row r="1400" spans="1:9" x14ac:dyDescent="0.15">
      <c r="A1400" s="9">
        <v>1399</v>
      </c>
      <c r="B1400" s="9" t="s">
        <v>9</v>
      </c>
      <c r="C1400" s="9">
        <v>1927</v>
      </c>
      <c r="D1400" s="10">
        <v>45729</v>
      </c>
      <c r="E1400" s="11" t="str">
        <f>+HYPERLINK("http://trademark.i-assist.jp/data/china/image_1927th/82426854.pdf","82426854")</f>
        <v>82426854</v>
      </c>
      <c r="F1400" s="12" t="s">
        <v>3986</v>
      </c>
      <c r="G1400" s="9" t="s">
        <v>3987</v>
      </c>
      <c r="H1400" s="9" t="s">
        <v>3988</v>
      </c>
      <c r="I1400" s="10">
        <v>45635</v>
      </c>
    </row>
    <row r="1401" spans="1:9" x14ac:dyDescent="0.15">
      <c r="A1401" s="9">
        <v>1400</v>
      </c>
      <c r="B1401" s="9" t="s">
        <v>9</v>
      </c>
      <c r="C1401" s="9">
        <v>1927</v>
      </c>
      <c r="D1401" s="10">
        <v>45729</v>
      </c>
      <c r="E1401" s="11" t="str">
        <f>+HYPERLINK("http://trademark.i-assist.jp/data/china/image_1927th/82426920.pdf","82426920")</f>
        <v>82426920</v>
      </c>
      <c r="F1401" s="9" t="s">
        <v>3989</v>
      </c>
      <c r="G1401" s="12" t="s">
        <v>3990</v>
      </c>
      <c r="H1401" s="9" t="s">
        <v>3991</v>
      </c>
      <c r="I1401" s="10">
        <v>45635</v>
      </c>
    </row>
    <row r="1402" spans="1:9" x14ac:dyDescent="0.15">
      <c r="A1402" s="9">
        <v>1401</v>
      </c>
      <c r="B1402" s="9" t="s">
        <v>9</v>
      </c>
      <c r="C1402" s="9">
        <v>1927</v>
      </c>
      <c r="D1402" s="10">
        <v>45729</v>
      </c>
      <c r="E1402" s="11" t="str">
        <f>+HYPERLINK("http://trademark.i-assist.jp/data/china/image_1927th/82427113.pdf","82427113")</f>
        <v>82427113</v>
      </c>
      <c r="F1402" s="9" t="s">
        <v>3992</v>
      </c>
      <c r="G1402" s="9" t="s">
        <v>3993</v>
      </c>
      <c r="H1402" s="9" t="s">
        <v>3994</v>
      </c>
      <c r="I1402" s="10">
        <v>45635</v>
      </c>
    </row>
    <row r="1403" spans="1:9" x14ac:dyDescent="0.15">
      <c r="A1403" s="9">
        <v>1402</v>
      </c>
      <c r="B1403" s="9" t="s">
        <v>9</v>
      </c>
      <c r="C1403" s="9">
        <v>1927</v>
      </c>
      <c r="D1403" s="10">
        <v>45729</v>
      </c>
      <c r="E1403" s="11" t="str">
        <f>+HYPERLINK("http://trademark.i-assist.jp/data/china/image_1927th/82427179.pdf","82427179")</f>
        <v>82427179</v>
      </c>
      <c r="F1403" s="12" t="s">
        <v>3995</v>
      </c>
      <c r="G1403" s="9" t="s">
        <v>3996</v>
      </c>
      <c r="H1403" s="9" t="s">
        <v>3997</v>
      </c>
      <c r="I1403" s="10">
        <v>45635</v>
      </c>
    </row>
    <row r="1404" spans="1:9" x14ac:dyDescent="0.15">
      <c r="A1404" s="9">
        <v>1403</v>
      </c>
      <c r="B1404" s="9" t="s">
        <v>9</v>
      </c>
      <c r="C1404" s="9">
        <v>1927</v>
      </c>
      <c r="D1404" s="10">
        <v>45729</v>
      </c>
      <c r="E1404" s="11" t="str">
        <f>+HYPERLINK("http://trademark.i-assist.jp/data/china/image_1927th/82427373.pdf","82427373")</f>
        <v>82427373</v>
      </c>
      <c r="F1404" s="9" t="s">
        <v>3998</v>
      </c>
      <c r="G1404" s="9" t="s">
        <v>3999</v>
      </c>
      <c r="H1404" s="9" t="s">
        <v>4000</v>
      </c>
      <c r="I1404" s="10">
        <v>45635</v>
      </c>
    </row>
    <row r="1405" spans="1:9" x14ac:dyDescent="0.15">
      <c r="A1405" s="9">
        <v>1404</v>
      </c>
      <c r="B1405" s="9" t="s">
        <v>9</v>
      </c>
      <c r="C1405" s="9">
        <v>1927</v>
      </c>
      <c r="D1405" s="10">
        <v>45729</v>
      </c>
      <c r="E1405" s="11" t="str">
        <f>+HYPERLINK("http://trademark.i-assist.jp/data/china/image_1927th/82427516.pdf","82427516")</f>
        <v>82427516</v>
      </c>
      <c r="F1405" s="9" t="s">
        <v>4001</v>
      </c>
      <c r="G1405" s="9" t="s">
        <v>4002</v>
      </c>
      <c r="H1405" s="12" t="s">
        <v>4003</v>
      </c>
      <c r="I1405" s="10">
        <v>45635</v>
      </c>
    </row>
    <row r="1406" spans="1:9" x14ac:dyDescent="0.15">
      <c r="A1406" s="9">
        <v>1405</v>
      </c>
      <c r="B1406" s="9" t="s">
        <v>9</v>
      </c>
      <c r="C1406" s="9">
        <v>1927</v>
      </c>
      <c r="D1406" s="10">
        <v>45729</v>
      </c>
      <c r="E1406" s="11" t="str">
        <f>+HYPERLINK("http://trademark.i-assist.jp/data/china/image_1927th/82427932.pdf","82427932")</f>
        <v>82427932</v>
      </c>
      <c r="F1406" s="9" t="s">
        <v>4004</v>
      </c>
      <c r="G1406" s="12" t="s">
        <v>4005</v>
      </c>
      <c r="H1406" s="9" t="s">
        <v>4006</v>
      </c>
      <c r="I1406" s="10">
        <v>45635</v>
      </c>
    </row>
    <row r="1407" spans="1:9" x14ac:dyDescent="0.15">
      <c r="A1407" s="9">
        <v>1406</v>
      </c>
      <c r="B1407" s="9" t="s">
        <v>9</v>
      </c>
      <c r="C1407" s="9">
        <v>1927</v>
      </c>
      <c r="D1407" s="10">
        <v>45729</v>
      </c>
      <c r="E1407" s="11" t="str">
        <f>+HYPERLINK("http://trademark.i-assist.jp/data/china/image_1927th/82428208.pdf","82428208")</f>
        <v>82428208</v>
      </c>
      <c r="F1407" s="9" t="s">
        <v>4007</v>
      </c>
      <c r="G1407" s="9" t="s">
        <v>3954</v>
      </c>
      <c r="H1407" s="9" t="s">
        <v>4008</v>
      </c>
      <c r="I1407" s="10">
        <v>45635</v>
      </c>
    </row>
    <row r="1408" spans="1:9" x14ac:dyDescent="0.15">
      <c r="A1408" s="9">
        <v>1407</v>
      </c>
      <c r="B1408" s="9" t="s">
        <v>9</v>
      </c>
      <c r="C1408" s="9">
        <v>1927</v>
      </c>
      <c r="D1408" s="10">
        <v>45729</v>
      </c>
      <c r="E1408" s="11" t="str">
        <f>+HYPERLINK("http://trademark.i-assist.jp/data/china/image_1927th/82428440.pdf","82428440")</f>
        <v>82428440</v>
      </c>
      <c r="F1408" s="9" t="s">
        <v>4009</v>
      </c>
      <c r="G1408" s="9" t="s">
        <v>4010</v>
      </c>
      <c r="H1408" s="9" t="s">
        <v>4011</v>
      </c>
      <c r="I1408" s="10">
        <v>45635</v>
      </c>
    </row>
    <row r="1409" spans="1:9" x14ac:dyDescent="0.15">
      <c r="A1409" s="9">
        <v>1408</v>
      </c>
      <c r="B1409" s="9" t="s">
        <v>9</v>
      </c>
      <c r="C1409" s="9">
        <v>1927</v>
      </c>
      <c r="D1409" s="10">
        <v>45729</v>
      </c>
      <c r="E1409" s="11" t="str">
        <f>+HYPERLINK("http://trademark.i-assist.jp/data/china/image_1927th/82428578.pdf","82428578")</f>
        <v>82428578</v>
      </c>
      <c r="F1409" s="12" t="s">
        <v>4012</v>
      </c>
      <c r="G1409" s="9" t="s">
        <v>4013</v>
      </c>
      <c r="H1409" s="9" t="s">
        <v>4014</v>
      </c>
      <c r="I1409" s="10">
        <v>45635</v>
      </c>
    </row>
    <row r="1410" spans="1:9" x14ac:dyDescent="0.15">
      <c r="A1410" s="9">
        <v>1409</v>
      </c>
      <c r="B1410" s="9" t="s">
        <v>9</v>
      </c>
      <c r="C1410" s="9">
        <v>1927</v>
      </c>
      <c r="D1410" s="10">
        <v>45729</v>
      </c>
      <c r="E1410" s="11" t="str">
        <f>+HYPERLINK("http://trademark.i-assist.jp/data/china/image_1927th/82428770.pdf","82428770")</f>
        <v>82428770</v>
      </c>
      <c r="F1410" s="9" t="s">
        <v>4015</v>
      </c>
      <c r="G1410" s="9" t="s">
        <v>4016</v>
      </c>
      <c r="H1410" s="9" t="s">
        <v>4017</v>
      </c>
      <c r="I1410" s="10">
        <v>45635</v>
      </c>
    </row>
    <row r="1411" spans="1:9" x14ac:dyDescent="0.15">
      <c r="A1411" s="9">
        <v>1410</v>
      </c>
      <c r="B1411" s="9" t="s">
        <v>9</v>
      </c>
      <c r="C1411" s="9">
        <v>1927</v>
      </c>
      <c r="D1411" s="10">
        <v>45729</v>
      </c>
      <c r="E1411" s="11" t="str">
        <f>+HYPERLINK("http://trademark.i-assist.jp/data/china/image_1927th/82429049.pdf","82429049")</f>
        <v>82429049</v>
      </c>
      <c r="F1411" s="12" t="s">
        <v>4018</v>
      </c>
      <c r="G1411" s="9" t="s">
        <v>3987</v>
      </c>
      <c r="H1411" s="9" t="s">
        <v>4019</v>
      </c>
      <c r="I1411" s="10">
        <v>45635</v>
      </c>
    </row>
    <row r="1412" spans="1:9" x14ac:dyDescent="0.15">
      <c r="A1412" s="9">
        <v>1411</v>
      </c>
      <c r="B1412" s="9" t="s">
        <v>9</v>
      </c>
      <c r="C1412" s="9">
        <v>1927</v>
      </c>
      <c r="D1412" s="10">
        <v>45729</v>
      </c>
      <c r="E1412" s="11" t="str">
        <f>+HYPERLINK("http://trademark.i-assist.jp/data/china/image_1927th/82429169.pdf","82429169")</f>
        <v>82429169</v>
      </c>
      <c r="F1412" s="9" t="s">
        <v>4020</v>
      </c>
      <c r="G1412" s="12" t="s">
        <v>4021</v>
      </c>
      <c r="H1412" s="9" t="s">
        <v>4022</v>
      </c>
      <c r="I1412" s="10">
        <v>45635</v>
      </c>
    </row>
    <row r="1413" spans="1:9" x14ac:dyDescent="0.15">
      <c r="A1413" s="9">
        <v>1412</v>
      </c>
      <c r="B1413" s="9" t="s">
        <v>9</v>
      </c>
      <c r="C1413" s="9">
        <v>1927</v>
      </c>
      <c r="D1413" s="10">
        <v>45729</v>
      </c>
      <c r="E1413" s="11" t="str">
        <f>+HYPERLINK("http://trademark.i-assist.jp/data/china/image_1927th/82429171.pdf","82429171")</f>
        <v>82429171</v>
      </c>
      <c r="F1413" s="9" t="s">
        <v>4023</v>
      </c>
      <c r="G1413" s="9" t="s">
        <v>4024</v>
      </c>
      <c r="H1413" s="9" t="s">
        <v>4025</v>
      </c>
      <c r="I1413" s="10">
        <v>45635</v>
      </c>
    </row>
    <row r="1414" spans="1:9" x14ac:dyDescent="0.15">
      <c r="A1414" s="9">
        <v>1413</v>
      </c>
      <c r="B1414" s="9" t="s">
        <v>9</v>
      </c>
      <c r="C1414" s="9">
        <v>1927</v>
      </c>
      <c r="D1414" s="10">
        <v>45729</v>
      </c>
      <c r="E1414" s="11" t="str">
        <f>+HYPERLINK("http://trademark.i-assist.jp/data/china/image_1927th/82429249.pdf","82429249")</f>
        <v>82429249</v>
      </c>
      <c r="F1414" s="9" t="s">
        <v>4026</v>
      </c>
      <c r="G1414" s="9" t="s">
        <v>37</v>
      </c>
      <c r="H1414" s="9" t="s">
        <v>4027</v>
      </c>
      <c r="I1414" s="10">
        <v>45635</v>
      </c>
    </row>
    <row r="1415" spans="1:9" x14ac:dyDescent="0.15">
      <c r="A1415" s="9">
        <v>1414</v>
      </c>
      <c r="B1415" s="9" t="s">
        <v>9</v>
      </c>
      <c r="C1415" s="9">
        <v>1927</v>
      </c>
      <c r="D1415" s="10">
        <v>45729</v>
      </c>
      <c r="E1415" s="11" t="str">
        <f>+HYPERLINK("http://trademark.i-assist.jp/data/china/image_1927th/82429501.pdf","82429501")</f>
        <v>82429501</v>
      </c>
      <c r="F1415" s="9" t="s">
        <v>4028</v>
      </c>
      <c r="G1415" s="9" t="s">
        <v>4029</v>
      </c>
      <c r="H1415" s="9" t="s">
        <v>4030</v>
      </c>
      <c r="I1415" s="10">
        <v>45635</v>
      </c>
    </row>
    <row r="1416" spans="1:9" x14ac:dyDescent="0.15">
      <c r="A1416" s="9">
        <v>1415</v>
      </c>
      <c r="B1416" s="9" t="s">
        <v>9</v>
      </c>
      <c r="C1416" s="9">
        <v>1927</v>
      </c>
      <c r="D1416" s="10">
        <v>45729</v>
      </c>
      <c r="E1416" s="11" t="str">
        <f>+HYPERLINK("http://trademark.i-assist.jp/data/china/image_1927th/82429558.pdf","82429558")</f>
        <v>82429558</v>
      </c>
      <c r="F1416" s="9" t="s">
        <v>4031</v>
      </c>
      <c r="G1416" s="9" t="s">
        <v>26</v>
      </c>
      <c r="H1416" s="9" t="s">
        <v>4032</v>
      </c>
      <c r="I1416" s="10">
        <v>45635</v>
      </c>
    </row>
    <row r="1417" spans="1:9" x14ac:dyDescent="0.15">
      <c r="A1417" s="9">
        <v>1416</v>
      </c>
      <c r="B1417" s="9" t="s">
        <v>9</v>
      </c>
      <c r="C1417" s="9">
        <v>1927</v>
      </c>
      <c r="D1417" s="10">
        <v>45729</v>
      </c>
      <c r="E1417" s="11" t="str">
        <f>+HYPERLINK("http://trademark.i-assist.jp/data/china/image_1927th/82429580.pdf","82429580")</f>
        <v>82429580</v>
      </c>
      <c r="F1417" s="9" t="s">
        <v>4033</v>
      </c>
      <c r="G1417" s="12" t="s">
        <v>4034</v>
      </c>
      <c r="H1417" s="9" t="s">
        <v>4035</v>
      </c>
      <c r="I1417" s="10">
        <v>45635</v>
      </c>
    </row>
    <row r="1418" spans="1:9" x14ac:dyDescent="0.15">
      <c r="A1418" s="9">
        <v>1417</v>
      </c>
      <c r="B1418" s="9" t="s">
        <v>9</v>
      </c>
      <c r="C1418" s="9">
        <v>1927</v>
      </c>
      <c r="D1418" s="10">
        <v>45729</v>
      </c>
      <c r="E1418" s="11" t="str">
        <f>+HYPERLINK("http://trademark.i-assist.jp/data/china/image_1927th/82429645.pdf","82429645")</f>
        <v>82429645</v>
      </c>
      <c r="F1418" s="12" t="s">
        <v>4036</v>
      </c>
      <c r="G1418" s="9" t="s">
        <v>4037</v>
      </c>
      <c r="H1418" s="9" t="s">
        <v>4038</v>
      </c>
      <c r="I1418" s="10">
        <v>45635</v>
      </c>
    </row>
    <row r="1419" spans="1:9" x14ac:dyDescent="0.15">
      <c r="A1419" s="9">
        <v>1418</v>
      </c>
      <c r="B1419" s="9" t="s">
        <v>9</v>
      </c>
      <c r="C1419" s="9">
        <v>1927</v>
      </c>
      <c r="D1419" s="10">
        <v>45729</v>
      </c>
      <c r="E1419" s="11" t="str">
        <f>+HYPERLINK("http://trademark.i-assist.jp/data/china/image_1927th/82429804.pdf","82429804")</f>
        <v>82429804</v>
      </c>
      <c r="F1419" s="12" t="s">
        <v>4039</v>
      </c>
      <c r="G1419" s="9" t="s">
        <v>4040</v>
      </c>
      <c r="H1419" s="9" t="s">
        <v>4041</v>
      </c>
      <c r="I1419" s="10">
        <v>45635</v>
      </c>
    </row>
    <row r="1420" spans="1:9" x14ac:dyDescent="0.15">
      <c r="A1420" s="9">
        <v>1419</v>
      </c>
      <c r="B1420" s="9" t="s">
        <v>9</v>
      </c>
      <c r="C1420" s="9">
        <v>1927</v>
      </c>
      <c r="D1420" s="10">
        <v>45729</v>
      </c>
      <c r="E1420" s="11" t="str">
        <f>+HYPERLINK("http://trademark.i-assist.jp/data/china/image_1927th/82430257.pdf","82430257")</f>
        <v>82430257</v>
      </c>
      <c r="F1420" s="9" t="s">
        <v>4042</v>
      </c>
      <c r="G1420" s="9" t="s">
        <v>4043</v>
      </c>
      <c r="H1420" s="12" t="s">
        <v>4044</v>
      </c>
      <c r="I1420" s="10">
        <v>45635</v>
      </c>
    </row>
    <row r="1421" spans="1:9" x14ac:dyDescent="0.15">
      <c r="A1421" s="9">
        <v>1420</v>
      </c>
      <c r="B1421" s="9" t="s">
        <v>9</v>
      </c>
      <c r="C1421" s="9">
        <v>1927</v>
      </c>
      <c r="D1421" s="10">
        <v>45729</v>
      </c>
      <c r="E1421" s="11" t="str">
        <f>+HYPERLINK("http://trademark.i-assist.jp/data/china/image_1927th/82430286.pdf","82430286")</f>
        <v>82430286</v>
      </c>
      <c r="F1421" s="9" t="s">
        <v>4045</v>
      </c>
      <c r="G1421" s="9" t="s">
        <v>4046</v>
      </c>
      <c r="H1421" s="9" t="s">
        <v>4047</v>
      </c>
      <c r="I1421" s="10">
        <v>45635</v>
      </c>
    </row>
    <row r="1422" spans="1:9" x14ac:dyDescent="0.15">
      <c r="A1422" s="9">
        <v>1421</v>
      </c>
      <c r="B1422" s="9" t="s">
        <v>9</v>
      </c>
      <c r="C1422" s="9">
        <v>1927</v>
      </c>
      <c r="D1422" s="10">
        <v>45729</v>
      </c>
      <c r="E1422" s="11" t="str">
        <f>+HYPERLINK("http://trademark.i-assist.jp/data/china/image_1927th/82430493.pdf","82430493")</f>
        <v>82430493</v>
      </c>
      <c r="F1422" s="9" t="s">
        <v>4048</v>
      </c>
      <c r="G1422" s="9" t="s">
        <v>194</v>
      </c>
      <c r="H1422" s="9" t="s">
        <v>4049</v>
      </c>
      <c r="I1422" s="10">
        <v>45635</v>
      </c>
    </row>
    <row r="1423" spans="1:9" x14ac:dyDescent="0.15">
      <c r="A1423" s="9">
        <v>1422</v>
      </c>
      <c r="B1423" s="9" t="s">
        <v>9</v>
      </c>
      <c r="C1423" s="9">
        <v>1927</v>
      </c>
      <c r="D1423" s="10">
        <v>45729</v>
      </c>
      <c r="E1423" s="11" t="str">
        <f>+HYPERLINK("http://trademark.i-assist.jp/data/china/image_1927th/82430503.pdf","82430503")</f>
        <v>82430503</v>
      </c>
      <c r="F1423" s="9" t="s">
        <v>4050</v>
      </c>
      <c r="G1423" s="9" t="s">
        <v>4051</v>
      </c>
      <c r="H1423" s="12" t="s">
        <v>4052</v>
      </c>
      <c r="I1423" s="10">
        <v>45635</v>
      </c>
    </row>
    <row r="1424" spans="1:9" x14ac:dyDescent="0.15">
      <c r="A1424" s="9">
        <v>1423</v>
      </c>
      <c r="B1424" s="9" t="s">
        <v>9</v>
      </c>
      <c r="C1424" s="9">
        <v>1927</v>
      </c>
      <c r="D1424" s="10">
        <v>45729</v>
      </c>
      <c r="E1424" s="11" t="str">
        <f>+HYPERLINK("http://trademark.i-assist.jp/data/china/image_1927th/82430669.pdf","82430669")</f>
        <v>82430669</v>
      </c>
      <c r="F1424" s="9" t="s">
        <v>4053</v>
      </c>
      <c r="G1424" s="9" t="s">
        <v>191</v>
      </c>
      <c r="H1424" s="9" t="s">
        <v>4054</v>
      </c>
      <c r="I1424" s="10">
        <v>45635</v>
      </c>
    </row>
    <row r="1425" spans="1:9" x14ac:dyDescent="0.15">
      <c r="A1425" s="9">
        <v>1424</v>
      </c>
      <c r="B1425" s="9" t="s">
        <v>9</v>
      </c>
      <c r="C1425" s="9">
        <v>1927</v>
      </c>
      <c r="D1425" s="10">
        <v>45729</v>
      </c>
      <c r="E1425" s="11" t="str">
        <f>+HYPERLINK("http://trademark.i-assist.jp/data/china/image_1927th/82430717.pdf","82430717")</f>
        <v>82430717</v>
      </c>
      <c r="F1425" s="9" t="s">
        <v>4055</v>
      </c>
      <c r="G1425" s="9" t="s">
        <v>4056</v>
      </c>
      <c r="H1425" s="9" t="s">
        <v>4057</v>
      </c>
      <c r="I1425" s="10">
        <v>45635</v>
      </c>
    </row>
    <row r="1426" spans="1:9" x14ac:dyDescent="0.15">
      <c r="A1426" s="9">
        <v>1425</v>
      </c>
      <c r="B1426" s="9" t="s">
        <v>9</v>
      </c>
      <c r="C1426" s="9">
        <v>1927</v>
      </c>
      <c r="D1426" s="10">
        <v>45729</v>
      </c>
      <c r="E1426" s="11" t="str">
        <f>+HYPERLINK("http://trademark.i-assist.jp/data/china/image_1927th/82431058.pdf","82431058")</f>
        <v>82431058</v>
      </c>
      <c r="F1426" s="9" t="s">
        <v>4058</v>
      </c>
      <c r="G1426" s="9" t="s">
        <v>4059</v>
      </c>
      <c r="H1426" s="12" t="s">
        <v>4060</v>
      </c>
      <c r="I1426" s="10">
        <v>45635</v>
      </c>
    </row>
    <row r="1427" spans="1:9" x14ac:dyDescent="0.15">
      <c r="A1427" s="9">
        <v>1426</v>
      </c>
      <c r="B1427" s="9" t="s">
        <v>9</v>
      </c>
      <c r="C1427" s="9">
        <v>1927</v>
      </c>
      <c r="D1427" s="10">
        <v>45729</v>
      </c>
      <c r="E1427" s="11" t="str">
        <f>+HYPERLINK("http://trademark.i-assist.jp/data/china/image_1927th/82431260.pdf","82431260")</f>
        <v>82431260</v>
      </c>
      <c r="F1427" s="9" t="s">
        <v>4061</v>
      </c>
      <c r="G1427" s="9" t="s">
        <v>4062</v>
      </c>
      <c r="H1427" s="9" t="s">
        <v>4063</v>
      </c>
      <c r="I1427" s="10">
        <v>45635</v>
      </c>
    </row>
    <row r="1428" spans="1:9" x14ac:dyDescent="0.15">
      <c r="A1428" s="9">
        <v>1427</v>
      </c>
      <c r="B1428" s="9" t="s">
        <v>9</v>
      </c>
      <c r="C1428" s="9">
        <v>1927</v>
      </c>
      <c r="D1428" s="10">
        <v>45729</v>
      </c>
      <c r="E1428" s="11" t="str">
        <f>+HYPERLINK("http://trademark.i-assist.jp/data/china/image_1927th/82431656.pdf","82431656")</f>
        <v>82431656</v>
      </c>
      <c r="F1428" s="12" t="s">
        <v>3918</v>
      </c>
      <c r="G1428" s="12" t="s">
        <v>3919</v>
      </c>
      <c r="H1428" s="9" t="s">
        <v>4064</v>
      </c>
      <c r="I1428" s="10">
        <v>45635</v>
      </c>
    </row>
    <row r="1429" spans="1:9" x14ac:dyDescent="0.15">
      <c r="A1429" s="9">
        <v>1428</v>
      </c>
      <c r="B1429" s="9" t="s">
        <v>9</v>
      </c>
      <c r="C1429" s="9">
        <v>1927</v>
      </c>
      <c r="D1429" s="10">
        <v>45729</v>
      </c>
      <c r="E1429" s="11" t="str">
        <f>+HYPERLINK("http://trademark.i-assist.jp/data/china/image_1927th/82432028.pdf","82432028")</f>
        <v>82432028</v>
      </c>
      <c r="F1429" s="9" t="s">
        <v>4065</v>
      </c>
      <c r="G1429" s="9" t="s">
        <v>194</v>
      </c>
      <c r="H1429" s="9" t="s">
        <v>4066</v>
      </c>
      <c r="I1429" s="10">
        <v>45635</v>
      </c>
    </row>
    <row r="1430" spans="1:9" x14ac:dyDescent="0.15">
      <c r="A1430" s="9">
        <v>1429</v>
      </c>
      <c r="B1430" s="9" t="s">
        <v>9</v>
      </c>
      <c r="C1430" s="9">
        <v>1927</v>
      </c>
      <c r="D1430" s="10">
        <v>45729</v>
      </c>
      <c r="E1430" s="11" t="str">
        <f>+HYPERLINK("http://trademark.i-assist.jp/data/china/image_1927th/82432304.pdf","82432304")</f>
        <v>82432304</v>
      </c>
      <c r="F1430" s="12" t="s">
        <v>4067</v>
      </c>
      <c r="G1430" s="9" t="s">
        <v>4068</v>
      </c>
      <c r="H1430" s="12" t="s">
        <v>4069</v>
      </c>
      <c r="I1430" s="10">
        <v>45635</v>
      </c>
    </row>
    <row r="1431" spans="1:9" x14ac:dyDescent="0.15">
      <c r="A1431" s="9">
        <v>1430</v>
      </c>
      <c r="B1431" s="9" t="s">
        <v>9</v>
      </c>
      <c r="C1431" s="9">
        <v>1927</v>
      </c>
      <c r="D1431" s="10">
        <v>45729</v>
      </c>
      <c r="E1431" s="11" t="str">
        <f>+HYPERLINK("http://trademark.i-assist.jp/data/china/image_1927th/82432344.pdf","82432344")</f>
        <v>82432344</v>
      </c>
      <c r="F1431" s="9" t="s">
        <v>4070</v>
      </c>
      <c r="G1431" s="9" t="s">
        <v>37</v>
      </c>
      <c r="H1431" s="9" t="s">
        <v>4071</v>
      </c>
      <c r="I1431" s="10">
        <v>45635</v>
      </c>
    </row>
    <row r="1432" spans="1:9" x14ac:dyDescent="0.15">
      <c r="A1432" s="9">
        <v>1431</v>
      </c>
      <c r="B1432" s="9" t="s">
        <v>9</v>
      </c>
      <c r="C1432" s="9">
        <v>1927</v>
      </c>
      <c r="D1432" s="10">
        <v>45729</v>
      </c>
      <c r="E1432" s="11" t="str">
        <f>+HYPERLINK("http://trademark.i-assist.jp/data/china/image_1927th/82432367.pdf","82432367")</f>
        <v>82432367</v>
      </c>
      <c r="F1432" s="9" t="s">
        <v>4072</v>
      </c>
      <c r="G1432" s="12" t="s">
        <v>4073</v>
      </c>
      <c r="H1432" s="9" t="s">
        <v>4074</v>
      </c>
      <c r="I1432" s="10">
        <v>45635</v>
      </c>
    </row>
    <row r="1433" spans="1:9" x14ac:dyDescent="0.15">
      <c r="A1433" s="9">
        <v>1432</v>
      </c>
      <c r="B1433" s="9" t="s">
        <v>9</v>
      </c>
      <c r="C1433" s="9">
        <v>1927</v>
      </c>
      <c r="D1433" s="10">
        <v>45729</v>
      </c>
      <c r="E1433" s="11" t="str">
        <f>+HYPERLINK("http://trademark.i-assist.jp/data/china/image_1927th/82432586.pdf","82432586")</f>
        <v>82432586</v>
      </c>
      <c r="F1433" s="9" t="s">
        <v>4075</v>
      </c>
      <c r="G1433" s="9" t="s">
        <v>4076</v>
      </c>
      <c r="H1433" s="9" t="s">
        <v>4077</v>
      </c>
      <c r="I1433" s="10">
        <v>45635</v>
      </c>
    </row>
    <row r="1434" spans="1:9" x14ac:dyDescent="0.15">
      <c r="A1434" s="9">
        <v>1433</v>
      </c>
      <c r="B1434" s="9" t="s">
        <v>9</v>
      </c>
      <c r="C1434" s="9">
        <v>1927</v>
      </c>
      <c r="D1434" s="10">
        <v>45729</v>
      </c>
      <c r="E1434" s="11" t="str">
        <f>+HYPERLINK("http://trademark.i-assist.jp/data/china/image_1927th/82432607.pdf","82432607")</f>
        <v>82432607</v>
      </c>
      <c r="F1434" s="9" t="s">
        <v>4078</v>
      </c>
      <c r="G1434" s="12" t="s">
        <v>4079</v>
      </c>
      <c r="H1434" s="9" t="s">
        <v>4080</v>
      </c>
      <c r="I1434" s="10">
        <v>45635</v>
      </c>
    </row>
    <row r="1435" spans="1:9" x14ac:dyDescent="0.15">
      <c r="A1435" s="9">
        <v>1434</v>
      </c>
      <c r="B1435" s="9" t="s">
        <v>9</v>
      </c>
      <c r="C1435" s="9">
        <v>1927</v>
      </c>
      <c r="D1435" s="10">
        <v>45729</v>
      </c>
      <c r="E1435" s="11" t="str">
        <f>+HYPERLINK("http://trademark.i-assist.jp/data/china/image_1927th/82432810.pdf","82432810")</f>
        <v>82432810</v>
      </c>
      <c r="F1435" s="9" t="s">
        <v>4081</v>
      </c>
      <c r="G1435" s="9" t="s">
        <v>4040</v>
      </c>
      <c r="H1435" s="9" t="s">
        <v>4082</v>
      </c>
      <c r="I1435" s="10">
        <v>45635</v>
      </c>
    </row>
    <row r="1436" spans="1:9" x14ac:dyDescent="0.15">
      <c r="A1436" s="9">
        <v>1435</v>
      </c>
      <c r="B1436" s="9" t="s">
        <v>9</v>
      </c>
      <c r="C1436" s="9">
        <v>1927</v>
      </c>
      <c r="D1436" s="10">
        <v>45729</v>
      </c>
      <c r="E1436" s="11" t="str">
        <f>+HYPERLINK("http://trademark.i-assist.jp/data/china/image_1927th/82433209.pdf","82433209")</f>
        <v>82433209</v>
      </c>
      <c r="F1436" s="9" t="s">
        <v>81</v>
      </c>
      <c r="G1436" s="9" t="s">
        <v>82</v>
      </c>
      <c r="H1436" s="9" t="s">
        <v>4083</v>
      </c>
      <c r="I1436" s="10">
        <v>45635</v>
      </c>
    </row>
    <row r="1437" spans="1:9" x14ac:dyDescent="0.15">
      <c r="A1437" s="9">
        <v>1436</v>
      </c>
      <c r="B1437" s="9" t="s">
        <v>9</v>
      </c>
      <c r="C1437" s="9">
        <v>1927</v>
      </c>
      <c r="D1437" s="10">
        <v>45729</v>
      </c>
      <c r="E1437" s="11" t="str">
        <f>+HYPERLINK("http://trademark.i-assist.jp/data/china/image_1927th/82433646.pdf","82433646")</f>
        <v>82433646</v>
      </c>
      <c r="F1437" s="12" t="s">
        <v>4084</v>
      </c>
      <c r="G1437" s="9" t="s">
        <v>3499</v>
      </c>
      <c r="H1437" s="9" t="s">
        <v>4085</v>
      </c>
      <c r="I1437" s="10">
        <v>45635</v>
      </c>
    </row>
    <row r="1438" spans="1:9" x14ac:dyDescent="0.15">
      <c r="A1438" s="9">
        <v>1437</v>
      </c>
      <c r="B1438" s="9" t="s">
        <v>9</v>
      </c>
      <c r="C1438" s="9">
        <v>1927</v>
      </c>
      <c r="D1438" s="10">
        <v>45729</v>
      </c>
      <c r="E1438" s="11" t="str">
        <f>+HYPERLINK("http://trademark.i-assist.jp/data/china/image_1927th/82433796.pdf","82433796")</f>
        <v>82433796</v>
      </c>
      <c r="F1438" s="9" t="s">
        <v>4086</v>
      </c>
      <c r="G1438" s="9" t="s">
        <v>4087</v>
      </c>
      <c r="H1438" s="9" t="s">
        <v>4088</v>
      </c>
      <c r="I1438" s="10">
        <v>45635</v>
      </c>
    </row>
    <row r="1439" spans="1:9" x14ac:dyDescent="0.15">
      <c r="A1439" s="9">
        <v>1438</v>
      </c>
      <c r="B1439" s="9" t="s">
        <v>9</v>
      </c>
      <c r="C1439" s="9">
        <v>1927</v>
      </c>
      <c r="D1439" s="10">
        <v>45729</v>
      </c>
      <c r="E1439" s="11" t="str">
        <f>+HYPERLINK("http://trademark.i-assist.jp/data/china/image_1927th/82433874.pdf","82433874")</f>
        <v>82433874</v>
      </c>
      <c r="F1439" s="9" t="s">
        <v>4089</v>
      </c>
      <c r="G1439" s="9" t="s">
        <v>4090</v>
      </c>
      <c r="H1439" s="9" t="s">
        <v>4091</v>
      </c>
      <c r="I1439" s="10">
        <v>45635</v>
      </c>
    </row>
    <row r="1440" spans="1:9" x14ac:dyDescent="0.15">
      <c r="A1440" s="9">
        <v>1439</v>
      </c>
      <c r="B1440" s="9" t="s">
        <v>9</v>
      </c>
      <c r="C1440" s="9">
        <v>1927</v>
      </c>
      <c r="D1440" s="10">
        <v>45729</v>
      </c>
      <c r="E1440" s="11" t="str">
        <f>+HYPERLINK("http://trademark.i-assist.jp/data/china/image_1927th/82433879.pdf","82433879")</f>
        <v>82433879</v>
      </c>
      <c r="F1440" s="9" t="s">
        <v>4092</v>
      </c>
      <c r="G1440" s="9" t="s">
        <v>4093</v>
      </c>
      <c r="H1440" s="9" t="s">
        <v>4094</v>
      </c>
      <c r="I1440" s="10">
        <v>45635</v>
      </c>
    </row>
    <row r="1441" spans="1:9" x14ac:dyDescent="0.15">
      <c r="A1441" s="9">
        <v>1440</v>
      </c>
      <c r="B1441" s="9" t="s">
        <v>9</v>
      </c>
      <c r="C1441" s="9">
        <v>1927</v>
      </c>
      <c r="D1441" s="10">
        <v>45729</v>
      </c>
      <c r="E1441" s="11" t="str">
        <f>+HYPERLINK("http://trademark.i-assist.jp/data/china/image_1927th/82434203.pdf","82434203")</f>
        <v>82434203</v>
      </c>
      <c r="F1441" s="9" t="s">
        <v>4095</v>
      </c>
      <c r="G1441" s="9" t="s">
        <v>4096</v>
      </c>
      <c r="H1441" s="9" t="s">
        <v>4097</v>
      </c>
      <c r="I1441" s="10">
        <v>45635</v>
      </c>
    </row>
    <row r="1442" spans="1:9" x14ac:dyDescent="0.15">
      <c r="A1442" s="9">
        <v>1441</v>
      </c>
      <c r="B1442" s="9" t="s">
        <v>9</v>
      </c>
      <c r="C1442" s="9">
        <v>1927</v>
      </c>
      <c r="D1442" s="10">
        <v>45729</v>
      </c>
      <c r="E1442" s="11" t="str">
        <f>+HYPERLINK("http://trademark.i-assist.jp/data/china/image_1927th/82434365.pdf","82434365")</f>
        <v>82434365</v>
      </c>
      <c r="F1442" s="9" t="s">
        <v>4098</v>
      </c>
      <c r="G1442" s="12" t="s">
        <v>4099</v>
      </c>
      <c r="H1442" s="9" t="s">
        <v>4100</v>
      </c>
      <c r="I1442" s="10">
        <v>45635</v>
      </c>
    </row>
    <row r="1443" spans="1:9" x14ac:dyDescent="0.15">
      <c r="A1443" s="9">
        <v>1442</v>
      </c>
      <c r="B1443" s="9" t="s">
        <v>9</v>
      </c>
      <c r="C1443" s="9">
        <v>1927</v>
      </c>
      <c r="D1443" s="10">
        <v>45729</v>
      </c>
      <c r="E1443" s="11" t="str">
        <f>+HYPERLINK("http://trademark.i-assist.jp/data/china/image_1927th/82434367.pdf","82434367")</f>
        <v>82434367</v>
      </c>
      <c r="F1443" s="9" t="s">
        <v>4101</v>
      </c>
      <c r="G1443" s="12" t="s">
        <v>4099</v>
      </c>
      <c r="H1443" s="9" t="s">
        <v>4102</v>
      </c>
      <c r="I1443" s="10">
        <v>45635</v>
      </c>
    </row>
    <row r="1444" spans="1:9" x14ac:dyDescent="0.15">
      <c r="A1444" s="9">
        <v>1443</v>
      </c>
      <c r="B1444" s="9" t="s">
        <v>9</v>
      </c>
      <c r="C1444" s="9">
        <v>1927</v>
      </c>
      <c r="D1444" s="10">
        <v>45729</v>
      </c>
      <c r="E1444" s="11" t="str">
        <f>+HYPERLINK("http://trademark.i-assist.jp/data/china/image_1927th/82434378.pdf","82434378")</f>
        <v>82434378</v>
      </c>
      <c r="F1444" s="9" t="s">
        <v>4103</v>
      </c>
      <c r="G1444" s="9" t="s">
        <v>4104</v>
      </c>
      <c r="H1444" s="9" t="s">
        <v>4105</v>
      </c>
      <c r="I1444" s="10">
        <v>45635</v>
      </c>
    </row>
    <row r="1445" spans="1:9" x14ac:dyDescent="0.15">
      <c r="A1445" s="9">
        <v>1444</v>
      </c>
      <c r="B1445" s="9" t="s">
        <v>9</v>
      </c>
      <c r="C1445" s="9">
        <v>1927</v>
      </c>
      <c r="D1445" s="10">
        <v>45729</v>
      </c>
      <c r="E1445" s="11" t="str">
        <f>+HYPERLINK("http://trademark.i-assist.jp/data/china/image_1927th/82435097.pdf","82435097")</f>
        <v>82435097</v>
      </c>
      <c r="F1445" s="9" t="s">
        <v>4106</v>
      </c>
      <c r="G1445" s="9" t="s">
        <v>4040</v>
      </c>
      <c r="H1445" s="9" t="s">
        <v>4107</v>
      </c>
      <c r="I1445" s="10">
        <v>45635</v>
      </c>
    </row>
    <row r="1446" spans="1:9" x14ac:dyDescent="0.15">
      <c r="A1446" s="9">
        <v>1445</v>
      </c>
      <c r="B1446" s="9" t="s">
        <v>9</v>
      </c>
      <c r="C1446" s="9">
        <v>1927</v>
      </c>
      <c r="D1446" s="10">
        <v>45729</v>
      </c>
      <c r="E1446" s="11" t="str">
        <f>+HYPERLINK("http://trademark.i-assist.jp/data/china/image_1927th/82435202.pdf","82435202")</f>
        <v>82435202</v>
      </c>
      <c r="F1446" s="9" t="s">
        <v>4108</v>
      </c>
      <c r="G1446" s="9" t="s">
        <v>4109</v>
      </c>
      <c r="H1446" s="9" t="s">
        <v>4110</v>
      </c>
      <c r="I1446" s="10">
        <v>45635</v>
      </c>
    </row>
    <row r="1447" spans="1:9" x14ac:dyDescent="0.15">
      <c r="A1447" s="9">
        <v>1446</v>
      </c>
      <c r="B1447" s="9" t="s">
        <v>9</v>
      </c>
      <c r="C1447" s="9">
        <v>1927</v>
      </c>
      <c r="D1447" s="10">
        <v>45729</v>
      </c>
      <c r="E1447" s="11" t="str">
        <f>+HYPERLINK("http://trademark.i-assist.jp/data/china/image_1927th/82435302.pdf","82435302")</f>
        <v>82435302</v>
      </c>
      <c r="F1447" s="12" t="s">
        <v>4111</v>
      </c>
      <c r="G1447" s="9" t="s">
        <v>4112</v>
      </c>
      <c r="H1447" s="9" t="s">
        <v>4113</v>
      </c>
      <c r="I1447" s="10">
        <v>45635</v>
      </c>
    </row>
    <row r="1448" spans="1:9" x14ac:dyDescent="0.15">
      <c r="A1448" s="9">
        <v>1447</v>
      </c>
      <c r="B1448" s="9" t="s">
        <v>9</v>
      </c>
      <c r="C1448" s="9">
        <v>1927</v>
      </c>
      <c r="D1448" s="10">
        <v>45729</v>
      </c>
      <c r="E1448" s="11" t="str">
        <f>+HYPERLINK("http://trademark.i-assist.jp/data/china/image_1927th/82435337.pdf","82435337")</f>
        <v>82435337</v>
      </c>
      <c r="F1448" s="9" t="s">
        <v>4114</v>
      </c>
      <c r="G1448" s="12" t="s">
        <v>4115</v>
      </c>
      <c r="H1448" s="9" t="s">
        <v>4116</v>
      </c>
      <c r="I1448" s="10">
        <v>45635</v>
      </c>
    </row>
    <row r="1449" spans="1:9" x14ac:dyDescent="0.15">
      <c r="A1449" s="9">
        <v>1448</v>
      </c>
      <c r="B1449" s="9" t="s">
        <v>9</v>
      </c>
      <c r="C1449" s="9">
        <v>1927</v>
      </c>
      <c r="D1449" s="10">
        <v>45729</v>
      </c>
      <c r="E1449" s="11" t="str">
        <f>+HYPERLINK("http://trademark.i-assist.jp/data/china/image_1927th/82435731.pdf","82435731")</f>
        <v>82435731</v>
      </c>
      <c r="F1449" s="9" t="s">
        <v>4117</v>
      </c>
      <c r="G1449" s="9" t="s">
        <v>61</v>
      </c>
      <c r="H1449" s="9" t="s">
        <v>4118</v>
      </c>
      <c r="I1449" s="10">
        <v>45635</v>
      </c>
    </row>
    <row r="1450" spans="1:9" x14ac:dyDescent="0.15">
      <c r="A1450" s="9">
        <v>1449</v>
      </c>
      <c r="B1450" s="9" t="s">
        <v>9</v>
      </c>
      <c r="C1450" s="9">
        <v>1927</v>
      </c>
      <c r="D1450" s="10">
        <v>45729</v>
      </c>
      <c r="E1450" s="11" t="str">
        <f>+HYPERLINK("http://trademark.i-assist.jp/data/china/image_1927th/82435871.pdf","82435871")</f>
        <v>82435871</v>
      </c>
      <c r="F1450" s="9" t="s">
        <v>4119</v>
      </c>
      <c r="G1450" s="9" t="s">
        <v>3993</v>
      </c>
      <c r="H1450" s="12" t="s">
        <v>4120</v>
      </c>
      <c r="I1450" s="10">
        <v>45635</v>
      </c>
    </row>
    <row r="1451" spans="1:9" x14ac:dyDescent="0.15">
      <c r="A1451" s="9">
        <v>1450</v>
      </c>
      <c r="B1451" s="9" t="s">
        <v>9</v>
      </c>
      <c r="C1451" s="9">
        <v>1927</v>
      </c>
      <c r="D1451" s="10">
        <v>45729</v>
      </c>
      <c r="E1451" s="11" t="str">
        <f>+HYPERLINK("http://trademark.i-assist.jp/data/china/image_1927th/82436083.pdf","82436083")</f>
        <v>82436083</v>
      </c>
      <c r="F1451" s="9" t="s">
        <v>4121</v>
      </c>
      <c r="G1451" s="9" t="s">
        <v>3908</v>
      </c>
      <c r="H1451" s="9" t="s">
        <v>4122</v>
      </c>
      <c r="I1451" s="10">
        <v>45635</v>
      </c>
    </row>
    <row r="1452" spans="1:9" x14ac:dyDescent="0.15">
      <c r="A1452" s="9">
        <v>1451</v>
      </c>
      <c r="B1452" s="9" t="s">
        <v>9</v>
      </c>
      <c r="C1452" s="9">
        <v>1927</v>
      </c>
      <c r="D1452" s="10">
        <v>45729</v>
      </c>
      <c r="E1452" s="11" t="str">
        <f>+HYPERLINK("http://trademark.i-assist.jp/data/china/image_1927th/82436095.pdf","82436095")</f>
        <v>82436095</v>
      </c>
      <c r="F1452" s="9" t="s">
        <v>4123</v>
      </c>
      <c r="G1452" s="9" t="s">
        <v>4124</v>
      </c>
      <c r="H1452" s="9" t="s">
        <v>4125</v>
      </c>
      <c r="I1452" s="10">
        <v>45635</v>
      </c>
    </row>
    <row r="1453" spans="1:9" x14ac:dyDescent="0.15">
      <c r="A1453" s="9">
        <v>1452</v>
      </c>
      <c r="B1453" s="9" t="s">
        <v>9</v>
      </c>
      <c r="C1453" s="9">
        <v>1927</v>
      </c>
      <c r="D1453" s="10">
        <v>45729</v>
      </c>
      <c r="E1453" s="11" t="str">
        <f>+HYPERLINK("http://trademark.i-assist.jp/data/china/image_1927th/82436138.pdf","82436138")</f>
        <v>82436138</v>
      </c>
      <c r="F1453" s="9" t="s">
        <v>4126</v>
      </c>
      <c r="G1453" s="13" t="s">
        <v>4127</v>
      </c>
      <c r="H1453" s="9" t="s">
        <v>4128</v>
      </c>
      <c r="I1453" s="10">
        <v>45635</v>
      </c>
    </row>
    <row r="1454" spans="1:9" x14ac:dyDescent="0.15">
      <c r="A1454" s="9">
        <v>1453</v>
      </c>
      <c r="B1454" s="9" t="s">
        <v>9</v>
      </c>
      <c r="C1454" s="9">
        <v>1927</v>
      </c>
      <c r="D1454" s="10">
        <v>45729</v>
      </c>
      <c r="E1454" s="11" t="str">
        <f>+HYPERLINK("http://trademark.i-assist.jp/data/china/image_1927th/82436249.pdf","82436249")</f>
        <v>82436249</v>
      </c>
      <c r="F1454" s="9" t="s">
        <v>4129</v>
      </c>
      <c r="G1454" s="12" t="s">
        <v>193</v>
      </c>
      <c r="H1454" s="9" t="s">
        <v>4130</v>
      </c>
      <c r="I1454" s="10">
        <v>45635</v>
      </c>
    </row>
    <row r="1455" spans="1:9" x14ac:dyDescent="0.15">
      <c r="A1455" s="9">
        <v>1454</v>
      </c>
      <c r="B1455" s="9" t="s">
        <v>9</v>
      </c>
      <c r="C1455" s="9">
        <v>1927</v>
      </c>
      <c r="D1455" s="10">
        <v>45729</v>
      </c>
      <c r="E1455" s="11" t="str">
        <f>+HYPERLINK("http://trademark.i-assist.jp/data/china/image_1927th/82436404.pdf","82436404")</f>
        <v>82436404</v>
      </c>
      <c r="F1455" s="12" t="s">
        <v>4131</v>
      </c>
      <c r="G1455" s="9" t="s">
        <v>4132</v>
      </c>
      <c r="H1455" s="9" t="s">
        <v>4133</v>
      </c>
      <c r="I1455" s="10">
        <v>45635</v>
      </c>
    </row>
    <row r="1456" spans="1:9" x14ac:dyDescent="0.15">
      <c r="A1456" s="9">
        <v>1455</v>
      </c>
      <c r="B1456" s="9" t="s">
        <v>9</v>
      </c>
      <c r="C1456" s="9">
        <v>1927</v>
      </c>
      <c r="D1456" s="10">
        <v>45729</v>
      </c>
      <c r="E1456" s="11" t="str">
        <f>+HYPERLINK("http://trademark.i-assist.jp/data/china/image_1927th/82436958.pdf","82436958")</f>
        <v>82436958</v>
      </c>
      <c r="F1456" s="9" t="s">
        <v>4134</v>
      </c>
      <c r="G1456" s="9" t="s">
        <v>4135</v>
      </c>
      <c r="H1456" s="12" t="s">
        <v>4136</v>
      </c>
      <c r="I1456" s="10">
        <v>45635</v>
      </c>
    </row>
    <row r="1457" spans="1:9" x14ac:dyDescent="0.15">
      <c r="A1457" s="9">
        <v>1456</v>
      </c>
      <c r="B1457" s="9" t="s">
        <v>9</v>
      </c>
      <c r="C1457" s="9">
        <v>1927</v>
      </c>
      <c r="D1457" s="10">
        <v>45729</v>
      </c>
      <c r="E1457" s="11" t="str">
        <f>+HYPERLINK("http://trademark.i-assist.jp/data/china/image_1927th/82437222.pdf","82437222")</f>
        <v>82437222</v>
      </c>
      <c r="F1457" s="12" t="s">
        <v>4137</v>
      </c>
      <c r="G1457" s="12" t="s">
        <v>4021</v>
      </c>
      <c r="H1457" s="9" t="s">
        <v>4138</v>
      </c>
      <c r="I1457" s="10">
        <v>45635</v>
      </c>
    </row>
    <row r="1458" spans="1:9" x14ac:dyDescent="0.15">
      <c r="A1458" s="9">
        <v>1457</v>
      </c>
      <c r="B1458" s="9" t="s">
        <v>9</v>
      </c>
      <c r="C1458" s="9">
        <v>1927</v>
      </c>
      <c r="D1458" s="10">
        <v>45729</v>
      </c>
      <c r="E1458" s="11" t="str">
        <f>+HYPERLINK("http://trademark.i-assist.jp/data/china/image_1927th/82437230.pdf","82437230")</f>
        <v>82437230</v>
      </c>
      <c r="F1458" s="12" t="s">
        <v>16</v>
      </c>
      <c r="G1458" s="9" t="s">
        <v>4139</v>
      </c>
      <c r="H1458" s="9" t="s">
        <v>4140</v>
      </c>
      <c r="I1458" s="10">
        <v>45635</v>
      </c>
    </row>
    <row r="1459" spans="1:9" x14ac:dyDescent="0.15">
      <c r="A1459" s="9">
        <v>1458</v>
      </c>
      <c r="B1459" s="9" t="s">
        <v>9</v>
      </c>
      <c r="C1459" s="9">
        <v>1927</v>
      </c>
      <c r="D1459" s="10">
        <v>45729</v>
      </c>
      <c r="E1459" s="11" t="str">
        <f>+HYPERLINK("http://trademark.i-assist.jp/data/china/image_1927th/82437357.pdf","82437357")</f>
        <v>82437357</v>
      </c>
      <c r="F1459" s="9" t="s">
        <v>4141</v>
      </c>
      <c r="G1459" s="9" t="s">
        <v>4142</v>
      </c>
      <c r="H1459" s="9" t="s">
        <v>4143</v>
      </c>
      <c r="I1459" s="10">
        <v>45635</v>
      </c>
    </row>
    <row r="1460" spans="1:9" x14ac:dyDescent="0.15">
      <c r="A1460" s="9">
        <v>1459</v>
      </c>
      <c r="B1460" s="9" t="s">
        <v>9</v>
      </c>
      <c r="C1460" s="9">
        <v>1927</v>
      </c>
      <c r="D1460" s="10">
        <v>45729</v>
      </c>
      <c r="E1460" s="11" t="str">
        <f>+HYPERLINK("http://trademark.i-assist.jp/data/china/image_1927th/82437366.pdf","82437366")</f>
        <v>82437366</v>
      </c>
      <c r="F1460" s="9" t="s">
        <v>4144</v>
      </c>
      <c r="G1460" s="9" t="s">
        <v>4145</v>
      </c>
      <c r="H1460" s="9" t="s">
        <v>4146</v>
      </c>
      <c r="I1460" s="10">
        <v>45635</v>
      </c>
    </row>
    <row r="1461" spans="1:9" x14ac:dyDescent="0.15">
      <c r="A1461" s="9">
        <v>1460</v>
      </c>
      <c r="B1461" s="9" t="s">
        <v>9</v>
      </c>
      <c r="C1461" s="9">
        <v>1927</v>
      </c>
      <c r="D1461" s="10">
        <v>45729</v>
      </c>
      <c r="E1461" s="11" t="str">
        <f>+HYPERLINK("http://trademark.i-assist.jp/data/china/image_1927th/82437372.pdf","82437372")</f>
        <v>82437372</v>
      </c>
      <c r="F1461" s="12" t="s">
        <v>4147</v>
      </c>
      <c r="G1461" s="12" t="s">
        <v>4148</v>
      </c>
      <c r="H1461" s="9" t="s">
        <v>4149</v>
      </c>
      <c r="I1461" s="10">
        <v>45635</v>
      </c>
    </row>
    <row r="1462" spans="1:9" x14ac:dyDescent="0.15">
      <c r="A1462" s="9">
        <v>1461</v>
      </c>
      <c r="B1462" s="9" t="s">
        <v>9</v>
      </c>
      <c r="C1462" s="9">
        <v>1927</v>
      </c>
      <c r="D1462" s="10">
        <v>45729</v>
      </c>
      <c r="E1462" s="11" t="str">
        <f>+HYPERLINK("http://trademark.i-assist.jp/data/china/image_1927th/82438614.pdf","82438614")</f>
        <v>82438614</v>
      </c>
      <c r="F1462" s="9" t="s">
        <v>4150</v>
      </c>
      <c r="G1462" s="9" t="s">
        <v>4151</v>
      </c>
      <c r="H1462" s="9" t="s">
        <v>4152</v>
      </c>
      <c r="I1462" s="10">
        <v>45635</v>
      </c>
    </row>
    <row r="1463" spans="1:9" x14ac:dyDescent="0.15">
      <c r="A1463" s="9">
        <v>1462</v>
      </c>
      <c r="B1463" s="9" t="s">
        <v>9</v>
      </c>
      <c r="C1463" s="9">
        <v>1927</v>
      </c>
      <c r="D1463" s="10">
        <v>45729</v>
      </c>
      <c r="E1463" s="11" t="str">
        <f>+HYPERLINK("http://trademark.i-assist.jp/data/china/image_1927th/82438933.pdf","82438933")</f>
        <v>82438933</v>
      </c>
      <c r="F1463" s="9" t="s">
        <v>4153</v>
      </c>
      <c r="G1463" s="9" t="s">
        <v>4154</v>
      </c>
      <c r="H1463" s="9" t="s">
        <v>4155</v>
      </c>
      <c r="I1463" s="10">
        <v>45635</v>
      </c>
    </row>
    <row r="1464" spans="1:9" x14ac:dyDescent="0.15">
      <c r="A1464" s="9">
        <v>1463</v>
      </c>
      <c r="B1464" s="9" t="s">
        <v>9</v>
      </c>
      <c r="C1464" s="9">
        <v>1927</v>
      </c>
      <c r="D1464" s="10">
        <v>45729</v>
      </c>
      <c r="E1464" s="11" t="str">
        <f>+HYPERLINK("http://trademark.i-assist.jp/data/china/image_1927th/82438949.pdf","82438949")</f>
        <v>82438949</v>
      </c>
      <c r="F1464" s="9" t="s">
        <v>4156</v>
      </c>
      <c r="G1464" s="12" t="s">
        <v>4021</v>
      </c>
      <c r="H1464" s="9" t="s">
        <v>4157</v>
      </c>
      <c r="I1464" s="10">
        <v>45635</v>
      </c>
    </row>
    <row r="1465" spans="1:9" x14ac:dyDescent="0.15">
      <c r="A1465" s="9">
        <v>1464</v>
      </c>
      <c r="B1465" s="9" t="s">
        <v>9</v>
      </c>
      <c r="C1465" s="9">
        <v>1927</v>
      </c>
      <c r="D1465" s="10">
        <v>45729</v>
      </c>
      <c r="E1465" s="11" t="str">
        <f>+HYPERLINK("http://trademark.i-assist.jp/data/china/image_1927th/82439041.pdf","82439041")</f>
        <v>82439041</v>
      </c>
      <c r="F1465" s="9" t="s">
        <v>4158</v>
      </c>
      <c r="G1465" s="9" t="s">
        <v>4159</v>
      </c>
      <c r="H1465" s="9" t="s">
        <v>4160</v>
      </c>
      <c r="I1465" s="10">
        <v>45635</v>
      </c>
    </row>
    <row r="1466" spans="1:9" x14ac:dyDescent="0.15">
      <c r="A1466" s="9">
        <v>1465</v>
      </c>
      <c r="B1466" s="9" t="s">
        <v>9</v>
      </c>
      <c r="C1466" s="9">
        <v>1927</v>
      </c>
      <c r="D1466" s="10">
        <v>45729</v>
      </c>
      <c r="E1466" s="11" t="str">
        <f>+HYPERLINK("http://trademark.i-assist.jp/data/china/image_1927th/82439152.pdf","82439152")</f>
        <v>82439152</v>
      </c>
      <c r="F1466" s="9" t="s">
        <v>4161</v>
      </c>
      <c r="G1466" s="12" t="s">
        <v>4162</v>
      </c>
      <c r="H1466" s="9" t="s">
        <v>4163</v>
      </c>
      <c r="I1466" s="10">
        <v>45635</v>
      </c>
    </row>
    <row r="1467" spans="1:9" x14ac:dyDescent="0.15">
      <c r="A1467" s="9">
        <v>1466</v>
      </c>
      <c r="B1467" s="9" t="s">
        <v>9</v>
      </c>
      <c r="C1467" s="9">
        <v>1927</v>
      </c>
      <c r="D1467" s="10">
        <v>45729</v>
      </c>
      <c r="E1467" s="11" t="str">
        <f>+HYPERLINK("http://trademark.i-assist.jp/data/china/image_1927th/82439221.pdf","82439221")</f>
        <v>82439221</v>
      </c>
      <c r="F1467" s="12" t="s">
        <v>4164</v>
      </c>
      <c r="G1467" s="9" t="s">
        <v>4087</v>
      </c>
      <c r="H1467" s="12" t="s">
        <v>4165</v>
      </c>
      <c r="I1467" s="10">
        <v>45635</v>
      </c>
    </row>
    <row r="1468" spans="1:9" x14ac:dyDescent="0.15">
      <c r="A1468" s="9">
        <v>1467</v>
      </c>
      <c r="B1468" s="9" t="s">
        <v>9</v>
      </c>
      <c r="C1468" s="9">
        <v>1927</v>
      </c>
      <c r="D1468" s="10">
        <v>45729</v>
      </c>
      <c r="E1468" s="11" t="str">
        <f>+HYPERLINK("http://trademark.i-assist.jp/data/china/image_1927th/82439459.pdf","82439459")</f>
        <v>82439459</v>
      </c>
      <c r="F1468" s="12" t="s">
        <v>4166</v>
      </c>
      <c r="G1468" s="9" t="s">
        <v>4167</v>
      </c>
      <c r="H1468" s="9" t="s">
        <v>4168</v>
      </c>
      <c r="I1468" s="10">
        <v>45635</v>
      </c>
    </row>
    <row r="1469" spans="1:9" x14ac:dyDescent="0.15">
      <c r="A1469" s="9">
        <v>1468</v>
      </c>
      <c r="B1469" s="9" t="s">
        <v>9</v>
      </c>
      <c r="C1469" s="9">
        <v>1927</v>
      </c>
      <c r="D1469" s="10">
        <v>45729</v>
      </c>
      <c r="E1469" s="11" t="str">
        <f>+HYPERLINK("http://trademark.i-assist.jp/data/china/image_1927th/82439502.pdf","82439502")</f>
        <v>82439502</v>
      </c>
      <c r="F1469" s="9" t="s">
        <v>4169</v>
      </c>
      <c r="G1469" s="9" t="s">
        <v>4170</v>
      </c>
      <c r="H1469" s="9" t="s">
        <v>4171</v>
      </c>
      <c r="I1469" s="10">
        <v>45635</v>
      </c>
    </row>
    <row r="1470" spans="1:9" x14ac:dyDescent="0.15">
      <c r="A1470" s="9">
        <v>1469</v>
      </c>
      <c r="B1470" s="9" t="s">
        <v>9</v>
      </c>
      <c r="C1470" s="9">
        <v>1927</v>
      </c>
      <c r="D1470" s="10">
        <v>45729</v>
      </c>
      <c r="E1470" s="11" t="str">
        <f>+HYPERLINK("http://trademark.i-assist.jp/data/china/image_1927th/82439505.pdf","82439505")</f>
        <v>82439505</v>
      </c>
      <c r="F1470" s="9" t="s">
        <v>4172</v>
      </c>
      <c r="G1470" s="9" t="s">
        <v>4170</v>
      </c>
      <c r="H1470" s="9" t="s">
        <v>4173</v>
      </c>
      <c r="I1470" s="10">
        <v>45635</v>
      </c>
    </row>
    <row r="1471" spans="1:9" x14ac:dyDescent="0.15">
      <c r="A1471" s="9">
        <v>1470</v>
      </c>
      <c r="B1471" s="9" t="s">
        <v>9</v>
      </c>
      <c r="C1471" s="9">
        <v>1927</v>
      </c>
      <c r="D1471" s="10">
        <v>45729</v>
      </c>
      <c r="E1471" s="11" t="str">
        <f>+HYPERLINK("http://trademark.i-assist.jp/data/china/image_1927th/82439534.pdf","82439534")</f>
        <v>82439534</v>
      </c>
      <c r="F1471" s="9" t="s">
        <v>4174</v>
      </c>
      <c r="G1471" s="9" t="s">
        <v>4175</v>
      </c>
      <c r="H1471" s="9" t="s">
        <v>4176</v>
      </c>
      <c r="I1471" s="10">
        <v>45635</v>
      </c>
    </row>
    <row r="1472" spans="1:9" x14ac:dyDescent="0.15">
      <c r="A1472" s="9">
        <v>1471</v>
      </c>
      <c r="B1472" s="9" t="s">
        <v>9</v>
      </c>
      <c r="C1472" s="9">
        <v>1927</v>
      </c>
      <c r="D1472" s="10">
        <v>45729</v>
      </c>
      <c r="E1472" s="11" t="str">
        <f>+HYPERLINK("http://trademark.i-assist.jp/data/china/image_1927th/82439535.pdf","82439535")</f>
        <v>82439535</v>
      </c>
      <c r="F1472" s="9" t="s">
        <v>4177</v>
      </c>
      <c r="G1472" s="9" t="s">
        <v>191</v>
      </c>
      <c r="H1472" s="9" t="s">
        <v>4178</v>
      </c>
      <c r="I1472" s="10">
        <v>45635</v>
      </c>
    </row>
    <row r="1473" spans="1:9" x14ac:dyDescent="0.15">
      <c r="A1473" s="9">
        <v>1472</v>
      </c>
      <c r="B1473" s="9" t="s">
        <v>9</v>
      </c>
      <c r="C1473" s="9">
        <v>1927</v>
      </c>
      <c r="D1473" s="10">
        <v>45729</v>
      </c>
      <c r="E1473" s="11" t="str">
        <f>+HYPERLINK("http://trademark.i-assist.jp/data/china/image_1927th/82439837.pdf","82439837")</f>
        <v>82439837</v>
      </c>
      <c r="F1473" s="9" t="s">
        <v>4179</v>
      </c>
      <c r="G1473" s="9" t="s">
        <v>4180</v>
      </c>
      <c r="H1473" s="9" t="s">
        <v>4181</v>
      </c>
      <c r="I1473" s="10">
        <v>45635</v>
      </c>
    </row>
    <row r="1474" spans="1:9" x14ac:dyDescent="0.15">
      <c r="A1474" s="9">
        <v>1473</v>
      </c>
      <c r="B1474" s="9" t="s">
        <v>9</v>
      </c>
      <c r="C1474" s="9">
        <v>1927</v>
      </c>
      <c r="D1474" s="10">
        <v>45729</v>
      </c>
      <c r="E1474" s="11" t="str">
        <f>+HYPERLINK("http://trademark.i-assist.jp/data/china/image_1927th/82440070.pdf","82440070")</f>
        <v>82440070</v>
      </c>
      <c r="F1474" s="12" t="s">
        <v>4182</v>
      </c>
      <c r="G1474" s="9" t="s">
        <v>4112</v>
      </c>
      <c r="H1474" s="12" t="s">
        <v>4183</v>
      </c>
      <c r="I1474" s="10">
        <v>45635</v>
      </c>
    </row>
    <row r="1475" spans="1:9" x14ac:dyDescent="0.15">
      <c r="A1475" s="9">
        <v>1474</v>
      </c>
      <c r="B1475" s="9" t="s">
        <v>9</v>
      </c>
      <c r="C1475" s="9">
        <v>1927</v>
      </c>
      <c r="D1475" s="10">
        <v>45729</v>
      </c>
      <c r="E1475" s="11" t="str">
        <f>+HYPERLINK("http://trademark.i-assist.jp/data/china/image_1927th/82440087.pdf","82440087")</f>
        <v>82440087</v>
      </c>
      <c r="F1475" s="9" t="s">
        <v>4184</v>
      </c>
      <c r="G1475" s="9" t="s">
        <v>4185</v>
      </c>
      <c r="H1475" s="9" t="s">
        <v>4186</v>
      </c>
      <c r="I1475" s="10">
        <v>45635</v>
      </c>
    </row>
    <row r="1476" spans="1:9" x14ac:dyDescent="0.15">
      <c r="A1476" s="9">
        <v>1475</v>
      </c>
      <c r="B1476" s="9" t="s">
        <v>9</v>
      </c>
      <c r="C1476" s="9">
        <v>1927</v>
      </c>
      <c r="D1476" s="10">
        <v>45729</v>
      </c>
      <c r="E1476" s="11" t="str">
        <f>+HYPERLINK("http://trademark.i-assist.jp/data/china/image_1927th/82440819.pdf","82440819")</f>
        <v>82440819</v>
      </c>
      <c r="F1476" s="9" t="s">
        <v>4187</v>
      </c>
      <c r="G1476" s="9" t="s">
        <v>190</v>
      </c>
      <c r="H1476" s="9" t="s">
        <v>4188</v>
      </c>
      <c r="I1476" s="10">
        <v>45635</v>
      </c>
    </row>
    <row r="1477" spans="1:9" x14ac:dyDescent="0.15">
      <c r="A1477" s="9">
        <v>1476</v>
      </c>
      <c r="B1477" s="9" t="s">
        <v>9</v>
      </c>
      <c r="C1477" s="9">
        <v>1927</v>
      </c>
      <c r="D1477" s="10">
        <v>45729</v>
      </c>
      <c r="E1477" s="11" t="str">
        <f>+HYPERLINK("http://trademark.i-assist.jp/data/china/image_1927th/82440838.pdf","82440838")</f>
        <v>82440838</v>
      </c>
      <c r="F1477" s="12" t="s">
        <v>4189</v>
      </c>
      <c r="G1477" s="9" t="s">
        <v>4190</v>
      </c>
      <c r="H1477" s="9" t="s">
        <v>4191</v>
      </c>
      <c r="I1477" s="10">
        <v>45635</v>
      </c>
    </row>
    <row r="1478" spans="1:9" x14ac:dyDescent="0.15">
      <c r="A1478" s="9">
        <v>1477</v>
      </c>
      <c r="B1478" s="9" t="s">
        <v>9</v>
      </c>
      <c r="C1478" s="9">
        <v>1927</v>
      </c>
      <c r="D1478" s="10">
        <v>45729</v>
      </c>
      <c r="E1478" s="11" t="str">
        <f>+HYPERLINK("http://trademark.i-assist.jp/data/china/image_1927th/82440910.pdf","82440910")</f>
        <v>82440910</v>
      </c>
      <c r="F1478" s="9" t="s">
        <v>4192</v>
      </c>
      <c r="G1478" s="9" t="s">
        <v>4193</v>
      </c>
      <c r="H1478" s="9" t="s">
        <v>4194</v>
      </c>
      <c r="I1478" s="10">
        <v>45635</v>
      </c>
    </row>
    <row r="1479" spans="1:9" x14ac:dyDescent="0.15">
      <c r="A1479" s="9">
        <v>1478</v>
      </c>
      <c r="B1479" s="9" t="s">
        <v>9</v>
      </c>
      <c r="C1479" s="9">
        <v>1927</v>
      </c>
      <c r="D1479" s="10">
        <v>45729</v>
      </c>
      <c r="E1479" s="11" t="str">
        <f>+HYPERLINK("http://trademark.i-assist.jp/data/china/image_1927th/82441631.pdf","82441631")</f>
        <v>82441631</v>
      </c>
      <c r="F1479" s="12" t="s">
        <v>4195</v>
      </c>
      <c r="G1479" s="9" t="s">
        <v>3949</v>
      </c>
      <c r="H1479" s="9" t="s">
        <v>4196</v>
      </c>
      <c r="I1479" s="10">
        <v>45635</v>
      </c>
    </row>
    <row r="1480" spans="1:9" x14ac:dyDescent="0.15">
      <c r="A1480" s="9">
        <v>1479</v>
      </c>
      <c r="B1480" s="9" t="s">
        <v>9</v>
      </c>
      <c r="C1480" s="9">
        <v>1927</v>
      </c>
      <c r="D1480" s="10">
        <v>45729</v>
      </c>
      <c r="E1480" s="11" t="str">
        <f>+HYPERLINK("http://trademark.i-assist.jp/data/china/image_1927th/82441696.pdf","82441696")</f>
        <v>82441696</v>
      </c>
      <c r="F1480" s="9" t="s">
        <v>4197</v>
      </c>
      <c r="G1480" s="12" t="s">
        <v>4198</v>
      </c>
      <c r="H1480" s="9" t="s">
        <v>4199</v>
      </c>
      <c r="I1480" s="10">
        <v>45635</v>
      </c>
    </row>
    <row r="1481" spans="1:9" x14ac:dyDescent="0.15">
      <c r="A1481" s="9">
        <v>1480</v>
      </c>
      <c r="B1481" s="9" t="s">
        <v>9</v>
      </c>
      <c r="C1481" s="9">
        <v>1927</v>
      </c>
      <c r="D1481" s="10">
        <v>45729</v>
      </c>
      <c r="E1481" s="11" t="str">
        <f>+HYPERLINK("http://trademark.i-assist.jp/data/china/image_1927th/82441974.pdf","82441974")</f>
        <v>82441974</v>
      </c>
      <c r="F1481" s="12" t="s">
        <v>4200</v>
      </c>
      <c r="G1481" s="12" t="s">
        <v>72</v>
      </c>
      <c r="H1481" s="9" t="s">
        <v>4201</v>
      </c>
      <c r="I1481" s="10">
        <v>45635</v>
      </c>
    </row>
    <row r="1482" spans="1:9" x14ac:dyDescent="0.15">
      <c r="A1482" s="9">
        <v>1481</v>
      </c>
      <c r="B1482" s="9" t="s">
        <v>9</v>
      </c>
      <c r="C1482" s="9">
        <v>1927</v>
      </c>
      <c r="D1482" s="10">
        <v>45729</v>
      </c>
      <c r="E1482" s="11" t="str">
        <f>+HYPERLINK("http://trademark.i-assist.jp/data/china/image_1927th/82442158.pdf","82442158")</f>
        <v>82442158</v>
      </c>
      <c r="F1482" s="12" t="s">
        <v>4202</v>
      </c>
      <c r="G1482" s="9" t="s">
        <v>3987</v>
      </c>
      <c r="H1482" s="9" t="s">
        <v>4203</v>
      </c>
      <c r="I1482" s="10">
        <v>45635</v>
      </c>
    </row>
    <row r="1483" spans="1:9" x14ac:dyDescent="0.15">
      <c r="A1483" s="9">
        <v>1482</v>
      </c>
      <c r="B1483" s="9" t="s">
        <v>9</v>
      </c>
      <c r="C1483" s="9">
        <v>1927</v>
      </c>
      <c r="D1483" s="10">
        <v>45729</v>
      </c>
      <c r="E1483" s="11" t="str">
        <f>+HYPERLINK("http://trademark.i-assist.jp/data/china/image_1927th/82442219.pdf","82442219")</f>
        <v>82442219</v>
      </c>
      <c r="F1483" s="12" t="s">
        <v>4204</v>
      </c>
      <c r="G1483" s="9" t="s">
        <v>4205</v>
      </c>
      <c r="H1483" s="9" t="s">
        <v>4206</v>
      </c>
      <c r="I1483" s="10">
        <v>45635</v>
      </c>
    </row>
    <row r="1484" spans="1:9" x14ac:dyDescent="0.15">
      <c r="A1484" s="9">
        <v>1483</v>
      </c>
      <c r="B1484" s="9" t="s">
        <v>9</v>
      </c>
      <c r="C1484" s="9">
        <v>1927</v>
      </c>
      <c r="D1484" s="10">
        <v>45729</v>
      </c>
      <c r="E1484" s="11" t="str">
        <f>+HYPERLINK("http://trademark.i-assist.jp/data/china/image_1927th/82442579.pdf","82442579")</f>
        <v>82442579</v>
      </c>
      <c r="F1484" s="9" t="s">
        <v>4207</v>
      </c>
      <c r="G1484" s="12" t="s">
        <v>4208</v>
      </c>
      <c r="H1484" s="9" t="s">
        <v>4209</v>
      </c>
      <c r="I1484" s="10">
        <v>45635</v>
      </c>
    </row>
    <row r="1485" spans="1:9" x14ac:dyDescent="0.15">
      <c r="A1485" s="9">
        <v>1484</v>
      </c>
      <c r="B1485" s="9" t="s">
        <v>9</v>
      </c>
      <c r="C1485" s="9">
        <v>1927</v>
      </c>
      <c r="D1485" s="10">
        <v>45729</v>
      </c>
      <c r="E1485" s="11" t="str">
        <f>+HYPERLINK("http://trademark.i-assist.jp/data/china/image_1927th/82442683.pdf","82442683")</f>
        <v>82442683</v>
      </c>
      <c r="F1485" s="9" t="s">
        <v>4210</v>
      </c>
      <c r="G1485" s="12" t="s">
        <v>4211</v>
      </c>
      <c r="H1485" s="9" t="s">
        <v>4212</v>
      </c>
      <c r="I1485" s="10">
        <v>45635</v>
      </c>
    </row>
    <row r="1486" spans="1:9" x14ac:dyDescent="0.15">
      <c r="A1486" s="9">
        <v>1485</v>
      </c>
      <c r="B1486" s="9" t="s">
        <v>9</v>
      </c>
      <c r="C1486" s="9">
        <v>1927</v>
      </c>
      <c r="D1486" s="10">
        <v>45729</v>
      </c>
      <c r="E1486" s="11" t="str">
        <f>+HYPERLINK("http://trademark.i-assist.jp/data/china/image_1927th/82442788.pdf","82442788")</f>
        <v>82442788</v>
      </c>
      <c r="F1486" s="9" t="s">
        <v>4213</v>
      </c>
      <c r="G1486" s="9" t="s">
        <v>4214</v>
      </c>
      <c r="H1486" s="9" t="s">
        <v>4215</v>
      </c>
      <c r="I1486" s="10">
        <v>45635</v>
      </c>
    </row>
    <row r="1487" spans="1:9" x14ac:dyDescent="0.15">
      <c r="A1487" s="9">
        <v>1486</v>
      </c>
      <c r="B1487" s="9" t="s">
        <v>9</v>
      </c>
      <c r="C1487" s="9">
        <v>1927</v>
      </c>
      <c r="D1487" s="10">
        <v>45729</v>
      </c>
      <c r="E1487" s="11" t="str">
        <f>+HYPERLINK("http://trademark.i-assist.jp/data/china/image_1927th/82442811.pdf","82442811")</f>
        <v>82442811</v>
      </c>
      <c r="F1487" s="9" t="s">
        <v>4216</v>
      </c>
      <c r="G1487" s="9" t="s">
        <v>4217</v>
      </c>
      <c r="H1487" s="9" t="s">
        <v>4218</v>
      </c>
      <c r="I1487" s="10">
        <v>45635</v>
      </c>
    </row>
    <row r="1488" spans="1:9" x14ac:dyDescent="0.15">
      <c r="A1488" s="9">
        <v>1487</v>
      </c>
      <c r="B1488" s="9" t="s">
        <v>9</v>
      </c>
      <c r="C1488" s="9">
        <v>1927</v>
      </c>
      <c r="D1488" s="10">
        <v>45729</v>
      </c>
      <c r="E1488" s="11" t="str">
        <f>+HYPERLINK("http://trademark.i-assist.jp/data/china/image_1927th/82442844.pdf","82442844")</f>
        <v>82442844</v>
      </c>
      <c r="F1488" s="9" t="s">
        <v>4219</v>
      </c>
      <c r="G1488" s="9" t="s">
        <v>4220</v>
      </c>
      <c r="H1488" s="9" t="s">
        <v>4221</v>
      </c>
      <c r="I1488" s="10">
        <v>45635</v>
      </c>
    </row>
    <row r="1489" spans="1:9" x14ac:dyDescent="0.15">
      <c r="A1489" s="9">
        <v>1488</v>
      </c>
      <c r="B1489" s="9" t="s">
        <v>9</v>
      </c>
      <c r="C1489" s="9">
        <v>1927</v>
      </c>
      <c r="D1489" s="10">
        <v>45729</v>
      </c>
      <c r="E1489" s="11" t="str">
        <f>+HYPERLINK("http://trademark.i-assist.jp/data/china/image_1927th/82442929.pdf","82442929")</f>
        <v>82442929</v>
      </c>
      <c r="F1489" s="9" t="s">
        <v>4222</v>
      </c>
      <c r="G1489" s="9" t="s">
        <v>3200</v>
      </c>
      <c r="H1489" s="9" t="s">
        <v>4223</v>
      </c>
      <c r="I1489" s="10">
        <v>45635</v>
      </c>
    </row>
    <row r="1490" spans="1:9" x14ac:dyDescent="0.15">
      <c r="A1490" s="9">
        <v>1489</v>
      </c>
      <c r="B1490" s="9" t="s">
        <v>9</v>
      </c>
      <c r="C1490" s="9">
        <v>1927</v>
      </c>
      <c r="D1490" s="10">
        <v>45729</v>
      </c>
      <c r="E1490" s="11" t="str">
        <f>+HYPERLINK("http://trademark.i-assist.jp/data/china/image_1927th/82443038.pdf","82443038")</f>
        <v>82443038</v>
      </c>
      <c r="F1490" s="9" t="s">
        <v>4224</v>
      </c>
      <c r="G1490" s="9" t="s">
        <v>4225</v>
      </c>
      <c r="H1490" s="9" t="s">
        <v>4226</v>
      </c>
      <c r="I1490" s="10">
        <v>45635</v>
      </c>
    </row>
    <row r="1491" spans="1:9" x14ac:dyDescent="0.15">
      <c r="A1491" s="9">
        <v>1490</v>
      </c>
      <c r="B1491" s="9" t="s">
        <v>9</v>
      </c>
      <c r="C1491" s="9">
        <v>1927</v>
      </c>
      <c r="D1491" s="10">
        <v>45729</v>
      </c>
      <c r="E1491" s="11" t="str">
        <f>+HYPERLINK("http://trademark.i-assist.jp/data/china/image_1927th/82443251.pdf","82443251")</f>
        <v>82443251</v>
      </c>
      <c r="F1491" s="9" t="s">
        <v>4227</v>
      </c>
      <c r="G1491" s="12" t="s">
        <v>4228</v>
      </c>
      <c r="H1491" s="9" t="s">
        <v>4229</v>
      </c>
      <c r="I1491" s="10">
        <v>45635</v>
      </c>
    </row>
    <row r="1492" spans="1:9" x14ac:dyDescent="0.15">
      <c r="A1492" s="9">
        <v>1491</v>
      </c>
      <c r="B1492" s="9" t="s">
        <v>9</v>
      </c>
      <c r="C1492" s="9">
        <v>1927</v>
      </c>
      <c r="D1492" s="10">
        <v>45729</v>
      </c>
      <c r="E1492" s="11" t="str">
        <f>+HYPERLINK("http://trademark.i-assist.jp/data/china/image_1927th/82443617.pdf","82443617")</f>
        <v>82443617</v>
      </c>
      <c r="F1492" s="9" t="s">
        <v>4230</v>
      </c>
      <c r="G1492" s="9" t="s">
        <v>4231</v>
      </c>
      <c r="H1492" s="9" t="s">
        <v>4232</v>
      </c>
      <c r="I1492" s="10">
        <v>45635</v>
      </c>
    </row>
    <row r="1493" spans="1:9" x14ac:dyDescent="0.15">
      <c r="A1493" s="9">
        <v>1492</v>
      </c>
      <c r="B1493" s="9" t="s">
        <v>9</v>
      </c>
      <c r="C1493" s="9">
        <v>1927</v>
      </c>
      <c r="D1493" s="10">
        <v>45729</v>
      </c>
      <c r="E1493" s="11" t="str">
        <f>+HYPERLINK("http://trademark.i-assist.jp/data/china/image_1927th/82443763.pdf","82443763")</f>
        <v>82443763</v>
      </c>
      <c r="F1493" s="12" t="s">
        <v>4233</v>
      </c>
      <c r="G1493" s="12" t="s">
        <v>4234</v>
      </c>
      <c r="H1493" s="9" t="s">
        <v>4235</v>
      </c>
      <c r="I1493" s="10">
        <v>45635</v>
      </c>
    </row>
    <row r="1494" spans="1:9" x14ac:dyDescent="0.15">
      <c r="A1494" s="9">
        <v>1493</v>
      </c>
      <c r="B1494" s="9" t="s">
        <v>9</v>
      </c>
      <c r="C1494" s="9">
        <v>1927</v>
      </c>
      <c r="D1494" s="10">
        <v>45729</v>
      </c>
      <c r="E1494" s="11" t="str">
        <f>+HYPERLINK("http://trademark.i-assist.jp/data/china/image_1927th/82443928.pdf","82443928")</f>
        <v>82443928</v>
      </c>
      <c r="F1494" s="9" t="s">
        <v>4236</v>
      </c>
      <c r="G1494" s="9" t="s">
        <v>4237</v>
      </c>
      <c r="H1494" s="9" t="s">
        <v>4238</v>
      </c>
      <c r="I1494" s="10">
        <v>45635</v>
      </c>
    </row>
    <row r="1495" spans="1:9" x14ac:dyDescent="0.15">
      <c r="A1495" s="9">
        <v>1494</v>
      </c>
      <c r="B1495" s="9" t="s">
        <v>9</v>
      </c>
      <c r="C1495" s="9">
        <v>1927</v>
      </c>
      <c r="D1495" s="10">
        <v>45729</v>
      </c>
      <c r="E1495" s="11" t="str">
        <f>+HYPERLINK("http://trademark.i-assist.jp/data/china/image_1927th/82443957.pdf","82443957")</f>
        <v>82443957</v>
      </c>
      <c r="F1495" s="9" t="s">
        <v>4239</v>
      </c>
      <c r="G1495" s="9" t="s">
        <v>137</v>
      </c>
      <c r="H1495" s="9" t="s">
        <v>4240</v>
      </c>
      <c r="I1495" s="10">
        <v>45635</v>
      </c>
    </row>
    <row r="1496" spans="1:9" x14ac:dyDescent="0.15">
      <c r="A1496" s="9">
        <v>1495</v>
      </c>
      <c r="B1496" s="9" t="s">
        <v>9</v>
      </c>
      <c r="C1496" s="9">
        <v>1927</v>
      </c>
      <c r="D1496" s="10">
        <v>45729</v>
      </c>
      <c r="E1496" s="11" t="str">
        <f>+HYPERLINK("http://trademark.i-assist.jp/data/china/image_1927th/82444039.pdf","82444039")</f>
        <v>82444039</v>
      </c>
      <c r="F1496" s="9" t="s">
        <v>4241</v>
      </c>
      <c r="G1496" s="9" t="s">
        <v>4242</v>
      </c>
      <c r="H1496" s="9" t="s">
        <v>4243</v>
      </c>
      <c r="I1496" s="10">
        <v>45635</v>
      </c>
    </row>
    <row r="1497" spans="1:9" x14ac:dyDescent="0.15">
      <c r="A1497" s="9">
        <v>1496</v>
      </c>
      <c r="B1497" s="9" t="s">
        <v>9</v>
      </c>
      <c r="C1497" s="9">
        <v>1927</v>
      </c>
      <c r="D1497" s="10">
        <v>45729</v>
      </c>
      <c r="E1497" s="11" t="str">
        <f>+HYPERLINK("http://trademark.i-assist.jp/data/china/image_1927th/82444045.pdf","82444045")</f>
        <v>82444045</v>
      </c>
      <c r="F1497" s="12" t="s">
        <v>4244</v>
      </c>
      <c r="G1497" s="9" t="s">
        <v>4245</v>
      </c>
      <c r="H1497" s="9" t="s">
        <v>4246</v>
      </c>
      <c r="I1497" s="10">
        <v>45635</v>
      </c>
    </row>
    <row r="1498" spans="1:9" x14ac:dyDescent="0.15">
      <c r="A1498" s="9">
        <v>1497</v>
      </c>
      <c r="B1498" s="9" t="s">
        <v>9</v>
      </c>
      <c r="C1498" s="9">
        <v>1927</v>
      </c>
      <c r="D1498" s="10">
        <v>45729</v>
      </c>
      <c r="E1498" s="11" t="str">
        <f>+HYPERLINK("http://trademark.i-assist.jp/data/china/image_1927th/82444493.pdf","82444493")</f>
        <v>82444493</v>
      </c>
      <c r="F1498" s="9" t="s">
        <v>4247</v>
      </c>
      <c r="G1498" s="9" t="s">
        <v>4248</v>
      </c>
      <c r="H1498" s="12" t="s">
        <v>4249</v>
      </c>
      <c r="I1498" s="10">
        <v>45635</v>
      </c>
    </row>
    <row r="1499" spans="1:9" x14ac:dyDescent="0.15">
      <c r="A1499" s="9">
        <v>1498</v>
      </c>
      <c r="B1499" s="9" t="s">
        <v>9</v>
      </c>
      <c r="C1499" s="9">
        <v>1927</v>
      </c>
      <c r="D1499" s="10">
        <v>45729</v>
      </c>
      <c r="E1499" s="11" t="str">
        <f>+HYPERLINK("http://trademark.i-assist.jp/data/china/image_1927th/82444536.pdf","82444536")</f>
        <v>82444536</v>
      </c>
      <c r="F1499" s="9" t="s">
        <v>4250</v>
      </c>
      <c r="G1499" s="9" t="s">
        <v>4251</v>
      </c>
      <c r="H1499" s="9" t="s">
        <v>4252</v>
      </c>
      <c r="I1499" s="10">
        <v>45635</v>
      </c>
    </row>
    <row r="1500" spans="1:9" x14ac:dyDescent="0.15">
      <c r="A1500" s="9">
        <v>1499</v>
      </c>
      <c r="B1500" s="9" t="s">
        <v>9</v>
      </c>
      <c r="C1500" s="9">
        <v>1927</v>
      </c>
      <c r="D1500" s="10">
        <v>45729</v>
      </c>
      <c r="E1500" s="11" t="str">
        <f>+HYPERLINK("http://trademark.i-assist.jp/data/china/image_1927th/82444697.pdf","82444697")</f>
        <v>82444697</v>
      </c>
      <c r="F1500" s="9" t="s">
        <v>4253</v>
      </c>
      <c r="G1500" s="9" t="s">
        <v>3949</v>
      </c>
      <c r="H1500" s="9" t="s">
        <v>4254</v>
      </c>
      <c r="I1500" s="10">
        <v>45635</v>
      </c>
    </row>
    <row r="1501" spans="1:9" x14ac:dyDescent="0.15">
      <c r="A1501" s="9">
        <v>1500</v>
      </c>
      <c r="B1501" s="9" t="s">
        <v>9</v>
      </c>
      <c r="C1501" s="9">
        <v>1927</v>
      </c>
      <c r="D1501" s="10">
        <v>45729</v>
      </c>
      <c r="E1501" s="11" t="str">
        <f>+HYPERLINK("http://trademark.i-assist.jp/data/china/image_1927th/82444730.pdf","82444730")</f>
        <v>82444730</v>
      </c>
      <c r="F1501" s="9" t="s">
        <v>4255</v>
      </c>
      <c r="G1501" s="9" t="s">
        <v>4256</v>
      </c>
      <c r="H1501" s="9" t="s">
        <v>4257</v>
      </c>
      <c r="I1501" s="10">
        <v>45635</v>
      </c>
    </row>
    <row r="1502" spans="1:9" x14ac:dyDescent="0.15">
      <c r="A1502" s="9">
        <v>1501</v>
      </c>
      <c r="B1502" s="9" t="s">
        <v>9</v>
      </c>
      <c r="C1502" s="9">
        <v>1927</v>
      </c>
      <c r="D1502" s="10">
        <v>45729</v>
      </c>
      <c r="E1502" s="11" t="str">
        <f>+HYPERLINK("http://trademark.i-assist.jp/data/china/image_1927th/82444736.pdf","82444736")</f>
        <v>82444736</v>
      </c>
      <c r="F1502" s="9" t="s">
        <v>4258</v>
      </c>
      <c r="G1502" s="9" t="s">
        <v>3949</v>
      </c>
      <c r="H1502" s="9" t="s">
        <v>4259</v>
      </c>
      <c r="I1502" s="10">
        <v>45635</v>
      </c>
    </row>
    <row r="1503" spans="1:9" x14ac:dyDescent="0.15">
      <c r="A1503" s="9">
        <v>1502</v>
      </c>
      <c r="B1503" s="9" t="s">
        <v>9</v>
      </c>
      <c r="C1503" s="9">
        <v>1927</v>
      </c>
      <c r="D1503" s="10">
        <v>45729</v>
      </c>
      <c r="E1503" s="11" t="str">
        <f>+HYPERLINK("http://trademark.i-assist.jp/data/china/image_1927th/82444772.pdf","82444772")</f>
        <v>82444772</v>
      </c>
      <c r="F1503" s="9" t="s">
        <v>4260</v>
      </c>
      <c r="G1503" s="9" t="s">
        <v>4135</v>
      </c>
      <c r="H1503" s="9" t="s">
        <v>4261</v>
      </c>
      <c r="I1503" s="10">
        <v>45635</v>
      </c>
    </row>
    <row r="1504" spans="1:9" x14ac:dyDescent="0.15">
      <c r="A1504" s="9">
        <v>1503</v>
      </c>
      <c r="B1504" s="9" t="s">
        <v>9</v>
      </c>
      <c r="C1504" s="9">
        <v>1927</v>
      </c>
      <c r="D1504" s="10">
        <v>45729</v>
      </c>
      <c r="E1504" s="11" t="str">
        <f>+HYPERLINK("http://trademark.i-assist.jp/data/china/image_1927th/82444805.pdf","82444805")</f>
        <v>82444805</v>
      </c>
      <c r="F1504" s="9" t="s">
        <v>4262</v>
      </c>
      <c r="G1504" s="12" t="s">
        <v>4263</v>
      </c>
      <c r="H1504" s="9" t="s">
        <v>4264</v>
      </c>
      <c r="I1504" s="10">
        <v>45635</v>
      </c>
    </row>
    <row r="1505" spans="1:9" x14ac:dyDescent="0.15">
      <c r="A1505" s="9">
        <v>1504</v>
      </c>
      <c r="B1505" s="9" t="s">
        <v>9</v>
      </c>
      <c r="C1505" s="9">
        <v>1927</v>
      </c>
      <c r="D1505" s="10">
        <v>45729</v>
      </c>
      <c r="E1505" s="11" t="str">
        <f>+HYPERLINK("http://trademark.i-assist.jp/data/china/image_1927th/82444895.pdf","82444895")</f>
        <v>82444895</v>
      </c>
      <c r="F1505" s="9" t="s">
        <v>4265</v>
      </c>
      <c r="G1505" s="12" t="s">
        <v>4266</v>
      </c>
      <c r="H1505" s="9" t="s">
        <v>4267</v>
      </c>
      <c r="I1505" s="10">
        <v>45635</v>
      </c>
    </row>
    <row r="1506" spans="1:9" x14ac:dyDescent="0.15">
      <c r="A1506" s="9">
        <v>1505</v>
      </c>
      <c r="B1506" s="9" t="s">
        <v>9</v>
      </c>
      <c r="C1506" s="9">
        <v>1927</v>
      </c>
      <c r="D1506" s="10">
        <v>45729</v>
      </c>
      <c r="E1506" s="11" t="str">
        <f>+HYPERLINK("http://trademark.i-assist.jp/data/china/image_1927th/82445002.pdf","82445002")</f>
        <v>82445002</v>
      </c>
      <c r="F1506" s="9" t="s">
        <v>4268</v>
      </c>
      <c r="G1506" s="9" t="s">
        <v>190</v>
      </c>
      <c r="H1506" s="12" t="s">
        <v>4269</v>
      </c>
      <c r="I1506" s="10">
        <v>45635</v>
      </c>
    </row>
    <row r="1507" spans="1:9" x14ac:dyDescent="0.15">
      <c r="A1507" s="9">
        <v>1506</v>
      </c>
      <c r="B1507" s="9" t="s">
        <v>9</v>
      </c>
      <c r="C1507" s="9">
        <v>1927</v>
      </c>
      <c r="D1507" s="10">
        <v>45729</v>
      </c>
      <c r="E1507" s="11" t="str">
        <f>+HYPERLINK("http://trademark.i-assist.jp/data/china/image_1927th/82445018.pdf","82445018")</f>
        <v>82445018</v>
      </c>
      <c r="F1507" s="9" t="s">
        <v>4270</v>
      </c>
      <c r="G1507" s="12" t="s">
        <v>3928</v>
      </c>
      <c r="H1507" s="12" t="s">
        <v>4271</v>
      </c>
      <c r="I1507" s="10">
        <v>45635</v>
      </c>
    </row>
    <row r="1508" spans="1:9" x14ac:dyDescent="0.15">
      <c r="A1508" s="9">
        <v>1507</v>
      </c>
      <c r="B1508" s="9" t="s">
        <v>9</v>
      </c>
      <c r="C1508" s="9">
        <v>1927</v>
      </c>
      <c r="D1508" s="10">
        <v>45729</v>
      </c>
      <c r="E1508" s="11" t="str">
        <f>+HYPERLINK("http://trademark.i-assist.jp/data/china/image_1927th/82445158.pdf","82445158")</f>
        <v>82445158</v>
      </c>
      <c r="F1508" s="9" t="s">
        <v>4272</v>
      </c>
      <c r="G1508" s="12" t="s">
        <v>4273</v>
      </c>
      <c r="H1508" s="9" t="s">
        <v>4274</v>
      </c>
      <c r="I1508" s="10">
        <v>45635</v>
      </c>
    </row>
    <row r="1509" spans="1:9" x14ac:dyDescent="0.15">
      <c r="A1509" s="9">
        <v>1508</v>
      </c>
      <c r="B1509" s="9" t="s">
        <v>9</v>
      </c>
      <c r="C1509" s="9">
        <v>1927</v>
      </c>
      <c r="D1509" s="10">
        <v>45729</v>
      </c>
      <c r="E1509" s="11" t="str">
        <f>+HYPERLINK("http://trademark.i-assist.jp/data/china/image_1927th/82445233.pdf","82445233")</f>
        <v>82445233</v>
      </c>
      <c r="F1509" s="9" t="s">
        <v>4275</v>
      </c>
      <c r="G1509" s="12" t="s">
        <v>4276</v>
      </c>
      <c r="H1509" s="12" t="s">
        <v>4277</v>
      </c>
      <c r="I1509" s="10">
        <v>45635</v>
      </c>
    </row>
    <row r="1510" spans="1:9" x14ac:dyDescent="0.15">
      <c r="A1510" s="9">
        <v>1509</v>
      </c>
      <c r="B1510" s="9" t="s">
        <v>9</v>
      </c>
      <c r="C1510" s="9">
        <v>1927</v>
      </c>
      <c r="D1510" s="10">
        <v>45729</v>
      </c>
      <c r="E1510" s="11" t="str">
        <f>+HYPERLINK("http://trademark.i-assist.jp/data/china/image_1927th/82445241.pdf","82445241")</f>
        <v>82445241</v>
      </c>
      <c r="F1510" s="9" t="s">
        <v>4278</v>
      </c>
      <c r="G1510" s="9" t="s">
        <v>4279</v>
      </c>
      <c r="H1510" s="9" t="s">
        <v>4280</v>
      </c>
      <c r="I1510" s="10">
        <v>45635</v>
      </c>
    </row>
    <row r="1511" spans="1:9" x14ac:dyDescent="0.15">
      <c r="A1511" s="9">
        <v>1510</v>
      </c>
      <c r="B1511" s="9" t="s">
        <v>9</v>
      </c>
      <c r="C1511" s="9">
        <v>1927</v>
      </c>
      <c r="D1511" s="10">
        <v>45729</v>
      </c>
      <c r="E1511" s="11" t="str">
        <f>+HYPERLINK("http://trademark.i-assist.jp/data/china/image_1927th/82445284.pdf","82445284")</f>
        <v>82445284</v>
      </c>
      <c r="F1511" s="9" t="s">
        <v>4281</v>
      </c>
      <c r="G1511" s="9" t="s">
        <v>37</v>
      </c>
      <c r="H1511" s="9" t="s">
        <v>4282</v>
      </c>
      <c r="I1511" s="10">
        <v>45635</v>
      </c>
    </row>
    <row r="1512" spans="1:9" x14ac:dyDescent="0.15">
      <c r="A1512" s="9">
        <v>1511</v>
      </c>
      <c r="B1512" s="9" t="s">
        <v>9</v>
      </c>
      <c r="C1512" s="9">
        <v>1927</v>
      </c>
      <c r="D1512" s="10">
        <v>45729</v>
      </c>
      <c r="E1512" s="11" t="str">
        <f>+HYPERLINK("http://trademark.i-assist.jp/data/china/image_1927th/82445340.pdf","82445340")</f>
        <v>82445340</v>
      </c>
      <c r="F1512" s="9" t="s">
        <v>4283</v>
      </c>
      <c r="G1512" s="9" t="s">
        <v>4170</v>
      </c>
      <c r="H1512" s="9" t="s">
        <v>4284</v>
      </c>
      <c r="I1512" s="10">
        <v>45635</v>
      </c>
    </row>
    <row r="1513" spans="1:9" x14ac:dyDescent="0.15">
      <c r="A1513" s="9">
        <v>1512</v>
      </c>
      <c r="B1513" s="9" t="s">
        <v>9</v>
      </c>
      <c r="C1513" s="9">
        <v>1927</v>
      </c>
      <c r="D1513" s="10">
        <v>45729</v>
      </c>
      <c r="E1513" s="11" t="str">
        <f>+HYPERLINK("http://trademark.i-assist.jp/data/china/image_1927th/82445351.pdf","82445351")</f>
        <v>82445351</v>
      </c>
      <c r="F1513" s="9" t="s">
        <v>4285</v>
      </c>
      <c r="G1513" s="9" t="s">
        <v>4142</v>
      </c>
      <c r="H1513" s="9" t="s">
        <v>4286</v>
      </c>
      <c r="I1513" s="10">
        <v>45635</v>
      </c>
    </row>
    <row r="1514" spans="1:9" x14ac:dyDescent="0.15">
      <c r="A1514" s="9">
        <v>1513</v>
      </c>
      <c r="B1514" s="9" t="s">
        <v>9</v>
      </c>
      <c r="C1514" s="9">
        <v>1927</v>
      </c>
      <c r="D1514" s="10">
        <v>45729</v>
      </c>
      <c r="E1514" s="11" t="str">
        <f>+HYPERLINK("http://trademark.i-assist.jp/data/china/image_1927th/82445456.pdf","82445456")</f>
        <v>82445456</v>
      </c>
      <c r="F1514" s="12" t="s">
        <v>16</v>
      </c>
      <c r="G1514" s="9" t="s">
        <v>4287</v>
      </c>
      <c r="H1514" s="9" t="s">
        <v>4288</v>
      </c>
      <c r="I1514" s="10">
        <v>45635</v>
      </c>
    </row>
    <row r="1515" spans="1:9" x14ac:dyDescent="0.15">
      <c r="A1515" s="9">
        <v>1514</v>
      </c>
      <c r="B1515" s="9" t="s">
        <v>9</v>
      </c>
      <c r="C1515" s="9">
        <v>1927</v>
      </c>
      <c r="D1515" s="10">
        <v>45729</v>
      </c>
      <c r="E1515" s="11" t="str">
        <f>+HYPERLINK("http://trademark.i-assist.jp/data/china/image_1927th/82445624.pdf","82445624")</f>
        <v>82445624</v>
      </c>
      <c r="F1515" s="12" t="s">
        <v>16</v>
      </c>
      <c r="G1515" s="9" t="s">
        <v>4289</v>
      </c>
      <c r="H1515" s="9" t="s">
        <v>4290</v>
      </c>
      <c r="I1515" s="10">
        <v>45635</v>
      </c>
    </row>
    <row r="1516" spans="1:9" x14ac:dyDescent="0.15">
      <c r="A1516" s="9">
        <v>1515</v>
      </c>
      <c r="B1516" s="9" t="s">
        <v>9</v>
      </c>
      <c r="C1516" s="9">
        <v>1927</v>
      </c>
      <c r="D1516" s="10">
        <v>45729</v>
      </c>
      <c r="E1516" s="11" t="str">
        <f>+HYPERLINK("http://trademark.i-assist.jp/data/china/image_1927th/82445794.pdf","82445794")</f>
        <v>82445794</v>
      </c>
      <c r="F1516" s="9" t="s">
        <v>4291</v>
      </c>
      <c r="G1516" s="12" t="s">
        <v>4292</v>
      </c>
      <c r="H1516" s="9" t="s">
        <v>4293</v>
      </c>
      <c r="I1516" s="10">
        <v>45635</v>
      </c>
    </row>
    <row r="1517" spans="1:9" x14ac:dyDescent="0.15">
      <c r="A1517" s="9">
        <v>1516</v>
      </c>
      <c r="B1517" s="9" t="s">
        <v>9</v>
      </c>
      <c r="C1517" s="9">
        <v>1927</v>
      </c>
      <c r="D1517" s="10">
        <v>45729</v>
      </c>
      <c r="E1517" s="11" t="str">
        <f>+HYPERLINK("http://trademark.i-assist.jp/data/china/image_1927th/82446025.pdf","82446025")</f>
        <v>82446025</v>
      </c>
      <c r="F1517" s="9" t="s">
        <v>4294</v>
      </c>
      <c r="G1517" s="12" t="s">
        <v>4295</v>
      </c>
      <c r="H1517" s="12" t="s">
        <v>4296</v>
      </c>
      <c r="I1517" s="10">
        <v>45635</v>
      </c>
    </row>
    <row r="1518" spans="1:9" x14ac:dyDescent="0.15">
      <c r="A1518" s="9">
        <v>1517</v>
      </c>
      <c r="B1518" s="9" t="s">
        <v>9</v>
      </c>
      <c r="C1518" s="9">
        <v>1927</v>
      </c>
      <c r="D1518" s="10">
        <v>45729</v>
      </c>
      <c r="E1518" s="11" t="str">
        <f>+HYPERLINK("http://trademark.i-assist.jp/data/china/image_1927th/82446043.pdf","82446043")</f>
        <v>82446043</v>
      </c>
      <c r="F1518" s="9" t="s">
        <v>4297</v>
      </c>
      <c r="G1518" s="9" t="s">
        <v>4298</v>
      </c>
      <c r="H1518" s="9" t="s">
        <v>4299</v>
      </c>
      <c r="I1518" s="10">
        <v>45635</v>
      </c>
    </row>
    <row r="1519" spans="1:9" x14ac:dyDescent="0.15">
      <c r="A1519" s="9">
        <v>1518</v>
      </c>
      <c r="B1519" s="9" t="s">
        <v>9</v>
      </c>
      <c r="C1519" s="9">
        <v>1927</v>
      </c>
      <c r="D1519" s="10">
        <v>45729</v>
      </c>
      <c r="E1519" s="11" t="str">
        <f>+HYPERLINK("http://trademark.i-assist.jp/data/china/image_1927th/82446058.pdf","82446058")</f>
        <v>82446058</v>
      </c>
      <c r="F1519" s="9" t="s">
        <v>4300</v>
      </c>
      <c r="G1519" s="9" t="s">
        <v>4301</v>
      </c>
      <c r="H1519" s="9" t="s">
        <v>4302</v>
      </c>
      <c r="I1519" s="10">
        <v>45635</v>
      </c>
    </row>
    <row r="1520" spans="1:9" x14ac:dyDescent="0.15">
      <c r="A1520" s="9">
        <v>1519</v>
      </c>
      <c r="B1520" s="9" t="s">
        <v>9</v>
      </c>
      <c r="C1520" s="9">
        <v>1927</v>
      </c>
      <c r="D1520" s="10">
        <v>45729</v>
      </c>
      <c r="E1520" s="11" t="str">
        <f>+HYPERLINK("http://trademark.i-assist.jp/data/china/image_1927th/82446076.pdf","82446076")</f>
        <v>82446076</v>
      </c>
      <c r="F1520" s="9" t="s">
        <v>4303</v>
      </c>
      <c r="G1520" s="12" t="s">
        <v>4228</v>
      </c>
      <c r="H1520" s="9" t="s">
        <v>4304</v>
      </c>
      <c r="I1520" s="10">
        <v>45635</v>
      </c>
    </row>
    <row r="1521" spans="1:9" x14ac:dyDescent="0.15">
      <c r="A1521" s="9">
        <v>1520</v>
      </c>
      <c r="B1521" s="9" t="s">
        <v>9</v>
      </c>
      <c r="C1521" s="9">
        <v>1927</v>
      </c>
      <c r="D1521" s="10">
        <v>45729</v>
      </c>
      <c r="E1521" s="11" t="str">
        <f>+HYPERLINK("http://trademark.i-assist.jp/data/china/image_1927th/82446161.pdf","82446161")</f>
        <v>82446161</v>
      </c>
      <c r="F1521" s="9" t="s">
        <v>4305</v>
      </c>
      <c r="G1521" s="12" t="s">
        <v>4306</v>
      </c>
      <c r="H1521" s="12" t="s">
        <v>4307</v>
      </c>
      <c r="I1521" s="10">
        <v>45635</v>
      </c>
    </row>
    <row r="1522" spans="1:9" x14ac:dyDescent="0.15">
      <c r="A1522" s="9">
        <v>1521</v>
      </c>
      <c r="B1522" s="9" t="s">
        <v>9</v>
      </c>
      <c r="C1522" s="9">
        <v>1927</v>
      </c>
      <c r="D1522" s="10">
        <v>45729</v>
      </c>
      <c r="E1522" s="11" t="str">
        <f>+HYPERLINK("http://trademark.i-assist.jp/data/china/image_1927th/82446202.pdf","82446202")</f>
        <v>82446202</v>
      </c>
      <c r="F1522" s="9" t="s">
        <v>4308</v>
      </c>
      <c r="G1522" s="12" t="s">
        <v>4309</v>
      </c>
      <c r="H1522" s="9" t="s">
        <v>4310</v>
      </c>
      <c r="I1522" s="10">
        <v>45635</v>
      </c>
    </row>
    <row r="1523" spans="1:9" x14ac:dyDescent="0.15">
      <c r="A1523" s="9">
        <v>1522</v>
      </c>
      <c r="B1523" s="9" t="s">
        <v>9</v>
      </c>
      <c r="C1523" s="9">
        <v>1927</v>
      </c>
      <c r="D1523" s="10">
        <v>45729</v>
      </c>
      <c r="E1523" s="11" t="str">
        <f>+HYPERLINK("http://trademark.i-assist.jp/data/china/image_1927th/82446414.pdf","82446414")</f>
        <v>82446414</v>
      </c>
      <c r="F1523" s="9" t="s">
        <v>4311</v>
      </c>
      <c r="G1523" s="9" t="s">
        <v>4312</v>
      </c>
      <c r="H1523" s="9" t="s">
        <v>4313</v>
      </c>
      <c r="I1523" s="10">
        <v>45635</v>
      </c>
    </row>
    <row r="1524" spans="1:9" x14ac:dyDescent="0.15">
      <c r="A1524" s="9">
        <v>1523</v>
      </c>
      <c r="B1524" s="9" t="s">
        <v>9</v>
      </c>
      <c r="C1524" s="9">
        <v>1927</v>
      </c>
      <c r="D1524" s="10">
        <v>45729</v>
      </c>
      <c r="E1524" s="11" t="str">
        <f>+HYPERLINK("http://trademark.i-assist.jp/data/china/image_1927th/82446620.pdf","82446620")</f>
        <v>82446620</v>
      </c>
      <c r="F1524" s="12" t="s">
        <v>4314</v>
      </c>
      <c r="G1524" s="9" t="s">
        <v>4315</v>
      </c>
      <c r="H1524" s="9" t="s">
        <v>4316</v>
      </c>
      <c r="I1524" s="10">
        <v>45635</v>
      </c>
    </row>
    <row r="1525" spans="1:9" x14ac:dyDescent="0.15">
      <c r="A1525" s="9">
        <v>1524</v>
      </c>
      <c r="B1525" s="9" t="s">
        <v>9</v>
      </c>
      <c r="C1525" s="9">
        <v>1927</v>
      </c>
      <c r="D1525" s="10">
        <v>45729</v>
      </c>
      <c r="E1525" s="11" t="str">
        <f>+HYPERLINK("http://trademark.i-assist.jp/data/china/image_1927th/82446647.pdf","82446647")</f>
        <v>82446647</v>
      </c>
      <c r="F1525" s="12" t="s">
        <v>4317</v>
      </c>
      <c r="G1525" s="9" t="s">
        <v>4318</v>
      </c>
      <c r="H1525" s="9" t="s">
        <v>4319</v>
      </c>
      <c r="I1525" s="10">
        <v>45635</v>
      </c>
    </row>
    <row r="1526" spans="1:9" x14ac:dyDescent="0.15">
      <c r="A1526" s="9">
        <v>1525</v>
      </c>
      <c r="B1526" s="9" t="s">
        <v>9</v>
      </c>
      <c r="C1526" s="9">
        <v>1927</v>
      </c>
      <c r="D1526" s="10">
        <v>45729</v>
      </c>
      <c r="E1526" s="11" t="str">
        <f>+HYPERLINK("http://trademark.i-assist.jp/data/china/image_1927th/82446771.pdf","82446771")</f>
        <v>82446771</v>
      </c>
      <c r="F1526" s="9" t="s">
        <v>4320</v>
      </c>
      <c r="G1526" s="9" t="s">
        <v>4010</v>
      </c>
      <c r="H1526" s="9" t="s">
        <v>4321</v>
      </c>
      <c r="I1526" s="10">
        <v>45635</v>
      </c>
    </row>
    <row r="1527" spans="1:9" x14ac:dyDescent="0.15">
      <c r="A1527" s="9">
        <v>1526</v>
      </c>
      <c r="B1527" s="9" t="s">
        <v>9</v>
      </c>
      <c r="C1527" s="9">
        <v>1927</v>
      </c>
      <c r="D1527" s="10">
        <v>45729</v>
      </c>
      <c r="E1527" s="11" t="str">
        <f>+HYPERLINK("http://trademark.i-assist.jp/data/china/image_1927th/82447154.pdf","82447154")</f>
        <v>82447154</v>
      </c>
      <c r="F1527" s="12" t="s">
        <v>16</v>
      </c>
      <c r="G1527" s="9" t="s">
        <v>4322</v>
      </c>
      <c r="H1527" s="9" t="s">
        <v>4323</v>
      </c>
      <c r="I1527" s="10">
        <v>45635</v>
      </c>
    </row>
    <row r="1528" spans="1:9" x14ac:dyDescent="0.15">
      <c r="A1528" s="9">
        <v>1527</v>
      </c>
      <c r="B1528" s="9" t="s">
        <v>9</v>
      </c>
      <c r="C1528" s="9">
        <v>1927</v>
      </c>
      <c r="D1528" s="10">
        <v>45729</v>
      </c>
      <c r="E1528" s="11" t="str">
        <f>+HYPERLINK("http://trademark.i-assist.jp/data/china/image_1927th/82447398.pdf","82447398")</f>
        <v>82447398</v>
      </c>
      <c r="F1528" s="12" t="s">
        <v>4324</v>
      </c>
      <c r="G1528" s="9" t="s">
        <v>4325</v>
      </c>
      <c r="H1528" s="9" t="s">
        <v>4326</v>
      </c>
      <c r="I1528" s="10">
        <v>45635</v>
      </c>
    </row>
    <row r="1529" spans="1:9" x14ac:dyDescent="0.15">
      <c r="A1529" s="9">
        <v>1528</v>
      </c>
      <c r="B1529" s="9" t="s">
        <v>9</v>
      </c>
      <c r="C1529" s="9">
        <v>1927</v>
      </c>
      <c r="D1529" s="10">
        <v>45729</v>
      </c>
      <c r="E1529" s="11" t="str">
        <f>+HYPERLINK("http://trademark.i-assist.jp/data/china/image_1927th/82447506.pdf","82447506")</f>
        <v>82447506</v>
      </c>
      <c r="F1529" s="9" t="s">
        <v>4327</v>
      </c>
      <c r="G1529" s="9" t="s">
        <v>4328</v>
      </c>
      <c r="H1529" s="9" t="s">
        <v>4329</v>
      </c>
      <c r="I1529" s="10">
        <v>45635</v>
      </c>
    </row>
    <row r="1530" spans="1:9" x14ac:dyDescent="0.15">
      <c r="A1530" s="9">
        <v>1529</v>
      </c>
      <c r="B1530" s="9" t="s">
        <v>9</v>
      </c>
      <c r="C1530" s="9">
        <v>1927</v>
      </c>
      <c r="D1530" s="10">
        <v>45729</v>
      </c>
      <c r="E1530" s="11" t="str">
        <f>+HYPERLINK("http://trademark.i-assist.jp/data/china/image_1927th/82447522.pdf","82447522")</f>
        <v>82447522</v>
      </c>
      <c r="F1530" s="12" t="s">
        <v>4330</v>
      </c>
      <c r="G1530" s="9" t="s">
        <v>4139</v>
      </c>
      <c r="H1530" s="9" t="s">
        <v>4331</v>
      </c>
      <c r="I1530" s="10">
        <v>45635</v>
      </c>
    </row>
    <row r="1531" spans="1:9" x14ac:dyDescent="0.15">
      <c r="A1531" s="9">
        <v>1530</v>
      </c>
      <c r="B1531" s="9" t="s">
        <v>9</v>
      </c>
      <c r="C1531" s="9">
        <v>1927</v>
      </c>
      <c r="D1531" s="10">
        <v>45729</v>
      </c>
      <c r="E1531" s="11" t="str">
        <f>+HYPERLINK("http://trademark.i-assist.jp/data/china/image_1927th/82447619.pdf","82447619")</f>
        <v>82447619</v>
      </c>
      <c r="F1531" s="9" t="s">
        <v>4332</v>
      </c>
      <c r="G1531" s="9" t="s">
        <v>4333</v>
      </c>
      <c r="H1531" s="12" t="s">
        <v>4334</v>
      </c>
      <c r="I1531" s="10">
        <v>45635</v>
      </c>
    </row>
    <row r="1532" spans="1:9" x14ac:dyDescent="0.15">
      <c r="A1532" s="9">
        <v>1531</v>
      </c>
      <c r="B1532" s="9" t="s">
        <v>9</v>
      </c>
      <c r="C1532" s="9">
        <v>1927</v>
      </c>
      <c r="D1532" s="10">
        <v>45729</v>
      </c>
      <c r="E1532" s="11" t="str">
        <f>+HYPERLINK("http://trademark.i-assist.jp/data/china/image_1927th/82447686.pdf","82447686")</f>
        <v>82447686</v>
      </c>
      <c r="F1532" s="9" t="s">
        <v>4335</v>
      </c>
      <c r="G1532" s="12" t="s">
        <v>3928</v>
      </c>
      <c r="H1532" s="9" t="s">
        <v>4336</v>
      </c>
      <c r="I1532" s="10">
        <v>45635</v>
      </c>
    </row>
    <row r="1533" spans="1:9" x14ac:dyDescent="0.15">
      <c r="A1533" s="9">
        <v>1532</v>
      </c>
      <c r="B1533" s="9" t="s">
        <v>9</v>
      </c>
      <c r="C1533" s="9">
        <v>1927</v>
      </c>
      <c r="D1533" s="10">
        <v>45729</v>
      </c>
      <c r="E1533" s="11" t="str">
        <f>+HYPERLINK("http://trademark.i-assist.jp/data/china/image_1927th/82447802.pdf","82447802")</f>
        <v>82447802</v>
      </c>
      <c r="F1533" s="9" t="s">
        <v>4337</v>
      </c>
      <c r="G1533" s="9" t="s">
        <v>4338</v>
      </c>
      <c r="H1533" s="9" t="s">
        <v>4339</v>
      </c>
      <c r="I1533" s="10">
        <v>45635</v>
      </c>
    </row>
    <row r="1534" spans="1:9" x14ac:dyDescent="0.15">
      <c r="A1534" s="9">
        <v>1533</v>
      </c>
      <c r="B1534" s="9" t="s">
        <v>9</v>
      </c>
      <c r="C1534" s="9">
        <v>1927</v>
      </c>
      <c r="D1534" s="10">
        <v>45729</v>
      </c>
      <c r="E1534" s="11" t="str">
        <f>+HYPERLINK("http://trademark.i-assist.jp/data/china/image_1927th/82448239.pdf","82448239")</f>
        <v>82448239</v>
      </c>
      <c r="F1534" s="9" t="s">
        <v>4340</v>
      </c>
      <c r="G1534" s="12" t="s">
        <v>4341</v>
      </c>
      <c r="H1534" s="9" t="s">
        <v>4342</v>
      </c>
      <c r="I1534" s="10">
        <v>45636</v>
      </c>
    </row>
    <row r="1535" spans="1:9" x14ac:dyDescent="0.15">
      <c r="A1535" s="9">
        <v>1534</v>
      </c>
      <c r="B1535" s="9" t="s">
        <v>9</v>
      </c>
      <c r="C1535" s="9">
        <v>1927</v>
      </c>
      <c r="D1535" s="10">
        <v>45729</v>
      </c>
      <c r="E1535" s="11" t="str">
        <f>+HYPERLINK("http://trademark.i-assist.jp/data/china/image_1927th/82448343.pdf","82448343")</f>
        <v>82448343</v>
      </c>
      <c r="F1535" s="9" t="s">
        <v>4343</v>
      </c>
      <c r="G1535" s="12" t="s">
        <v>4344</v>
      </c>
      <c r="H1535" s="9" t="s">
        <v>4345</v>
      </c>
      <c r="I1535" s="10">
        <v>45636</v>
      </c>
    </row>
    <row r="1536" spans="1:9" x14ac:dyDescent="0.15">
      <c r="A1536" s="9">
        <v>1535</v>
      </c>
      <c r="B1536" s="9" t="s">
        <v>9</v>
      </c>
      <c r="C1536" s="9">
        <v>1927</v>
      </c>
      <c r="D1536" s="10">
        <v>45729</v>
      </c>
      <c r="E1536" s="11" t="str">
        <f>+HYPERLINK("http://trademark.i-assist.jp/data/china/image_1927th/82448392.pdf","82448392")</f>
        <v>82448392</v>
      </c>
      <c r="F1536" s="9" t="s">
        <v>4346</v>
      </c>
      <c r="G1536" s="12" t="s">
        <v>4347</v>
      </c>
      <c r="H1536" s="12" t="s">
        <v>4348</v>
      </c>
      <c r="I1536" s="10">
        <v>45636</v>
      </c>
    </row>
    <row r="1537" spans="1:9" x14ac:dyDescent="0.15">
      <c r="A1537" s="9">
        <v>1536</v>
      </c>
      <c r="B1537" s="9" t="s">
        <v>9</v>
      </c>
      <c r="C1537" s="9">
        <v>1927</v>
      </c>
      <c r="D1537" s="10">
        <v>45729</v>
      </c>
      <c r="E1537" s="11" t="str">
        <f>+HYPERLINK("http://trademark.i-assist.jp/data/china/image_1927th/82448518.pdf","82448518")</f>
        <v>82448518</v>
      </c>
      <c r="F1537" s="9" t="s">
        <v>4349</v>
      </c>
      <c r="G1537" s="9" t="s">
        <v>4350</v>
      </c>
      <c r="H1537" s="9" t="s">
        <v>4351</v>
      </c>
      <c r="I1537" s="10">
        <v>45636</v>
      </c>
    </row>
    <row r="1538" spans="1:9" x14ac:dyDescent="0.15">
      <c r="A1538" s="9">
        <v>1537</v>
      </c>
      <c r="B1538" s="9" t="s">
        <v>9</v>
      </c>
      <c r="C1538" s="9">
        <v>1927</v>
      </c>
      <c r="D1538" s="10">
        <v>45729</v>
      </c>
      <c r="E1538" s="11" t="str">
        <f>+HYPERLINK("http://trademark.i-assist.jp/data/china/image_1927th/82448682.pdf","82448682")</f>
        <v>82448682</v>
      </c>
      <c r="F1538" s="12" t="s">
        <v>4352</v>
      </c>
      <c r="G1538" s="9" t="s">
        <v>4353</v>
      </c>
      <c r="H1538" s="9" t="s">
        <v>4354</v>
      </c>
      <c r="I1538" s="10">
        <v>45636</v>
      </c>
    </row>
    <row r="1539" spans="1:9" x14ac:dyDescent="0.15">
      <c r="A1539" s="9">
        <v>1538</v>
      </c>
      <c r="B1539" s="9" t="s">
        <v>9</v>
      </c>
      <c r="C1539" s="9">
        <v>1927</v>
      </c>
      <c r="D1539" s="10">
        <v>45729</v>
      </c>
      <c r="E1539" s="11" t="str">
        <f>+HYPERLINK("http://trademark.i-assist.jp/data/china/image_1927th/82448796.pdf","82448796")</f>
        <v>82448796</v>
      </c>
      <c r="F1539" s="9" t="s">
        <v>4355</v>
      </c>
      <c r="G1539" s="9" t="s">
        <v>4356</v>
      </c>
      <c r="H1539" s="9" t="s">
        <v>4357</v>
      </c>
      <c r="I1539" s="10">
        <v>45636</v>
      </c>
    </row>
    <row r="1540" spans="1:9" x14ac:dyDescent="0.15">
      <c r="A1540" s="9">
        <v>1539</v>
      </c>
      <c r="B1540" s="9" t="s">
        <v>9</v>
      </c>
      <c r="C1540" s="9">
        <v>1927</v>
      </c>
      <c r="D1540" s="10">
        <v>45729</v>
      </c>
      <c r="E1540" s="11" t="str">
        <f>+HYPERLINK("http://trademark.i-assist.jp/data/china/image_1927th/82448871.pdf","82448871")</f>
        <v>82448871</v>
      </c>
      <c r="F1540" s="9" t="s">
        <v>4358</v>
      </c>
      <c r="G1540" s="9" t="s">
        <v>4359</v>
      </c>
      <c r="H1540" s="9" t="s">
        <v>4360</v>
      </c>
      <c r="I1540" s="10">
        <v>45636</v>
      </c>
    </row>
    <row r="1541" spans="1:9" x14ac:dyDescent="0.15">
      <c r="A1541" s="9">
        <v>1540</v>
      </c>
      <c r="B1541" s="9" t="s">
        <v>9</v>
      </c>
      <c r="C1541" s="9">
        <v>1927</v>
      </c>
      <c r="D1541" s="10">
        <v>45729</v>
      </c>
      <c r="E1541" s="11" t="str">
        <f>+HYPERLINK("http://trademark.i-assist.jp/data/china/image_1927th/82449015.pdf","82449015")</f>
        <v>82449015</v>
      </c>
      <c r="F1541" s="9" t="s">
        <v>4361</v>
      </c>
      <c r="G1541" s="9" t="s">
        <v>4362</v>
      </c>
      <c r="H1541" s="9" t="s">
        <v>4363</v>
      </c>
      <c r="I1541" s="10">
        <v>45636</v>
      </c>
    </row>
    <row r="1542" spans="1:9" x14ac:dyDescent="0.15">
      <c r="A1542" s="9">
        <v>1541</v>
      </c>
      <c r="B1542" s="9" t="s">
        <v>9</v>
      </c>
      <c r="C1542" s="9">
        <v>1927</v>
      </c>
      <c r="D1542" s="10">
        <v>45729</v>
      </c>
      <c r="E1542" s="11" t="str">
        <f>+HYPERLINK("http://trademark.i-assist.jp/data/china/image_1927th/82449091.pdf","82449091")</f>
        <v>82449091</v>
      </c>
      <c r="F1542" s="9" t="s">
        <v>4364</v>
      </c>
      <c r="G1542" s="9" t="s">
        <v>199</v>
      </c>
      <c r="H1542" s="9" t="s">
        <v>4365</v>
      </c>
      <c r="I1542" s="10">
        <v>45636</v>
      </c>
    </row>
    <row r="1543" spans="1:9" x14ac:dyDescent="0.15">
      <c r="A1543" s="9">
        <v>1542</v>
      </c>
      <c r="B1543" s="9" t="s">
        <v>9</v>
      </c>
      <c r="C1543" s="9">
        <v>1927</v>
      </c>
      <c r="D1543" s="10">
        <v>45729</v>
      </c>
      <c r="E1543" s="11" t="str">
        <f>+HYPERLINK("http://trademark.i-assist.jp/data/china/image_1927th/82449103.pdf","82449103")</f>
        <v>82449103</v>
      </c>
      <c r="F1543" s="9" t="s">
        <v>4366</v>
      </c>
      <c r="G1543" s="12" t="s">
        <v>4367</v>
      </c>
      <c r="H1543" s="9" t="s">
        <v>4368</v>
      </c>
      <c r="I1543" s="10">
        <v>45636</v>
      </c>
    </row>
    <row r="1544" spans="1:9" x14ac:dyDescent="0.15">
      <c r="A1544" s="9">
        <v>1543</v>
      </c>
      <c r="B1544" s="9" t="s">
        <v>9</v>
      </c>
      <c r="C1544" s="9">
        <v>1927</v>
      </c>
      <c r="D1544" s="10">
        <v>45729</v>
      </c>
      <c r="E1544" s="11" t="str">
        <f>+HYPERLINK("http://trademark.i-assist.jp/data/china/image_1927th/82449130.pdf","82449130")</f>
        <v>82449130</v>
      </c>
      <c r="F1544" s="12" t="s">
        <v>4369</v>
      </c>
      <c r="G1544" s="9" t="s">
        <v>4370</v>
      </c>
      <c r="H1544" s="9" t="s">
        <v>4371</v>
      </c>
      <c r="I1544" s="10">
        <v>45636</v>
      </c>
    </row>
    <row r="1545" spans="1:9" x14ac:dyDescent="0.15">
      <c r="A1545" s="9">
        <v>1544</v>
      </c>
      <c r="B1545" s="9" t="s">
        <v>9</v>
      </c>
      <c r="C1545" s="9">
        <v>1927</v>
      </c>
      <c r="D1545" s="10">
        <v>45729</v>
      </c>
      <c r="E1545" s="11" t="str">
        <f>+HYPERLINK("http://trademark.i-assist.jp/data/china/image_1927th/82449216.pdf","82449216")</f>
        <v>82449216</v>
      </c>
      <c r="F1545" s="9" t="s">
        <v>4372</v>
      </c>
      <c r="G1545" s="9" t="s">
        <v>4373</v>
      </c>
      <c r="H1545" s="9" t="s">
        <v>4374</v>
      </c>
      <c r="I1545" s="10">
        <v>45636</v>
      </c>
    </row>
    <row r="1546" spans="1:9" x14ac:dyDescent="0.15">
      <c r="A1546" s="9">
        <v>1545</v>
      </c>
      <c r="B1546" s="9" t="s">
        <v>9</v>
      </c>
      <c r="C1546" s="9">
        <v>1927</v>
      </c>
      <c r="D1546" s="10">
        <v>45729</v>
      </c>
      <c r="E1546" s="11" t="str">
        <f>+HYPERLINK("http://trademark.i-assist.jp/data/china/image_1927th/82449400.pdf","82449400")</f>
        <v>82449400</v>
      </c>
      <c r="F1546" s="9" t="s">
        <v>4375</v>
      </c>
      <c r="G1546" s="9" t="s">
        <v>4376</v>
      </c>
      <c r="H1546" s="9" t="s">
        <v>4377</v>
      </c>
      <c r="I1546" s="10">
        <v>45636</v>
      </c>
    </row>
    <row r="1547" spans="1:9" x14ac:dyDescent="0.15">
      <c r="A1547" s="9">
        <v>1546</v>
      </c>
      <c r="B1547" s="9" t="s">
        <v>9</v>
      </c>
      <c r="C1547" s="9">
        <v>1927</v>
      </c>
      <c r="D1547" s="10">
        <v>45729</v>
      </c>
      <c r="E1547" s="11" t="str">
        <f>+HYPERLINK("http://trademark.i-assist.jp/data/china/image_1927th/82449610.pdf","82449610")</f>
        <v>82449610</v>
      </c>
      <c r="F1547" s="9" t="s">
        <v>4378</v>
      </c>
      <c r="G1547" s="12" t="s">
        <v>4379</v>
      </c>
      <c r="H1547" s="9" t="s">
        <v>4380</v>
      </c>
      <c r="I1547" s="10">
        <v>45636</v>
      </c>
    </row>
    <row r="1548" spans="1:9" x14ac:dyDescent="0.15">
      <c r="A1548" s="9">
        <v>1547</v>
      </c>
      <c r="B1548" s="9" t="s">
        <v>9</v>
      </c>
      <c r="C1548" s="9">
        <v>1927</v>
      </c>
      <c r="D1548" s="10">
        <v>45729</v>
      </c>
      <c r="E1548" s="11" t="str">
        <f>+HYPERLINK("http://trademark.i-assist.jp/data/china/image_1927th/82449612.pdf","82449612")</f>
        <v>82449612</v>
      </c>
      <c r="F1548" s="9" t="s">
        <v>4381</v>
      </c>
      <c r="G1548" s="9" t="s">
        <v>204</v>
      </c>
      <c r="H1548" s="9" t="s">
        <v>4382</v>
      </c>
      <c r="I1548" s="10">
        <v>45636</v>
      </c>
    </row>
    <row r="1549" spans="1:9" x14ac:dyDescent="0.15">
      <c r="A1549" s="9">
        <v>1548</v>
      </c>
      <c r="B1549" s="9" t="s">
        <v>9</v>
      </c>
      <c r="C1549" s="9">
        <v>1927</v>
      </c>
      <c r="D1549" s="10">
        <v>45729</v>
      </c>
      <c r="E1549" s="11" t="str">
        <f>+HYPERLINK("http://trademark.i-assist.jp/data/china/image_1927th/82449654.pdf","82449654")</f>
        <v>82449654</v>
      </c>
      <c r="F1549" s="9" t="s">
        <v>4383</v>
      </c>
      <c r="G1549" s="9" t="s">
        <v>4384</v>
      </c>
      <c r="H1549" s="9" t="s">
        <v>4385</v>
      </c>
      <c r="I1549" s="10">
        <v>45636</v>
      </c>
    </row>
    <row r="1550" spans="1:9" x14ac:dyDescent="0.15">
      <c r="A1550" s="9">
        <v>1549</v>
      </c>
      <c r="B1550" s="9" t="s">
        <v>9</v>
      </c>
      <c r="C1550" s="9">
        <v>1927</v>
      </c>
      <c r="D1550" s="10">
        <v>45729</v>
      </c>
      <c r="E1550" s="11" t="str">
        <f>+HYPERLINK("http://trademark.i-assist.jp/data/china/image_1927th/82449661.pdf","82449661")</f>
        <v>82449661</v>
      </c>
      <c r="F1550" s="9" t="s">
        <v>4386</v>
      </c>
      <c r="G1550" s="12" t="s">
        <v>4387</v>
      </c>
      <c r="H1550" s="9" t="s">
        <v>4388</v>
      </c>
      <c r="I1550" s="10">
        <v>45636</v>
      </c>
    </row>
    <row r="1551" spans="1:9" x14ac:dyDescent="0.15">
      <c r="A1551" s="9">
        <v>1550</v>
      </c>
      <c r="B1551" s="9" t="s">
        <v>9</v>
      </c>
      <c r="C1551" s="9">
        <v>1927</v>
      </c>
      <c r="D1551" s="10">
        <v>45729</v>
      </c>
      <c r="E1551" s="11" t="str">
        <f>+HYPERLINK("http://trademark.i-assist.jp/data/china/image_1927th/82449847.pdf","82449847")</f>
        <v>82449847</v>
      </c>
      <c r="F1551" s="12" t="s">
        <v>4389</v>
      </c>
      <c r="G1551" s="9" t="s">
        <v>4390</v>
      </c>
      <c r="H1551" s="9" t="s">
        <v>4391</v>
      </c>
      <c r="I1551" s="10">
        <v>45636</v>
      </c>
    </row>
    <row r="1552" spans="1:9" x14ac:dyDescent="0.15">
      <c r="A1552" s="9">
        <v>1551</v>
      </c>
      <c r="B1552" s="9" t="s">
        <v>9</v>
      </c>
      <c r="C1552" s="9">
        <v>1927</v>
      </c>
      <c r="D1552" s="10">
        <v>45729</v>
      </c>
      <c r="E1552" s="11" t="str">
        <f>+HYPERLINK("http://trademark.i-assist.jp/data/china/image_1927th/82450166.pdf","82450166")</f>
        <v>82450166</v>
      </c>
      <c r="F1552" s="9" t="s">
        <v>4392</v>
      </c>
      <c r="G1552" s="12" t="s">
        <v>4344</v>
      </c>
      <c r="H1552" s="9" t="s">
        <v>4393</v>
      </c>
      <c r="I1552" s="10">
        <v>45636</v>
      </c>
    </row>
    <row r="1553" spans="1:9" x14ac:dyDescent="0.15">
      <c r="A1553" s="9">
        <v>1552</v>
      </c>
      <c r="B1553" s="9" t="s">
        <v>9</v>
      </c>
      <c r="C1553" s="9">
        <v>1927</v>
      </c>
      <c r="D1553" s="10">
        <v>45729</v>
      </c>
      <c r="E1553" s="11" t="str">
        <f>+HYPERLINK("http://trademark.i-assist.jp/data/china/image_1927th/82450294.pdf","82450294")</f>
        <v>82450294</v>
      </c>
      <c r="F1553" s="9" t="s">
        <v>4394</v>
      </c>
      <c r="G1553" s="9" t="s">
        <v>4395</v>
      </c>
      <c r="H1553" s="9" t="s">
        <v>4396</v>
      </c>
      <c r="I1553" s="10">
        <v>45636</v>
      </c>
    </row>
    <row r="1554" spans="1:9" x14ac:dyDescent="0.15">
      <c r="A1554" s="9">
        <v>1553</v>
      </c>
      <c r="B1554" s="9" t="s">
        <v>9</v>
      </c>
      <c r="C1554" s="9">
        <v>1927</v>
      </c>
      <c r="D1554" s="10">
        <v>45729</v>
      </c>
      <c r="E1554" s="11" t="str">
        <f>+HYPERLINK("http://trademark.i-assist.jp/data/china/image_1927th/82450343.pdf","82450343")</f>
        <v>82450343</v>
      </c>
      <c r="F1554" s="12" t="s">
        <v>16</v>
      </c>
      <c r="G1554" s="12" t="s">
        <v>4397</v>
      </c>
      <c r="H1554" s="9" t="s">
        <v>4398</v>
      </c>
      <c r="I1554" s="10">
        <v>45636</v>
      </c>
    </row>
    <row r="1555" spans="1:9" x14ac:dyDescent="0.15">
      <c r="A1555" s="9">
        <v>1554</v>
      </c>
      <c r="B1555" s="9" t="s">
        <v>9</v>
      </c>
      <c r="C1555" s="9">
        <v>1927</v>
      </c>
      <c r="D1555" s="10">
        <v>45729</v>
      </c>
      <c r="E1555" s="11" t="str">
        <f>+HYPERLINK("http://trademark.i-assist.jp/data/china/image_1927th/82450398.pdf","82450398")</f>
        <v>82450398</v>
      </c>
      <c r="F1555" s="12" t="s">
        <v>4399</v>
      </c>
      <c r="G1555" s="9" t="s">
        <v>4400</v>
      </c>
      <c r="H1555" s="9" t="s">
        <v>4401</v>
      </c>
      <c r="I1555" s="10">
        <v>45636</v>
      </c>
    </row>
    <row r="1556" spans="1:9" x14ac:dyDescent="0.15">
      <c r="A1556" s="9">
        <v>1555</v>
      </c>
      <c r="B1556" s="9" t="s">
        <v>9</v>
      </c>
      <c r="C1556" s="9">
        <v>1927</v>
      </c>
      <c r="D1556" s="10">
        <v>45729</v>
      </c>
      <c r="E1556" s="11" t="str">
        <f>+HYPERLINK("http://trademark.i-assist.jp/data/china/image_1927th/82450435.pdf","82450435")</f>
        <v>82450435</v>
      </c>
      <c r="F1556" s="9" t="s">
        <v>4402</v>
      </c>
      <c r="G1556" s="9" t="s">
        <v>195</v>
      </c>
      <c r="H1556" s="9" t="s">
        <v>4403</v>
      </c>
      <c r="I1556" s="10">
        <v>45636</v>
      </c>
    </row>
    <row r="1557" spans="1:9" x14ac:dyDescent="0.15">
      <c r="A1557" s="9">
        <v>1556</v>
      </c>
      <c r="B1557" s="9" t="s">
        <v>9</v>
      </c>
      <c r="C1557" s="9">
        <v>1927</v>
      </c>
      <c r="D1557" s="10">
        <v>45729</v>
      </c>
      <c r="E1557" s="11" t="str">
        <f>+HYPERLINK("http://trademark.i-assist.jp/data/china/image_1927th/82450439.pdf","82450439")</f>
        <v>82450439</v>
      </c>
      <c r="F1557" s="9" t="s">
        <v>4404</v>
      </c>
      <c r="G1557" s="9" t="s">
        <v>205</v>
      </c>
      <c r="H1557" s="9" t="s">
        <v>4405</v>
      </c>
      <c r="I1557" s="10">
        <v>45636</v>
      </c>
    </row>
    <row r="1558" spans="1:9" x14ac:dyDescent="0.15">
      <c r="A1558" s="9">
        <v>1557</v>
      </c>
      <c r="B1558" s="9" t="s">
        <v>9</v>
      </c>
      <c r="C1558" s="9">
        <v>1927</v>
      </c>
      <c r="D1558" s="10">
        <v>45729</v>
      </c>
      <c r="E1558" s="11" t="str">
        <f>+HYPERLINK("http://trademark.i-assist.jp/data/china/image_1927th/82450528.pdf","82450528")</f>
        <v>82450528</v>
      </c>
      <c r="F1558" s="9" t="s">
        <v>4406</v>
      </c>
      <c r="G1558" s="12" t="s">
        <v>4407</v>
      </c>
      <c r="H1558" s="9" t="s">
        <v>4408</v>
      </c>
      <c r="I1558" s="10">
        <v>45636</v>
      </c>
    </row>
    <row r="1559" spans="1:9" x14ac:dyDescent="0.15">
      <c r="A1559" s="9">
        <v>1558</v>
      </c>
      <c r="B1559" s="9" t="s">
        <v>9</v>
      </c>
      <c r="C1559" s="9">
        <v>1927</v>
      </c>
      <c r="D1559" s="10">
        <v>45729</v>
      </c>
      <c r="E1559" s="11" t="str">
        <f>+HYPERLINK("http://trademark.i-assist.jp/data/china/image_1927th/82450621.pdf","82450621")</f>
        <v>82450621</v>
      </c>
      <c r="F1559" s="12" t="s">
        <v>4409</v>
      </c>
      <c r="G1559" s="9" t="s">
        <v>4410</v>
      </c>
      <c r="H1559" s="9" t="s">
        <v>4411</v>
      </c>
      <c r="I1559" s="10">
        <v>45636</v>
      </c>
    </row>
    <row r="1560" spans="1:9" x14ac:dyDescent="0.15">
      <c r="A1560" s="9">
        <v>1559</v>
      </c>
      <c r="B1560" s="9" t="s">
        <v>9</v>
      </c>
      <c r="C1560" s="9">
        <v>1927</v>
      </c>
      <c r="D1560" s="10">
        <v>45729</v>
      </c>
      <c r="E1560" s="11" t="str">
        <f>+HYPERLINK("http://trademark.i-assist.jp/data/china/image_1927th/82450632.pdf","82450632")</f>
        <v>82450632</v>
      </c>
      <c r="F1560" s="9" t="s">
        <v>4412</v>
      </c>
      <c r="G1560" s="9" t="s">
        <v>4413</v>
      </c>
      <c r="H1560" s="9" t="s">
        <v>4414</v>
      </c>
      <c r="I1560" s="10">
        <v>45636</v>
      </c>
    </row>
    <row r="1561" spans="1:9" x14ac:dyDescent="0.15">
      <c r="A1561" s="9">
        <v>1560</v>
      </c>
      <c r="B1561" s="9" t="s">
        <v>9</v>
      </c>
      <c r="C1561" s="9">
        <v>1927</v>
      </c>
      <c r="D1561" s="10">
        <v>45729</v>
      </c>
      <c r="E1561" s="11" t="str">
        <f>+HYPERLINK("http://trademark.i-assist.jp/data/china/image_1927th/82450676.pdf","82450676")</f>
        <v>82450676</v>
      </c>
      <c r="F1561" s="9" t="s">
        <v>4415</v>
      </c>
      <c r="G1561" s="9" t="s">
        <v>4416</v>
      </c>
      <c r="H1561" s="9" t="s">
        <v>4417</v>
      </c>
      <c r="I1561" s="10">
        <v>45636</v>
      </c>
    </row>
    <row r="1562" spans="1:9" x14ac:dyDescent="0.15">
      <c r="A1562" s="9">
        <v>1561</v>
      </c>
      <c r="B1562" s="9" t="s">
        <v>9</v>
      </c>
      <c r="C1562" s="9">
        <v>1927</v>
      </c>
      <c r="D1562" s="10">
        <v>45729</v>
      </c>
      <c r="E1562" s="11" t="str">
        <f>+HYPERLINK("http://trademark.i-assist.jp/data/china/image_1927th/82450800.pdf","82450800")</f>
        <v>82450800</v>
      </c>
      <c r="F1562" s="9" t="s">
        <v>4418</v>
      </c>
      <c r="G1562" s="9" t="s">
        <v>4419</v>
      </c>
      <c r="H1562" s="9" t="s">
        <v>4420</v>
      </c>
      <c r="I1562" s="10">
        <v>45636</v>
      </c>
    </row>
    <row r="1563" spans="1:9" x14ac:dyDescent="0.15">
      <c r="A1563" s="9">
        <v>1562</v>
      </c>
      <c r="B1563" s="9" t="s">
        <v>9</v>
      </c>
      <c r="C1563" s="9">
        <v>1927</v>
      </c>
      <c r="D1563" s="10">
        <v>45729</v>
      </c>
      <c r="E1563" s="11" t="str">
        <f>+HYPERLINK("http://trademark.i-assist.jp/data/china/image_1927th/82450963.pdf","82450963")</f>
        <v>82450963</v>
      </c>
      <c r="F1563" s="12" t="s">
        <v>4421</v>
      </c>
      <c r="G1563" s="9" t="s">
        <v>4359</v>
      </c>
      <c r="H1563" s="12" t="s">
        <v>4422</v>
      </c>
      <c r="I1563" s="10">
        <v>45636</v>
      </c>
    </row>
    <row r="1564" spans="1:9" x14ac:dyDescent="0.15">
      <c r="A1564" s="9">
        <v>1563</v>
      </c>
      <c r="B1564" s="9" t="s">
        <v>9</v>
      </c>
      <c r="C1564" s="9">
        <v>1927</v>
      </c>
      <c r="D1564" s="10">
        <v>45729</v>
      </c>
      <c r="E1564" s="11" t="str">
        <f>+HYPERLINK("http://trademark.i-assist.jp/data/china/image_1927th/82451041.pdf","82451041")</f>
        <v>82451041</v>
      </c>
      <c r="F1564" s="12" t="s">
        <v>4423</v>
      </c>
      <c r="G1564" s="12" t="s">
        <v>4424</v>
      </c>
      <c r="H1564" s="12" t="s">
        <v>4425</v>
      </c>
      <c r="I1564" s="10">
        <v>45636</v>
      </c>
    </row>
    <row r="1565" spans="1:9" x14ac:dyDescent="0.15">
      <c r="A1565" s="9">
        <v>1564</v>
      </c>
      <c r="B1565" s="9" t="s">
        <v>9</v>
      </c>
      <c r="C1565" s="9">
        <v>1927</v>
      </c>
      <c r="D1565" s="10">
        <v>45729</v>
      </c>
      <c r="E1565" s="11" t="str">
        <f>+HYPERLINK("http://trademark.i-assist.jp/data/china/image_1927th/82451306.pdf","82451306")</f>
        <v>82451306</v>
      </c>
      <c r="F1565" s="9" t="s">
        <v>4426</v>
      </c>
      <c r="G1565" s="9" t="s">
        <v>62</v>
      </c>
      <c r="H1565" s="12" t="s">
        <v>4427</v>
      </c>
      <c r="I1565" s="10">
        <v>45636</v>
      </c>
    </row>
    <row r="1566" spans="1:9" x14ac:dyDescent="0.15">
      <c r="A1566" s="9">
        <v>1565</v>
      </c>
      <c r="B1566" s="9" t="s">
        <v>9</v>
      </c>
      <c r="C1566" s="9">
        <v>1927</v>
      </c>
      <c r="D1566" s="10">
        <v>45729</v>
      </c>
      <c r="E1566" s="11" t="str">
        <f>+HYPERLINK("http://trademark.i-assist.jp/data/china/image_1927th/82451572.pdf","82451572")</f>
        <v>82451572</v>
      </c>
      <c r="F1566" s="9" t="s">
        <v>4428</v>
      </c>
      <c r="G1566" s="9" t="s">
        <v>4429</v>
      </c>
      <c r="H1566" s="9" t="s">
        <v>4430</v>
      </c>
      <c r="I1566" s="10">
        <v>45636</v>
      </c>
    </row>
    <row r="1567" spans="1:9" x14ac:dyDescent="0.15">
      <c r="A1567" s="9">
        <v>1566</v>
      </c>
      <c r="B1567" s="9" t="s">
        <v>9</v>
      </c>
      <c r="C1567" s="9">
        <v>1927</v>
      </c>
      <c r="D1567" s="10">
        <v>45729</v>
      </c>
      <c r="E1567" s="11" t="str">
        <f>+HYPERLINK("http://trademark.i-assist.jp/data/china/image_1927th/82451739.pdf","82451739")</f>
        <v>82451739</v>
      </c>
      <c r="F1567" s="9" t="s">
        <v>4431</v>
      </c>
      <c r="G1567" s="9" t="s">
        <v>4432</v>
      </c>
      <c r="H1567" s="9" t="s">
        <v>4433</v>
      </c>
      <c r="I1567" s="10">
        <v>45636</v>
      </c>
    </row>
    <row r="1568" spans="1:9" x14ac:dyDescent="0.15">
      <c r="A1568" s="9">
        <v>1567</v>
      </c>
      <c r="B1568" s="9" t="s">
        <v>9</v>
      </c>
      <c r="C1568" s="9">
        <v>1927</v>
      </c>
      <c r="D1568" s="10">
        <v>45729</v>
      </c>
      <c r="E1568" s="11" t="str">
        <f>+HYPERLINK("http://trademark.i-assist.jp/data/china/image_1927th/82451979.pdf","82451979")</f>
        <v>82451979</v>
      </c>
      <c r="F1568" s="9" t="s">
        <v>4434</v>
      </c>
      <c r="G1568" s="9" t="s">
        <v>4435</v>
      </c>
      <c r="H1568" s="9" t="s">
        <v>4436</v>
      </c>
      <c r="I1568" s="10">
        <v>45636</v>
      </c>
    </row>
    <row r="1569" spans="1:9" x14ac:dyDescent="0.15">
      <c r="A1569" s="9">
        <v>1568</v>
      </c>
      <c r="B1569" s="9" t="s">
        <v>9</v>
      </c>
      <c r="C1569" s="9">
        <v>1927</v>
      </c>
      <c r="D1569" s="10">
        <v>45729</v>
      </c>
      <c r="E1569" s="11" t="str">
        <f>+HYPERLINK("http://trademark.i-assist.jp/data/china/image_1927th/82452174.pdf","82452174")</f>
        <v>82452174</v>
      </c>
      <c r="F1569" s="12" t="s">
        <v>4437</v>
      </c>
      <c r="G1569" s="12" t="s">
        <v>206</v>
      </c>
      <c r="H1569" s="9" t="s">
        <v>4438</v>
      </c>
      <c r="I1569" s="10">
        <v>45636</v>
      </c>
    </row>
    <row r="1570" spans="1:9" x14ac:dyDescent="0.15">
      <c r="A1570" s="9">
        <v>1569</v>
      </c>
      <c r="B1570" s="9" t="s">
        <v>9</v>
      </c>
      <c r="C1570" s="9">
        <v>1927</v>
      </c>
      <c r="D1570" s="10">
        <v>45729</v>
      </c>
      <c r="E1570" s="11" t="str">
        <f>+HYPERLINK("http://trademark.i-assist.jp/data/china/image_1927th/82452208.pdf","82452208")</f>
        <v>82452208</v>
      </c>
      <c r="F1570" s="9" t="s">
        <v>4439</v>
      </c>
      <c r="G1570" s="9" t="s">
        <v>2616</v>
      </c>
      <c r="H1570" s="9" t="s">
        <v>4440</v>
      </c>
      <c r="I1570" s="10">
        <v>45636</v>
      </c>
    </row>
    <row r="1571" spans="1:9" x14ac:dyDescent="0.15">
      <c r="A1571" s="9">
        <v>1570</v>
      </c>
      <c r="B1571" s="9" t="s">
        <v>9</v>
      </c>
      <c r="C1571" s="9">
        <v>1927</v>
      </c>
      <c r="D1571" s="10">
        <v>45729</v>
      </c>
      <c r="E1571" s="11" t="str">
        <f>+HYPERLINK("http://trademark.i-assist.jp/data/china/image_1927th/82452612.pdf","82452612")</f>
        <v>82452612</v>
      </c>
      <c r="F1571" s="9" t="s">
        <v>4441</v>
      </c>
      <c r="G1571" s="9" t="s">
        <v>4442</v>
      </c>
      <c r="H1571" s="12" t="s">
        <v>4443</v>
      </c>
      <c r="I1571" s="10">
        <v>45636</v>
      </c>
    </row>
    <row r="1572" spans="1:9" x14ac:dyDescent="0.15">
      <c r="A1572" s="9">
        <v>1571</v>
      </c>
      <c r="B1572" s="9" t="s">
        <v>9</v>
      </c>
      <c r="C1572" s="9">
        <v>1927</v>
      </c>
      <c r="D1572" s="10">
        <v>45729</v>
      </c>
      <c r="E1572" s="11" t="str">
        <f>+HYPERLINK("http://trademark.i-assist.jp/data/china/image_1927th/82452790.pdf","82452790")</f>
        <v>82452790</v>
      </c>
      <c r="F1572" s="12" t="s">
        <v>4444</v>
      </c>
      <c r="G1572" s="12" t="s">
        <v>4344</v>
      </c>
      <c r="H1572" s="12" t="s">
        <v>4445</v>
      </c>
      <c r="I1572" s="10">
        <v>45636</v>
      </c>
    </row>
    <row r="1573" spans="1:9" x14ac:dyDescent="0.15">
      <c r="A1573" s="9">
        <v>1572</v>
      </c>
      <c r="B1573" s="9" t="s">
        <v>9</v>
      </c>
      <c r="C1573" s="9">
        <v>1927</v>
      </c>
      <c r="D1573" s="10">
        <v>45729</v>
      </c>
      <c r="E1573" s="11" t="str">
        <f>+HYPERLINK("http://trademark.i-assist.jp/data/china/image_1927th/82452857.pdf","82452857")</f>
        <v>82452857</v>
      </c>
      <c r="F1573" s="12" t="s">
        <v>4446</v>
      </c>
      <c r="G1573" s="9" t="s">
        <v>4447</v>
      </c>
      <c r="H1573" s="9" t="s">
        <v>4448</v>
      </c>
      <c r="I1573" s="10">
        <v>45636</v>
      </c>
    </row>
    <row r="1574" spans="1:9" x14ac:dyDescent="0.15">
      <c r="A1574" s="9">
        <v>1573</v>
      </c>
      <c r="B1574" s="9" t="s">
        <v>9</v>
      </c>
      <c r="C1574" s="9">
        <v>1927</v>
      </c>
      <c r="D1574" s="10">
        <v>45729</v>
      </c>
      <c r="E1574" s="11" t="str">
        <f>+HYPERLINK("http://trademark.i-assist.jp/data/china/image_1927th/82453033.pdf","82453033")</f>
        <v>82453033</v>
      </c>
      <c r="F1574" s="12" t="s">
        <v>4449</v>
      </c>
      <c r="G1574" s="9" t="s">
        <v>4450</v>
      </c>
      <c r="H1574" s="9" t="s">
        <v>4451</v>
      </c>
      <c r="I1574" s="10">
        <v>45636</v>
      </c>
    </row>
    <row r="1575" spans="1:9" x14ac:dyDescent="0.15">
      <c r="A1575" s="9">
        <v>1574</v>
      </c>
      <c r="B1575" s="9" t="s">
        <v>9</v>
      </c>
      <c r="C1575" s="9">
        <v>1927</v>
      </c>
      <c r="D1575" s="10">
        <v>45729</v>
      </c>
      <c r="E1575" s="11" t="str">
        <f>+HYPERLINK("http://trademark.i-assist.jp/data/china/image_1927th/82453292.pdf","82453292")</f>
        <v>82453292</v>
      </c>
      <c r="F1575" s="9" t="s">
        <v>4452</v>
      </c>
      <c r="G1575" s="9" t="s">
        <v>184</v>
      </c>
      <c r="H1575" s="9" t="s">
        <v>4453</v>
      </c>
      <c r="I1575" s="10">
        <v>45636</v>
      </c>
    </row>
    <row r="1576" spans="1:9" x14ac:dyDescent="0.15">
      <c r="A1576" s="9">
        <v>1575</v>
      </c>
      <c r="B1576" s="9" t="s">
        <v>9</v>
      </c>
      <c r="C1576" s="9">
        <v>1927</v>
      </c>
      <c r="D1576" s="10">
        <v>45729</v>
      </c>
      <c r="E1576" s="11" t="str">
        <f>+HYPERLINK("http://trademark.i-assist.jp/data/china/image_1927th/82453295.pdf","82453295")</f>
        <v>82453295</v>
      </c>
      <c r="F1576" s="9" t="s">
        <v>4454</v>
      </c>
      <c r="G1576" s="9" t="s">
        <v>184</v>
      </c>
      <c r="H1576" s="9" t="s">
        <v>4455</v>
      </c>
      <c r="I1576" s="10">
        <v>45636</v>
      </c>
    </row>
    <row r="1577" spans="1:9" x14ac:dyDescent="0.15">
      <c r="A1577" s="9">
        <v>1576</v>
      </c>
      <c r="B1577" s="9" t="s">
        <v>9</v>
      </c>
      <c r="C1577" s="9">
        <v>1927</v>
      </c>
      <c r="D1577" s="10">
        <v>45729</v>
      </c>
      <c r="E1577" s="11" t="str">
        <f>+HYPERLINK("http://trademark.i-assist.jp/data/china/image_1927th/82453381.pdf","82453381")</f>
        <v>82453381</v>
      </c>
      <c r="F1577" s="12" t="s">
        <v>16</v>
      </c>
      <c r="G1577" s="9" t="s">
        <v>4456</v>
      </c>
      <c r="H1577" s="9" t="s">
        <v>4457</v>
      </c>
      <c r="I1577" s="10">
        <v>45636</v>
      </c>
    </row>
    <row r="1578" spans="1:9" x14ac:dyDescent="0.15">
      <c r="A1578" s="9">
        <v>1577</v>
      </c>
      <c r="B1578" s="9" t="s">
        <v>9</v>
      </c>
      <c r="C1578" s="9">
        <v>1927</v>
      </c>
      <c r="D1578" s="10">
        <v>45729</v>
      </c>
      <c r="E1578" s="11" t="str">
        <f>+HYPERLINK("http://trademark.i-assist.jp/data/china/image_1927th/82453721.pdf","82453721")</f>
        <v>82453721</v>
      </c>
      <c r="F1578" s="9" t="s">
        <v>4458</v>
      </c>
      <c r="G1578" s="9" t="s">
        <v>4459</v>
      </c>
      <c r="H1578" s="9" t="s">
        <v>4460</v>
      </c>
      <c r="I1578" s="10">
        <v>45636</v>
      </c>
    </row>
    <row r="1579" spans="1:9" x14ac:dyDescent="0.15">
      <c r="A1579" s="9">
        <v>1578</v>
      </c>
      <c r="B1579" s="9" t="s">
        <v>9</v>
      </c>
      <c r="C1579" s="9">
        <v>1927</v>
      </c>
      <c r="D1579" s="10">
        <v>45729</v>
      </c>
      <c r="E1579" s="11" t="str">
        <f>+HYPERLINK("http://trademark.i-assist.jp/data/china/image_1927th/82453806.pdf","82453806")</f>
        <v>82453806</v>
      </c>
      <c r="F1579" s="12" t="s">
        <v>4461</v>
      </c>
      <c r="G1579" s="12" t="s">
        <v>4462</v>
      </c>
      <c r="H1579" s="12" t="s">
        <v>4463</v>
      </c>
      <c r="I1579" s="10">
        <v>45636</v>
      </c>
    </row>
    <row r="1580" spans="1:9" x14ac:dyDescent="0.15">
      <c r="A1580" s="9">
        <v>1579</v>
      </c>
      <c r="B1580" s="9" t="s">
        <v>9</v>
      </c>
      <c r="C1580" s="9">
        <v>1927</v>
      </c>
      <c r="D1580" s="10">
        <v>45729</v>
      </c>
      <c r="E1580" s="11" t="str">
        <f>+HYPERLINK("http://trademark.i-assist.jp/data/china/image_1927th/82453844.pdf","82453844")</f>
        <v>82453844</v>
      </c>
      <c r="F1580" s="12" t="s">
        <v>4464</v>
      </c>
      <c r="G1580" s="9" t="s">
        <v>4465</v>
      </c>
      <c r="H1580" s="9" t="s">
        <v>4466</v>
      </c>
      <c r="I1580" s="10">
        <v>45636</v>
      </c>
    </row>
    <row r="1581" spans="1:9" x14ac:dyDescent="0.15">
      <c r="A1581" s="9">
        <v>1580</v>
      </c>
      <c r="B1581" s="9" t="s">
        <v>9</v>
      </c>
      <c r="C1581" s="9">
        <v>1927</v>
      </c>
      <c r="D1581" s="10">
        <v>45729</v>
      </c>
      <c r="E1581" s="11" t="str">
        <f>+HYPERLINK("http://trademark.i-assist.jp/data/china/image_1927th/82453884.pdf","82453884")</f>
        <v>82453884</v>
      </c>
      <c r="F1581" s="9" t="s">
        <v>4467</v>
      </c>
      <c r="G1581" s="9" t="s">
        <v>4468</v>
      </c>
      <c r="H1581" s="9" t="s">
        <v>4469</v>
      </c>
      <c r="I1581" s="10">
        <v>45636</v>
      </c>
    </row>
    <row r="1582" spans="1:9" x14ac:dyDescent="0.15">
      <c r="A1582" s="9">
        <v>1581</v>
      </c>
      <c r="B1582" s="9" t="s">
        <v>9</v>
      </c>
      <c r="C1582" s="9">
        <v>1927</v>
      </c>
      <c r="D1582" s="10">
        <v>45729</v>
      </c>
      <c r="E1582" s="11" t="str">
        <f>+HYPERLINK("http://trademark.i-assist.jp/data/china/image_1927th/82454100.pdf","82454100")</f>
        <v>82454100</v>
      </c>
      <c r="F1582" s="9" t="s">
        <v>4470</v>
      </c>
      <c r="G1582" s="9" t="s">
        <v>65</v>
      </c>
      <c r="H1582" s="12" t="s">
        <v>4471</v>
      </c>
      <c r="I1582" s="10">
        <v>45636</v>
      </c>
    </row>
    <row r="1583" spans="1:9" x14ac:dyDescent="0.15">
      <c r="A1583" s="9">
        <v>1582</v>
      </c>
      <c r="B1583" s="9" t="s">
        <v>9</v>
      </c>
      <c r="C1583" s="9">
        <v>1927</v>
      </c>
      <c r="D1583" s="10">
        <v>45729</v>
      </c>
      <c r="E1583" s="11" t="str">
        <f>+HYPERLINK("http://trademark.i-assist.jp/data/china/image_1927th/82454179.pdf","82454179")</f>
        <v>82454179</v>
      </c>
      <c r="F1583" s="9" t="s">
        <v>4472</v>
      </c>
      <c r="G1583" s="9" t="s">
        <v>4473</v>
      </c>
      <c r="H1583" s="9" t="s">
        <v>4474</v>
      </c>
      <c r="I1583" s="10">
        <v>45636</v>
      </c>
    </row>
    <row r="1584" spans="1:9" x14ac:dyDescent="0.15">
      <c r="A1584" s="9">
        <v>1583</v>
      </c>
      <c r="B1584" s="9" t="s">
        <v>9</v>
      </c>
      <c r="C1584" s="9">
        <v>1927</v>
      </c>
      <c r="D1584" s="10">
        <v>45729</v>
      </c>
      <c r="E1584" s="11" t="str">
        <f>+HYPERLINK("http://trademark.i-assist.jp/data/china/image_1927th/82454482.pdf","82454482")</f>
        <v>82454482</v>
      </c>
      <c r="F1584" s="9" t="s">
        <v>4475</v>
      </c>
      <c r="G1584" s="9" t="s">
        <v>4476</v>
      </c>
      <c r="H1584" s="9" t="s">
        <v>4477</v>
      </c>
      <c r="I1584" s="10">
        <v>45636</v>
      </c>
    </row>
    <row r="1585" spans="1:9" x14ac:dyDescent="0.15">
      <c r="A1585" s="9">
        <v>1584</v>
      </c>
      <c r="B1585" s="9" t="s">
        <v>9</v>
      </c>
      <c r="C1585" s="9">
        <v>1927</v>
      </c>
      <c r="D1585" s="10">
        <v>45729</v>
      </c>
      <c r="E1585" s="11" t="str">
        <f>+HYPERLINK("http://trademark.i-assist.jp/data/china/image_1927th/82454511.pdf","82454511")</f>
        <v>82454511</v>
      </c>
      <c r="F1585" s="9" t="s">
        <v>4478</v>
      </c>
      <c r="G1585" s="9" t="s">
        <v>4479</v>
      </c>
      <c r="H1585" s="9" t="s">
        <v>4480</v>
      </c>
      <c r="I1585" s="10">
        <v>45636</v>
      </c>
    </row>
    <row r="1586" spans="1:9" x14ac:dyDescent="0.15">
      <c r="A1586" s="9">
        <v>1585</v>
      </c>
      <c r="B1586" s="9" t="s">
        <v>9</v>
      </c>
      <c r="C1586" s="9">
        <v>1927</v>
      </c>
      <c r="D1586" s="10">
        <v>45729</v>
      </c>
      <c r="E1586" s="11" t="str">
        <f>+HYPERLINK("http://trademark.i-assist.jp/data/china/image_1927th/82454527.pdf","82454527")</f>
        <v>82454527</v>
      </c>
      <c r="F1586" s="12" t="s">
        <v>4481</v>
      </c>
      <c r="G1586" s="12" t="s">
        <v>2927</v>
      </c>
      <c r="H1586" s="9" t="s">
        <v>4482</v>
      </c>
      <c r="I1586" s="10">
        <v>45636</v>
      </c>
    </row>
    <row r="1587" spans="1:9" x14ac:dyDescent="0.15">
      <c r="A1587" s="9">
        <v>1586</v>
      </c>
      <c r="B1587" s="9" t="s">
        <v>9</v>
      </c>
      <c r="C1587" s="9">
        <v>1927</v>
      </c>
      <c r="D1587" s="10">
        <v>45729</v>
      </c>
      <c r="E1587" s="11" t="str">
        <f>+HYPERLINK("http://trademark.i-assist.jp/data/china/image_1927th/82454542.pdf","82454542")</f>
        <v>82454542</v>
      </c>
      <c r="F1587" s="9" t="s">
        <v>4483</v>
      </c>
      <c r="G1587" s="12" t="s">
        <v>2927</v>
      </c>
      <c r="H1587" s="9" t="s">
        <v>4484</v>
      </c>
      <c r="I1587" s="10">
        <v>45636</v>
      </c>
    </row>
    <row r="1588" spans="1:9" x14ac:dyDescent="0.15">
      <c r="A1588" s="9">
        <v>1587</v>
      </c>
      <c r="B1588" s="9" t="s">
        <v>9</v>
      </c>
      <c r="C1588" s="9">
        <v>1927</v>
      </c>
      <c r="D1588" s="10">
        <v>45729</v>
      </c>
      <c r="E1588" s="11" t="str">
        <f>+HYPERLINK("http://trademark.i-assist.jp/data/china/image_1927th/82454642.pdf","82454642")</f>
        <v>82454642</v>
      </c>
      <c r="F1588" s="9" t="s">
        <v>4485</v>
      </c>
      <c r="G1588" s="9" t="s">
        <v>4486</v>
      </c>
      <c r="H1588" s="9" t="s">
        <v>4487</v>
      </c>
      <c r="I1588" s="10">
        <v>45636</v>
      </c>
    </row>
    <row r="1589" spans="1:9" x14ac:dyDescent="0.15">
      <c r="A1589" s="9">
        <v>1588</v>
      </c>
      <c r="B1589" s="9" t="s">
        <v>9</v>
      </c>
      <c r="C1589" s="9">
        <v>1927</v>
      </c>
      <c r="D1589" s="10">
        <v>45729</v>
      </c>
      <c r="E1589" s="11" t="str">
        <f>+HYPERLINK("http://trademark.i-assist.jp/data/china/image_1927th/82454653.pdf","82454653")</f>
        <v>82454653</v>
      </c>
      <c r="F1589" s="9" t="s">
        <v>4488</v>
      </c>
      <c r="G1589" s="9" t="s">
        <v>4489</v>
      </c>
      <c r="H1589" s="9" t="s">
        <v>4490</v>
      </c>
      <c r="I1589" s="10">
        <v>45636</v>
      </c>
    </row>
    <row r="1590" spans="1:9" x14ac:dyDescent="0.15">
      <c r="A1590" s="9">
        <v>1589</v>
      </c>
      <c r="B1590" s="9" t="s">
        <v>9</v>
      </c>
      <c r="C1590" s="9">
        <v>1927</v>
      </c>
      <c r="D1590" s="10">
        <v>45729</v>
      </c>
      <c r="E1590" s="11" t="str">
        <f>+HYPERLINK("http://trademark.i-assist.jp/data/china/image_1927th/82455028.pdf","82455028")</f>
        <v>82455028</v>
      </c>
      <c r="F1590" s="9" t="s">
        <v>4491</v>
      </c>
      <c r="G1590" s="9" t="s">
        <v>4492</v>
      </c>
      <c r="H1590" s="9" t="s">
        <v>4493</v>
      </c>
      <c r="I1590" s="10">
        <v>45636</v>
      </c>
    </row>
    <row r="1591" spans="1:9" x14ac:dyDescent="0.15">
      <c r="A1591" s="9">
        <v>1590</v>
      </c>
      <c r="B1591" s="9" t="s">
        <v>9</v>
      </c>
      <c r="C1591" s="9">
        <v>1927</v>
      </c>
      <c r="D1591" s="10">
        <v>45729</v>
      </c>
      <c r="E1591" s="11" t="str">
        <f>+HYPERLINK("http://trademark.i-assist.jp/data/china/image_1927th/82455461.pdf","82455461")</f>
        <v>82455461</v>
      </c>
      <c r="F1591" s="9" t="s">
        <v>4494</v>
      </c>
      <c r="G1591" s="9" t="s">
        <v>207</v>
      </c>
      <c r="H1591" s="12" t="s">
        <v>4495</v>
      </c>
      <c r="I1591" s="10">
        <v>45636</v>
      </c>
    </row>
    <row r="1592" spans="1:9" x14ac:dyDescent="0.15">
      <c r="A1592" s="9">
        <v>1591</v>
      </c>
      <c r="B1592" s="9" t="s">
        <v>9</v>
      </c>
      <c r="C1592" s="9">
        <v>1927</v>
      </c>
      <c r="D1592" s="10">
        <v>45729</v>
      </c>
      <c r="E1592" s="11" t="str">
        <f>+HYPERLINK("http://trademark.i-assist.jp/data/china/image_1927th/82455749.pdf","82455749")</f>
        <v>82455749</v>
      </c>
      <c r="F1592" s="9" t="s">
        <v>4496</v>
      </c>
      <c r="G1592" s="12" t="s">
        <v>4497</v>
      </c>
      <c r="H1592" s="9" t="s">
        <v>4498</v>
      </c>
      <c r="I1592" s="10">
        <v>45636</v>
      </c>
    </row>
    <row r="1593" spans="1:9" x14ac:dyDescent="0.15">
      <c r="A1593" s="9">
        <v>1592</v>
      </c>
      <c r="B1593" s="9" t="s">
        <v>9</v>
      </c>
      <c r="C1593" s="9">
        <v>1927</v>
      </c>
      <c r="D1593" s="10">
        <v>45729</v>
      </c>
      <c r="E1593" s="11" t="str">
        <f>+HYPERLINK("http://trademark.i-assist.jp/data/china/image_1927th/82456008.pdf","82456008")</f>
        <v>82456008</v>
      </c>
      <c r="F1593" s="9" t="s">
        <v>4499</v>
      </c>
      <c r="G1593" s="9" t="s">
        <v>4500</v>
      </c>
      <c r="H1593" s="9" t="s">
        <v>4501</v>
      </c>
      <c r="I1593" s="10">
        <v>45636</v>
      </c>
    </row>
    <row r="1594" spans="1:9" x14ac:dyDescent="0.15">
      <c r="A1594" s="9">
        <v>1593</v>
      </c>
      <c r="B1594" s="9" t="s">
        <v>9</v>
      </c>
      <c r="C1594" s="9">
        <v>1927</v>
      </c>
      <c r="D1594" s="10">
        <v>45729</v>
      </c>
      <c r="E1594" s="11" t="str">
        <f>+HYPERLINK("http://trademark.i-assist.jp/data/china/image_1927th/82456096.pdf","82456096")</f>
        <v>82456096</v>
      </c>
      <c r="F1594" s="9" t="s">
        <v>4502</v>
      </c>
      <c r="G1594" s="12" t="s">
        <v>4503</v>
      </c>
      <c r="H1594" s="9" t="s">
        <v>4504</v>
      </c>
      <c r="I1594" s="10">
        <v>45636</v>
      </c>
    </row>
    <row r="1595" spans="1:9" x14ac:dyDescent="0.15">
      <c r="A1595" s="9">
        <v>1594</v>
      </c>
      <c r="B1595" s="9" t="s">
        <v>9</v>
      </c>
      <c r="C1595" s="9">
        <v>1927</v>
      </c>
      <c r="D1595" s="10">
        <v>45729</v>
      </c>
      <c r="E1595" s="11" t="str">
        <f>+HYPERLINK("http://trademark.i-assist.jp/data/china/image_1927th/82456204.pdf","82456204")</f>
        <v>82456204</v>
      </c>
      <c r="F1595" s="12" t="s">
        <v>4505</v>
      </c>
      <c r="G1595" s="9" t="s">
        <v>43</v>
      </c>
      <c r="H1595" s="9" t="s">
        <v>4506</v>
      </c>
      <c r="I1595" s="10">
        <v>45636</v>
      </c>
    </row>
    <row r="1596" spans="1:9" x14ac:dyDescent="0.15">
      <c r="A1596" s="9">
        <v>1595</v>
      </c>
      <c r="B1596" s="9" t="s">
        <v>9</v>
      </c>
      <c r="C1596" s="9">
        <v>1927</v>
      </c>
      <c r="D1596" s="10">
        <v>45729</v>
      </c>
      <c r="E1596" s="11" t="str">
        <f>+HYPERLINK("http://trademark.i-assist.jp/data/china/image_1927th/82456357.pdf","82456357")</f>
        <v>82456357</v>
      </c>
      <c r="F1596" s="9" t="s">
        <v>4507</v>
      </c>
      <c r="G1596" s="9" t="s">
        <v>4508</v>
      </c>
      <c r="H1596" s="9" t="s">
        <v>4509</v>
      </c>
      <c r="I1596" s="10">
        <v>45636</v>
      </c>
    </row>
    <row r="1597" spans="1:9" x14ac:dyDescent="0.15">
      <c r="A1597" s="9">
        <v>1596</v>
      </c>
      <c r="B1597" s="9" t="s">
        <v>9</v>
      </c>
      <c r="C1597" s="9">
        <v>1927</v>
      </c>
      <c r="D1597" s="10">
        <v>45729</v>
      </c>
      <c r="E1597" s="11" t="str">
        <f>+HYPERLINK("http://trademark.i-assist.jp/data/china/image_1927th/82456571.pdf","82456571")</f>
        <v>82456571</v>
      </c>
      <c r="F1597" s="9" t="s">
        <v>4510</v>
      </c>
      <c r="G1597" s="12" t="s">
        <v>4021</v>
      </c>
      <c r="H1597" s="12" t="s">
        <v>4511</v>
      </c>
      <c r="I1597" s="10">
        <v>45636</v>
      </c>
    </row>
    <row r="1598" spans="1:9" x14ac:dyDescent="0.15">
      <c r="A1598" s="9">
        <v>1597</v>
      </c>
      <c r="B1598" s="9" t="s">
        <v>9</v>
      </c>
      <c r="C1598" s="9">
        <v>1927</v>
      </c>
      <c r="D1598" s="10">
        <v>45729</v>
      </c>
      <c r="E1598" s="11" t="str">
        <f>+HYPERLINK("http://trademark.i-assist.jp/data/china/image_1927th/82456630.pdf","82456630")</f>
        <v>82456630</v>
      </c>
      <c r="F1598" s="12" t="s">
        <v>16</v>
      </c>
      <c r="G1598" s="9" t="s">
        <v>4512</v>
      </c>
      <c r="H1598" s="9" t="s">
        <v>4513</v>
      </c>
      <c r="I1598" s="10">
        <v>45636</v>
      </c>
    </row>
    <row r="1599" spans="1:9" x14ac:dyDescent="0.15">
      <c r="A1599" s="9">
        <v>1598</v>
      </c>
      <c r="B1599" s="9" t="s">
        <v>9</v>
      </c>
      <c r="C1599" s="9">
        <v>1927</v>
      </c>
      <c r="D1599" s="10">
        <v>45729</v>
      </c>
      <c r="E1599" s="11" t="str">
        <f>+HYPERLINK("http://trademark.i-assist.jp/data/china/image_1927th/82456715.pdf","82456715")</f>
        <v>82456715</v>
      </c>
      <c r="F1599" s="9" t="s">
        <v>4514</v>
      </c>
      <c r="G1599" s="9" t="s">
        <v>4515</v>
      </c>
      <c r="H1599" s="9" t="s">
        <v>4516</v>
      </c>
      <c r="I1599" s="10">
        <v>45636</v>
      </c>
    </row>
    <row r="1600" spans="1:9" x14ac:dyDescent="0.15">
      <c r="A1600" s="9">
        <v>1599</v>
      </c>
      <c r="B1600" s="9" t="s">
        <v>9</v>
      </c>
      <c r="C1600" s="9">
        <v>1927</v>
      </c>
      <c r="D1600" s="10">
        <v>45729</v>
      </c>
      <c r="E1600" s="11" t="str">
        <f>+HYPERLINK("http://trademark.i-assist.jp/data/china/image_1927th/82456734.pdf","82456734")</f>
        <v>82456734</v>
      </c>
      <c r="F1600" s="12" t="s">
        <v>4517</v>
      </c>
      <c r="G1600" s="12" t="s">
        <v>4344</v>
      </c>
      <c r="H1600" s="9" t="s">
        <v>4518</v>
      </c>
      <c r="I1600" s="10">
        <v>45636</v>
      </c>
    </row>
    <row r="1601" spans="1:9" x14ac:dyDescent="0.15">
      <c r="A1601" s="9">
        <v>1600</v>
      </c>
      <c r="B1601" s="9" t="s">
        <v>9</v>
      </c>
      <c r="C1601" s="9">
        <v>1927</v>
      </c>
      <c r="D1601" s="10">
        <v>45729</v>
      </c>
      <c r="E1601" s="11" t="str">
        <f>+HYPERLINK("http://trademark.i-assist.jp/data/china/image_1927th/82456947.pdf","82456947")</f>
        <v>82456947</v>
      </c>
      <c r="F1601" s="9" t="s">
        <v>4519</v>
      </c>
      <c r="G1601" s="9" t="s">
        <v>4520</v>
      </c>
      <c r="H1601" s="9" t="s">
        <v>4521</v>
      </c>
      <c r="I1601" s="10">
        <v>45636</v>
      </c>
    </row>
    <row r="1602" spans="1:9" x14ac:dyDescent="0.15">
      <c r="A1602" s="9">
        <v>1601</v>
      </c>
      <c r="B1602" s="9" t="s">
        <v>9</v>
      </c>
      <c r="C1602" s="9">
        <v>1927</v>
      </c>
      <c r="D1602" s="10">
        <v>45729</v>
      </c>
      <c r="E1602" s="11" t="str">
        <f>+HYPERLINK("http://trademark.i-assist.jp/data/china/image_1927th/82457165.pdf","82457165")</f>
        <v>82457165</v>
      </c>
      <c r="F1602" s="9" t="s">
        <v>4522</v>
      </c>
      <c r="G1602" s="9" t="s">
        <v>29</v>
      </c>
      <c r="H1602" s="9" t="s">
        <v>4523</v>
      </c>
      <c r="I1602" s="10">
        <v>45636</v>
      </c>
    </row>
    <row r="1603" spans="1:9" x14ac:dyDescent="0.15">
      <c r="A1603" s="9">
        <v>1602</v>
      </c>
      <c r="B1603" s="9" t="s">
        <v>9</v>
      </c>
      <c r="C1603" s="9">
        <v>1927</v>
      </c>
      <c r="D1603" s="10">
        <v>45729</v>
      </c>
      <c r="E1603" s="11" t="str">
        <f>+HYPERLINK("http://trademark.i-assist.jp/data/china/image_1927th/82457296.pdf","82457296")</f>
        <v>82457296</v>
      </c>
      <c r="F1603" s="12" t="s">
        <v>16</v>
      </c>
      <c r="G1603" s="9" t="s">
        <v>4524</v>
      </c>
      <c r="H1603" s="9" t="s">
        <v>4525</v>
      </c>
      <c r="I1603" s="10">
        <v>45636</v>
      </c>
    </row>
    <row r="1604" spans="1:9" x14ac:dyDescent="0.15">
      <c r="A1604" s="9">
        <v>1603</v>
      </c>
      <c r="B1604" s="9" t="s">
        <v>9</v>
      </c>
      <c r="C1604" s="9">
        <v>1927</v>
      </c>
      <c r="D1604" s="10">
        <v>45729</v>
      </c>
      <c r="E1604" s="11" t="str">
        <f>+HYPERLINK("http://trademark.i-assist.jp/data/china/image_1927th/82457300.pdf","82457300")</f>
        <v>82457300</v>
      </c>
      <c r="F1604" s="12" t="s">
        <v>4526</v>
      </c>
      <c r="G1604" s="12" t="s">
        <v>203</v>
      </c>
      <c r="H1604" s="12" t="s">
        <v>4527</v>
      </c>
      <c r="I1604" s="10">
        <v>45636</v>
      </c>
    </row>
    <row r="1605" spans="1:9" x14ac:dyDescent="0.15">
      <c r="A1605" s="9">
        <v>1604</v>
      </c>
      <c r="B1605" s="9" t="s">
        <v>9</v>
      </c>
      <c r="C1605" s="9">
        <v>1927</v>
      </c>
      <c r="D1605" s="10">
        <v>45729</v>
      </c>
      <c r="E1605" s="11" t="str">
        <f>+HYPERLINK("http://trademark.i-assist.jp/data/china/image_1927th/82457345.pdf","82457345")</f>
        <v>82457345</v>
      </c>
      <c r="F1605" s="12" t="s">
        <v>4528</v>
      </c>
      <c r="G1605" s="9" t="s">
        <v>4529</v>
      </c>
      <c r="H1605" s="9" t="s">
        <v>4530</v>
      </c>
      <c r="I1605" s="10">
        <v>45636</v>
      </c>
    </row>
    <row r="1606" spans="1:9" x14ac:dyDescent="0.15">
      <c r="A1606" s="9">
        <v>1605</v>
      </c>
      <c r="B1606" s="9" t="s">
        <v>9</v>
      </c>
      <c r="C1606" s="9">
        <v>1927</v>
      </c>
      <c r="D1606" s="10">
        <v>45729</v>
      </c>
      <c r="E1606" s="11" t="str">
        <f>+HYPERLINK("http://trademark.i-assist.jp/data/china/image_1927th/82457428.pdf","82457428")</f>
        <v>82457428</v>
      </c>
      <c r="F1606" s="9" t="s">
        <v>4531</v>
      </c>
      <c r="G1606" s="9" t="s">
        <v>4532</v>
      </c>
      <c r="H1606" s="9" t="s">
        <v>4533</v>
      </c>
      <c r="I1606" s="10">
        <v>45636</v>
      </c>
    </row>
    <row r="1607" spans="1:9" x14ac:dyDescent="0.15">
      <c r="A1607" s="9">
        <v>1606</v>
      </c>
      <c r="B1607" s="9" t="s">
        <v>9</v>
      </c>
      <c r="C1607" s="9">
        <v>1927</v>
      </c>
      <c r="D1607" s="10">
        <v>45729</v>
      </c>
      <c r="E1607" s="11" t="str">
        <f>+HYPERLINK("http://trademark.i-assist.jp/data/china/image_1927th/82457507.pdf","82457507")</f>
        <v>82457507</v>
      </c>
      <c r="F1607" s="12" t="s">
        <v>4534</v>
      </c>
      <c r="G1607" s="9" t="s">
        <v>4535</v>
      </c>
      <c r="H1607" s="9" t="s">
        <v>4536</v>
      </c>
      <c r="I1607" s="10">
        <v>45636</v>
      </c>
    </row>
    <row r="1608" spans="1:9" x14ac:dyDescent="0.15">
      <c r="A1608" s="9">
        <v>1607</v>
      </c>
      <c r="B1608" s="9" t="s">
        <v>9</v>
      </c>
      <c r="C1608" s="9">
        <v>1927</v>
      </c>
      <c r="D1608" s="10">
        <v>45729</v>
      </c>
      <c r="E1608" s="11" t="str">
        <f>+HYPERLINK("http://trademark.i-assist.jp/data/china/image_1927th/82457806.pdf","82457806")</f>
        <v>82457806</v>
      </c>
      <c r="F1608" s="9" t="s">
        <v>4537</v>
      </c>
      <c r="G1608" s="9" t="s">
        <v>4538</v>
      </c>
      <c r="H1608" s="9" t="s">
        <v>4539</v>
      </c>
      <c r="I1608" s="10">
        <v>45636</v>
      </c>
    </row>
    <row r="1609" spans="1:9" x14ac:dyDescent="0.15">
      <c r="A1609" s="9">
        <v>1608</v>
      </c>
      <c r="B1609" s="9" t="s">
        <v>9</v>
      </c>
      <c r="C1609" s="9">
        <v>1927</v>
      </c>
      <c r="D1609" s="10">
        <v>45729</v>
      </c>
      <c r="E1609" s="11" t="str">
        <f>+HYPERLINK("http://trademark.i-assist.jp/data/china/image_1927th/82457810.pdf","82457810")</f>
        <v>82457810</v>
      </c>
      <c r="F1609" s="12" t="s">
        <v>4540</v>
      </c>
      <c r="G1609" s="12" t="s">
        <v>4541</v>
      </c>
      <c r="H1609" s="9" t="s">
        <v>4542</v>
      </c>
      <c r="I1609" s="10">
        <v>45636</v>
      </c>
    </row>
    <row r="1610" spans="1:9" x14ac:dyDescent="0.15">
      <c r="A1610" s="9">
        <v>1609</v>
      </c>
      <c r="B1610" s="9" t="s">
        <v>9</v>
      </c>
      <c r="C1610" s="9">
        <v>1927</v>
      </c>
      <c r="D1610" s="10">
        <v>45729</v>
      </c>
      <c r="E1610" s="11" t="str">
        <f>+HYPERLINK("http://trademark.i-assist.jp/data/china/image_1927th/82457820.pdf","82457820")</f>
        <v>82457820</v>
      </c>
      <c r="F1610" s="9" t="s">
        <v>4543</v>
      </c>
      <c r="G1610" s="9" t="s">
        <v>4544</v>
      </c>
      <c r="H1610" s="9" t="s">
        <v>4545</v>
      </c>
      <c r="I1610" s="10">
        <v>45636</v>
      </c>
    </row>
    <row r="1611" spans="1:9" x14ac:dyDescent="0.15">
      <c r="A1611" s="9">
        <v>1610</v>
      </c>
      <c r="B1611" s="9" t="s">
        <v>9</v>
      </c>
      <c r="C1611" s="9">
        <v>1927</v>
      </c>
      <c r="D1611" s="10">
        <v>45729</v>
      </c>
      <c r="E1611" s="11" t="str">
        <f>+HYPERLINK("http://trademark.i-assist.jp/data/china/image_1927th/82457899.pdf","82457899")</f>
        <v>82457899</v>
      </c>
      <c r="F1611" s="12" t="s">
        <v>4546</v>
      </c>
      <c r="G1611" s="12" t="s">
        <v>4547</v>
      </c>
      <c r="H1611" s="9" t="s">
        <v>4548</v>
      </c>
      <c r="I1611" s="10">
        <v>45636</v>
      </c>
    </row>
    <row r="1612" spans="1:9" x14ac:dyDescent="0.15">
      <c r="A1612" s="9">
        <v>1611</v>
      </c>
      <c r="B1612" s="9" t="s">
        <v>9</v>
      </c>
      <c r="C1612" s="9">
        <v>1927</v>
      </c>
      <c r="D1612" s="10">
        <v>45729</v>
      </c>
      <c r="E1612" s="11" t="str">
        <f>+HYPERLINK("http://trademark.i-assist.jp/data/china/image_1927th/82458038.pdf","82458038")</f>
        <v>82458038</v>
      </c>
      <c r="F1612" s="9" t="s">
        <v>4549</v>
      </c>
      <c r="G1612" s="12" t="s">
        <v>4550</v>
      </c>
      <c r="H1612" s="9" t="s">
        <v>4551</v>
      </c>
      <c r="I1612" s="10">
        <v>45636</v>
      </c>
    </row>
    <row r="1613" spans="1:9" x14ac:dyDescent="0.15">
      <c r="A1613" s="9">
        <v>1612</v>
      </c>
      <c r="B1613" s="9" t="s">
        <v>9</v>
      </c>
      <c r="C1613" s="9">
        <v>1927</v>
      </c>
      <c r="D1613" s="10">
        <v>45729</v>
      </c>
      <c r="E1613" s="11" t="str">
        <f>+HYPERLINK("http://trademark.i-assist.jp/data/china/image_1927th/82458101.pdf","82458101")</f>
        <v>82458101</v>
      </c>
      <c r="F1613" s="12" t="s">
        <v>4552</v>
      </c>
      <c r="G1613" s="9" t="s">
        <v>4553</v>
      </c>
      <c r="H1613" s="9" t="s">
        <v>4554</v>
      </c>
      <c r="I1613" s="10">
        <v>45636</v>
      </c>
    </row>
    <row r="1614" spans="1:9" x14ac:dyDescent="0.15">
      <c r="A1614" s="9">
        <v>1613</v>
      </c>
      <c r="B1614" s="9" t="s">
        <v>9</v>
      </c>
      <c r="C1614" s="9">
        <v>1927</v>
      </c>
      <c r="D1614" s="10">
        <v>45729</v>
      </c>
      <c r="E1614" s="11" t="str">
        <f>+HYPERLINK("http://trademark.i-assist.jp/data/china/image_1927th/82458317.pdf","82458317")</f>
        <v>82458317</v>
      </c>
      <c r="F1614" s="12" t="s">
        <v>4555</v>
      </c>
      <c r="G1614" s="9" t="s">
        <v>4556</v>
      </c>
      <c r="H1614" s="9" t="s">
        <v>4557</v>
      </c>
      <c r="I1614" s="10">
        <v>45636</v>
      </c>
    </row>
    <row r="1615" spans="1:9" x14ac:dyDescent="0.15">
      <c r="A1615" s="9">
        <v>1614</v>
      </c>
      <c r="B1615" s="9" t="s">
        <v>9</v>
      </c>
      <c r="C1615" s="9">
        <v>1927</v>
      </c>
      <c r="D1615" s="10">
        <v>45729</v>
      </c>
      <c r="E1615" s="11" t="str">
        <f>+HYPERLINK("http://trademark.i-assist.jp/data/china/image_1927th/82458337.pdf","82458337")</f>
        <v>82458337</v>
      </c>
      <c r="F1615" s="9" t="s">
        <v>4558</v>
      </c>
      <c r="G1615" s="9" t="s">
        <v>4559</v>
      </c>
      <c r="H1615" s="9" t="s">
        <v>4560</v>
      </c>
      <c r="I1615" s="10">
        <v>45636</v>
      </c>
    </row>
    <row r="1616" spans="1:9" x14ac:dyDescent="0.15">
      <c r="A1616" s="9">
        <v>1615</v>
      </c>
      <c r="B1616" s="9" t="s">
        <v>9</v>
      </c>
      <c r="C1616" s="9">
        <v>1927</v>
      </c>
      <c r="D1616" s="10">
        <v>45729</v>
      </c>
      <c r="E1616" s="11" t="str">
        <f>+HYPERLINK("http://trademark.i-assist.jp/data/china/image_1927th/82458381.pdf","82458381")</f>
        <v>82458381</v>
      </c>
      <c r="F1616" s="9" t="s">
        <v>4561</v>
      </c>
      <c r="G1616" s="9" t="s">
        <v>202</v>
      </c>
      <c r="H1616" s="9" t="s">
        <v>4562</v>
      </c>
      <c r="I1616" s="10">
        <v>45636</v>
      </c>
    </row>
    <row r="1617" spans="1:9" x14ac:dyDescent="0.15">
      <c r="A1617" s="9">
        <v>1616</v>
      </c>
      <c r="B1617" s="9" t="s">
        <v>9</v>
      </c>
      <c r="C1617" s="9">
        <v>1927</v>
      </c>
      <c r="D1617" s="10">
        <v>45729</v>
      </c>
      <c r="E1617" s="11" t="str">
        <f>+HYPERLINK("http://trademark.i-assist.jp/data/china/image_1927th/82458586.pdf","82458586")</f>
        <v>82458586</v>
      </c>
      <c r="F1617" s="9" t="s">
        <v>4563</v>
      </c>
      <c r="G1617" s="9" t="s">
        <v>4564</v>
      </c>
      <c r="H1617" s="9" t="s">
        <v>4565</v>
      </c>
      <c r="I1617" s="10">
        <v>45636</v>
      </c>
    </row>
    <row r="1618" spans="1:9" x14ac:dyDescent="0.15">
      <c r="A1618" s="9">
        <v>1617</v>
      </c>
      <c r="B1618" s="9" t="s">
        <v>9</v>
      </c>
      <c r="C1618" s="9">
        <v>1927</v>
      </c>
      <c r="D1618" s="10">
        <v>45729</v>
      </c>
      <c r="E1618" s="11" t="str">
        <f>+HYPERLINK("http://trademark.i-assist.jp/data/china/image_1927th/82458612.pdf","82458612")</f>
        <v>82458612</v>
      </c>
      <c r="F1618" s="9" t="s">
        <v>4566</v>
      </c>
      <c r="G1618" s="12" t="s">
        <v>4344</v>
      </c>
      <c r="H1618" s="12" t="s">
        <v>4567</v>
      </c>
      <c r="I1618" s="10">
        <v>45636</v>
      </c>
    </row>
    <row r="1619" spans="1:9" x14ac:dyDescent="0.15">
      <c r="A1619" s="9">
        <v>1618</v>
      </c>
      <c r="B1619" s="9" t="s">
        <v>9</v>
      </c>
      <c r="C1619" s="9">
        <v>1927</v>
      </c>
      <c r="D1619" s="10">
        <v>45729</v>
      </c>
      <c r="E1619" s="11" t="str">
        <f>+HYPERLINK("http://trademark.i-assist.jp/data/china/image_1927th/82458682.pdf","82458682")</f>
        <v>82458682</v>
      </c>
      <c r="F1619" s="9" t="s">
        <v>4568</v>
      </c>
      <c r="G1619" s="9" t="s">
        <v>4569</v>
      </c>
      <c r="H1619" s="9" t="s">
        <v>4570</v>
      </c>
      <c r="I1619" s="10">
        <v>45636</v>
      </c>
    </row>
    <row r="1620" spans="1:9" x14ac:dyDescent="0.15">
      <c r="A1620" s="9">
        <v>1619</v>
      </c>
      <c r="B1620" s="9" t="s">
        <v>9</v>
      </c>
      <c r="C1620" s="9">
        <v>1927</v>
      </c>
      <c r="D1620" s="10">
        <v>45729</v>
      </c>
      <c r="E1620" s="11" t="str">
        <f>+HYPERLINK("http://trademark.i-assist.jp/data/china/image_1927th/82458932.pdf","82458932")</f>
        <v>82458932</v>
      </c>
      <c r="F1620" s="9" t="s">
        <v>4571</v>
      </c>
      <c r="G1620" s="9" t="s">
        <v>4572</v>
      </c>
      <c r="H1620" s="9" t="s">
        <v>4573</v>
      </c>
      <c r="I1620" s="10">
        <v>45636</v>
      </c>
    </row>
    <row r="1621" spans="1:9" x14ac:dyDescent="0.15">
      <c r="A1621" s="9">
        <v>1620</v>
      </c>
      <c r="B1621" s="9" t="s">
        <v>9</v>
      </c>
      <c r="C1621" s="9">
        <v>1927</v>
      </c>
      <c r="D1621" s="10">
        <v>45729</v>
      </c>
      <c r="E1621" s="11" t="str">
        <f>+HYPERLINK("http://trademark.i-assist.jp/data/china/image_1927th/82458980.pdf","82458980")</f>
        <v>82458980</v>
      </c>
      <c r="F1621" s="9" t="s">
        <v>4574</v>
      </c>
      <c r="G1621" s="9" t="s">
        <v>4575</v>
      </c>
      <c r="H1621" s="9" t="s">
        <v>4576</v>
      </c>
      <c r="I1621" s="10">
        <v>45636</v>
      </c>
    </row>
    <row r="1622" spans="1:9" x14ac:dyDescent="0.15">
      <c r="A1622" s="9">
        <v>1621</v>
      </c>
      <c r="B1622" s="9" t="s">
        <v>9</v>
      </c>
      <c r="C1622" s="9">
        <v>1927</v>
      </c>
      <c r="D1622" s="10">
        <v>45729</v>
      </c>
      <c r="E1622" s="11" t="str">
        <f>+HYPERLINK("http://trademark.i-assist.jp/data/china/image_1927th/82459052.pdf","82459052")</f>
        <v>82459052</v>
      </c>
      <c r="F1622" s="12" t="s">
        <v>4577</v>
      </c>
      <c r="G1622" s="12" t="s">
        <v>4578</v>
      </c>
      <c r="H1622" s="9" t="s">
        <v>4579</v>
      </c>
      <c r="I1622" s="10">
        <v>45636</v>
      </c>
    </row>
    <row r="1623" spans="1:9" x14ac:dyDescent="0.15">
      <c r="A1623" s="9">
        <v>1622</v>
      </c>
      <c r="B1623" s="9" t="s">
        <v>9</v>
      </c>
      <c r="C1623" s="9">
        <v>1927</v>
      </c>
      <c r="D1623" s="10">
        <v>45729</v>
      </c>
      <c r="E1623" s="11" t="str">
        <f>+HYPERLINK("http://trademark.i-assist.jp/data/china/image_1927th/82459126.pdf","82459126")</f>
        <v>82459126</v>
      </c>
      <c r="F1623" s="9" t="s">
        <v>4580</v>
      </c>
      <c r="G1623" s="9" t="s">
        <v>236</v>
      </c>
      <c r="H1623" s="9" t="s">
        <v>4581</v>
      </c>
      <c r="I1623" s="10">
        <v>45636</v>
      </c>
    </row>
    <row r="1624" spans="1:9" x14ac:dyDescent="0.15">
      <c r="A1624" s="9">
        <v>1623</v>
      </c>
      <c r="B1624" s="9" t="s">
        <v>9</v>
      </c>
      <c r="C1624" s="9">
        <v>1927</v>
      </c>
      <c r="D1624" s="10">
        <v>45729</v>
      </c>
      <c r="E1624" s="11" t="str">
        <f>+HYPERLINK("http://trademark.i-assist.jp/data/china/image_1927th/82459174.pdf","82459174")</f>
        <v>82459174</v>
      </c>
      <c r="F1624" s="13" t="s">
        <v>4582</v>
      </c>
      <c r="G1624" s="9" t="s">
        <v>4583</v>
      </c>
      <c r="H1624" s="9" t="s">
        <v>4584</v>
      </c>
      <c r="I1624" s="10">
        <v>45636</v>
      </c>
    </row>
    <row r="1625" spans="1:9" x14ac:dyDescent="0.15">
      <c r="A1625" s="9">
        <v>1624</v>
      </c>
      <c r="B1625" s="9" t="s">
        <v>9</v>
      </c>
      <c r="C1625" s="9">
        <v>1927</v>
      </c>
      <c r="D1625" s="10">
        <v>45729</v>
      </c>
      <c r="E1625" s="11" t="str">
        <f>+HYPERLINK("http://trademark.i-assist.jp/data/china/image_1927th/82459299.pdf","82459299")</f>
        <v>82459299</v>
      </c>
      <c r="F1625" s="9" t="s">
        <v>4585</v>
      </c>
      <c r="G1625" s="9" t="s">
        <v>4538</v>
      </c>
      <c r="H1625" s="9" t="s">
        <v>4586</v>
      </c>
      <c r="I1625" s="10">
        <v>45636</v>
      </c>
    </row>
    <row r="1626" spans="1:9" x14ac:dyDescent="0.15">
      <c r="A1626" s="9">
        <v>1625</v>
      </c>
      <c r="B1626" s="9" t="s">
        <v>9</v>
      </c>
      <c r="C1626" s="9">
        <v>1927</v>
      </c>
      <c r="D1626" s="10">
        <v>45729</v>
      </c>
      <c r="E1626" s="11" t="str">
        <f>+HYPERLINK("http://trademark.i-assist.jp/data/china/image_1927th/82459578.pdf","82459578")</f>
        <v>82459578</v>
      </c>
      <c r="F1626" s="9" t="s">
        <v>4587</v>
      </c>
      <c r="G1626" s="9" t="s">
        <v>4588</v>
      </c>
      <c r="H1626" s="12" t="s">
        <v>4589</v>
      </c>
      <c r="I1626" s="10">
        <v>45636</v>
      </c>
    </row>
    <row r="1627" spans="1:9" x14ac:dyDescent="0.15">
      <c r="A1627" s="9">
        <v>1626</v>
      </c>
      <c r="B1627" s="9" t="s">
        <v>9</v>
      </c>
      <c r="C1627" s="9">
        <v>1927</v>
      </c>
      <c r="D1627" s="10">
        <v>45729</v>
      </c>
      <c r="E1627" s="11" t="str">
        <f>+HYPERLINK("http://trademark.i-assist.jp/data/china/image_1927th/82460067.pdf","82460067")</f>
        <v>82460067</v>
      </c>
      <c r="F1627" s="9" t="s">
        <v>4590</v>
      </c>
      <c r="G1627" s="9" t="s">
        <v>208</v>
      </c>
      <c r="H1627" s="9" t="s">
        <v>4591</v>
      </c>
      <c r="I1627" s="10">
        <v>45636</v>
      </c>
    </row>
    <row r="1628" spans="1:9" x14ac:dyDescent="0.15">
      <c r="A1628" s="9">
        <v>1627</v>
      </c>
      <c r="B1628" s="9" t="s">
        <v>9</v>
      </c>
      <c r="C1628" s="9">
        <v>1927</v>
      </c>
      <c r="D1628" s="10">
        <v>45729</v>
      </c>
      <c r="E1628" s="11" t="str">
        <f>+HYPERLINK("http://trademark.i-assist.jp/data/china/image_1927th/82460165.pdf","82460165")</f>
        <v>82460165</v>
      </c>
      <c r="F1628" s="12" t="s">
        <v>4592</v>
      </c>
      <c r="G1628" s="12" t="s">
        <v>4344</v>
      </c>
      <c r="H1628" s="9" t="s">
        <v>4593</v>
      </c>
      <c r="I1628" s="10">
        <v>45636</v>
      </c>
    </row>
    <row r="1629" spans="1:9" x14ac:dyDescent="0.15">
      <c r="A1629" s="9">
        <v>1628</v>
      </c>
      <c r="B1629" s="9" t="s">
        <v>9</v>
      </c>
      <c r="C1629" s="9">
        <v>1927</v>
      </c>
      <c r="D1629" s="10">
        <v>45729</v>
      </c>
      <c r="E1629" s="11" t="str">
        <f>+HYPERLINK("http://trademark.i-assist.jp/data/china/image_1927th/82460390.pdf","82460390")</f>
        <v>82460390</v>
      </c>
      <c r="F1629" s="9" t="s">
        <v>4594</v>
      </c>
      <c r="G1629" s="9" t="s">
        <v>4595</v>
      </c>
      <c r="H1629" s="12" t="s">
        <v>4596</v>
      </c>
      <c r="I1629" s="10">
        <v>45636</v>
      </c>
    </row>
    <row r="1630" spans="1:9" x14ac:dyDescent="0.15">
      <c r="A1630" s="9">
        <v>1629</v>
      </c>
      <c r="B1630" s="9" t="s">
        <v>9</v>
      </c>
      <c r="C1630" s="9">
        <v>1927</v>
      </c>
      <c r="D1630" s="10">
        <v>45729</v>
      </c>
      <c r="E1630" s="11" t="str">
        <f>+HYPERLINK("http://trademark.i-assist.jp/data/china/image_1927th/82460523.pdf","82460523")</f>
        <v>82460523</v>
      </c>
      <c r="F1630" s="9" t="s">
        <v>4597</v>
      </c>
      <c r="G1630" s="9" t="s">
        <v>205</v>
      </c>
      <c r="H1630" s="9" t="s">
        <v>4598</v>
      </c>
      <c r="I1630" s="10">
        <v>45636</v>
      </c>
    </row>
    <row r="1631" spans="1:9" x14ac:dyDescent="0.15">
      <c r="A1631" s="9">
        <v>1630</v>
      </c>
      <c r="B1631" s="9" t="s">
        <v>9</v>
      </c>
      <c r="C1631" s="9">
        <v>1927</v>
      </c>
      <c r="D1631" s="10">
        <v>45729</v>
      </c>
      <c r="E1631" s="11" t="str">
        <f>+HYPERLINK("http://trademark.i-assist.jp/data/china/image_1927th/82460533.pdf","82460533")</f>
        <v>82460533</v>
      </c>
      <c r="F1631" s="9" t="s">
        <v>4599</v>
      </c>
      <c r="G1631" s="9" t="s">
        <v>4572</v>
      </c>
      <c r="H1631" s="12" t="s">
        <v>4600</v>
      </c>
      <c r="I1631" s="10">
        <v>45636</v>
      </c>
    </row>
    <row r="1632" spans="1:9" x14ac:dyDescent="0.15">
      <c r="A1632" s="9">
        <v>1631</v>
      </c>
      <c r="B1632" s="9" t="s">
        <v>9</v>
      </c>
      <c r="C1632" s="9">
        <v>1927</v>
      </c>
      <c r="D1632" s="10">
        <v>45729</v>
      </c>
      <c r="E1632" s="11" t="str">
        <f>+HYPERLINK("http://trademark.i-assist.jp/data/china/image_1927th/82461022.pdf","82461022")</f>
        <v>82461022</v>
      </c>
      <c r="F1632" s="9" t="s">
        <v>4601</v>
      </c>
      <c r="G1632" s="9" t="s">
        <v>4602</v>
      </c>
      <c r="H1632" s="9" t="s">
        <v>4603</v>
      </c>
      <c r="I1632" s="10">
        <v>45636</v>
      </c>
    </row>
    <row r="1633" spans="1:9" x14ac:dyDescent="0.15">
      <c r="A1633" s="9">
        <v>1632</v>
      </c>
      <c r="B1633" s="9" t="s">
        <v>9</v>
      </c>
      <c r="C1633" s="9">
        <v>1927</v>
      </c>
      <c r="D1633" s="10">
        <v>45729</v>
      </c>
      <c r="E1633" s="11" t="str">
        <f>+HYPERLINK("http://trademark.i-assist.jp/data/china/image_1927th/82461284.pdf","82461284")</f>
        <v>82461284</v>
      </c>
      <c r="F1633" s="9" t="s">
        <v>4604</v>
      </c>
      <c r="G1633" s="9" t="s">
        <v>84</v>
      </c>
      <c r="H1633" s="9" t="s">
        <v>4605</v>
      </c>
      <c r="I1633" s="10">
        <v>45636</v>
      </c>
    </row>
    <row r="1634" spans="1:9" x14ac:dyDescent="0.15">
      <c r="A1634" s="9">
        <v>1633</v>
      </c>
      <c r="B1634" s="9" t="s">
        <v>9</v>
      </c>
      <c r="C1634" s="9">
        <v>1927</v>
      </c>
      <c r="D1634" s="10">
        <v>45729</v>
      </c>
      <c r="E1634" s="11" t="str">
        <f>+HYPERLINK("http://trademark.i-assist.jp/data/china/image_1927th/82461559.pdf","82461559")</f>
        <v>82461559</v>
      </c>
      <c r="F1634" s="9" t="s">
        <v>4606</v>
      </c>
      <c r="G1634" s="9" t="s">
        <v>23</v>
      </c>
      <c r="H1634" s="9" t="s">
        <v>4607</v>
      </c>
      <c r="I1634" s="10">
        <v>45636</v>
      </c>
    </row>
    <row r="1635" spans="1:9" x14ac:dyDescent="0.15">
      <c r="A1635" s="9">
        <v>1634</v>
      </c>
      <c r="B1635" s="9" t="s">
        <v>9</v>
      </c>
      <c r="C1635" s="9">
        <v>1927</v>
      </c>
      <c r="D1635" s="10">
        <v>45729</v>
      </c>
      <c r="E1635" s="11" t="str">
        <f>+HYPERLINK("http://trademark.i-assist.jp/data/china/image_1927th/82461779.pdf","82461779")</f>
        <v>82461779</v>
      </c>
      <c r="F1635" s="9" t="s">
        <v>4608</v>
      </c>
      <c r="G1635" s="12" t="s">
        <v>4344</v>
      </c>
      <c r="H1635" s="9" t="s">
        <v>4609</v>
      </c>
      <c r="I1635" s="10">
        <v>45636</v>
      </c>
    </row>
    <row r="1636" spans="1:9" x14ac:dyDescent="0.15">
      <c r="A1636" s="9">
        <v>1635</v>
      </c>
      <c r="B1636" s="9" t="s">
        <v>9</v>
      </c>
      <c r="C1636" s="9">
        <v>1927</v>
      </c>
      <c r="D1636" s="10">
        <v>45729</v>
      </c>
      <c r="E1636" s="11" t="str">
        <f>+HYPERLINK("http://trademark.i-assist.jp/data/china/image_1927th/82462053.pdf","82462053")</f>
        <v>82462053</v>
      </c>
      <c r="F1636" s="9" t="s">
        <v>4610</v>
      </c>
      <c r="G1636" s="12" t="s">
        <v>4611</v>
      </c>
      <c r="H1636" s="9" t="s">
        <v>4612</v>
      </c>
      <c r="I1636" s="10">
        <v>45636</v>
      </c>
    </row>
    <row r="1637" spans="1:9" x14ac:dyDescent="0.15">
      <c r="A1637" s="9">
        <v>1636</v>
      </c>
      <c r="B1637" s="9" t="s">
        <v>9</v>
      </c>
      <c r="C1637" s="9">
        <v>1927</v>
      </c>
      <c r="D1637" s="10">
        <v>45729</v>
      </c>
      <c r="E1637" s="11" t="str">
        <f>+HYPERLINK("http://trademark.i-assist.jp/data/china/image_1927th/82462131.pdf","82462131")</f>
        <v>82462131</v>
      </c>
      <c r="F1637" s="12" t="s">
        <v>4613</v>
      </c>
      <c r="G1637" s="12" t="s">
        <v>4614</v>
      </c>
      <c r="H1637" s="9" t="s">
        <v>4615</v>
      </c>
      <c r="I1637" s="10">
        <v>45636</v>
      </c>
    </row>
    <row r="1638" spans="1:9" x14ac:dyDescent="0.15">
      <c r="A1638" s="9">
        <v>1637</v>
      </c>
      <c r="B1638" s="9" t="s">
        <v>9</v>
      </c>
      <c r="C1638" s="9">
        <v>1927</v>
      </c>
      <c r="D1638" s="10">
        <v>45729</v>
      </c>
      <c r="E1638" s="11" t="str">
        <f>+HYPERLINK("http://trademark.i-assist.jp/data/china/image_1927th/82462299.pdf","82462299")</f>
        <v>82462299</v>
      </c>
      <c r="F1638" s="9" t="s">
        <v>4616</v>
      </c>
      <c r="G1638" s="9" t="s">
        <v>4617</v>
      </c>
      <c r="H1638" s="9" t="s">
        <v>4618</v>
      </c>
      <c r="I1638" s="10">
        <v>45636</v>
      </c>
    </row>
    <row r="1639" spans="1:9" x14ac:dyDescent="0.15">
      <c r="A1639" s="9">
        <v>1638</v>
      </c>
      <c r="B1639" s="9" t="s">
        <v>9</v>
      </c>
      <c r="C1639" s="9">
        <v>1927</v>
      </c>
      <c r="D1639" s="10">
        <v>45729</v>
      </c>
      <c r="E1639" s="11" t="str">
        <f>+HYPERLINK("http://trademark.i-assist.jp/data/china/image_1927th/82462330.pdf","82462330")</f>
        <v>82462330</v>
      </c>
      <c r="F1639" s="9" t="s">
        <v>4619</v>
      </c>
      <c r="G1639" s="12" t="s">
        <v>4620</v>
      </c>
      <c r="H1639" s="9" t="s">
        <v>4621</v>
      </c>
      <c r="I1639" s="10">
        <v>45636</v>
      </c>
    </row>
    <row r="1640" spans="1:9" x14ac:dyDescent="0.15">
      <c r="A1640" s="9">
        <v>1639</v>
      </c>
      <c r="B1640" s="9" t="s">
        <v>9</v>
      </c>
      <c r="C1640" s="9">
        <v>1927</v>
      </c>
      <c r="D1640" s="10">
        <v>45729</v>
      </c>
      <c r="E1640" s="11" t="str">
        <f>+HYPERLINK("http://trademark.i-assist.jp/data/china/image_1927th/82462449.pdf","82462449")</f>
        <v>82462449</v>
      </c>
      <c r="F1640" s="9" t="s">
        <v>4622</v>
      </c>
      <c r="G1640" s="9" t="s">
        <v>4459</v>
      </c>
      <c r="H1640" s="9" t="s">
        <v>4623</v>
      </c>
      <c r="I1640" s="10">
        <v>45636</v>
      </c>
    </row>
    <row r="1641" spans="1:9" x14ac:dyDescent="0.15">
      <c r="A1641" s="9">
        <v>1640</v>
      </c>
      <c r="B1641" s="9" t="s">
        <v>9</v>
      </c>
      <c r="C1641" s="9">
        <v>1927</v>
      </c>
      <c r="D1641" s="10">
        <v>45729</v>
      </c>
      <c r="E1641" s="11" t="str">
        <f>+HYPERLINK("http://trademark.i-assist.jp/data/china/image_1927th/82462465.pdf","82462465")</f>
        <v>82462465</v>
      </c>
      <c r="F1641" s="9" t="s">
        <v>4624</v>
      </c>
      <c r="G1641" s="9" t="s">
        <v>4625</v>
      </c>
      <c r="H1641" s="9" t="s">
        <v>4626</v>
      </c>
      <c r="I1641" s="10">
        <v>45636</v>
      </c>
    </row>
    <row r="1642" spans="1:9" x14ac:dyDescent="0.15">
      <c r="A1642" s="9">
        <v>1641</v>
      </c>
      <c r="B1642" s="9" t="s">
        <v>9</v>
      </c>
      <c r="C1642" s="9">
        <v>1927</v>
      </c>
      <c r="D1642" s="10">
        <v>45729</v>
      </c>
      <c r="E1642" s="11" t="str">
        <f>+HYPERLINK("http://trademark.i-assist.jp/data/china/image_1927th/82462579.pdf","82462579")</f>
        <v>82462579</v>
      </c>
      <c r="F1642" s="9" t="s">
        <v>4627</v>
      </c>
      <c r="G1642" s="12" t="s">
        <v>4344</v>
      </c>
      <c r="H1642" s="9" t="s">
        <v>4628</v>
      </c>
      <c r="I1642" s="10">
        <v>45636</v>
      </c>
    </row>
    <row r="1643" spans="1:9" x14ac:dyDescent="0.15">
      <c r="A1643" s="9">
        <v>1642</v>
      </c>
      <c r="B1643" s="9" t="s">
        <v>9</v>
      </c>
      <c r="C1643" s="9">
        <v>1927</v>
      </c>
      <c r="D1643" s="10">
        <v>45729</v>
      </c>
      <c r="E1643" s="11" t="str">
        <f>+HYPERLINK("http://trademark.i-assist.jp/data/china/image_1927th/82462864.pdf","82462864")</f>
        <v>82462864</v>
      </c>
      <c r="F1643" s="9" t="s">
        <v>4629</v>
      </c>
      <c r="G1643" s="9" t="s">
        <v>88</v>
      </c>
      <c r="H1643" s="9" t="s">
        <v>4630</v>
      </c>
      <c r="I1643" s="10">
        <v>45636</v>
      </c>
    </row>
    <row r="1644" spans="1:9" x14ac:dyDescent="0.15">
      <c r="A1644" s="9">
        <v>1643</v>
      </c>
      <c r="B1644" s="9" t="s">
        <v>9</v>
      </c>
      <c r="C1644" s="9">
        <v>1927</v>
      </c>
      <c r="D1644" s="10">
        <v>45729</v>
      </c>
      <c r="E1644" s="11" t="str">
        <f>+HYPERLINK("http://trademark.i-assist.jp/data/china/image_1927th/82462921.pdf","82462921")</f>
        <v>82462921</v>
      </c>
      <c r="F1644" s="12" t="s">
        <v>4631</v>
      </c>
      <c r="G1644" s="12" t="s">
        <v>4632</v>
      </c>
      <c r="H1644" s="9" t="s">
        <v>4633</v>
      </c>
      <c r="I1644" s="10">
        <v>45636</v>
      </c>
    </row>
    <row r="1645" spans="1:9" x14ac:dyDescent="0.15">
      <c r="A1645" s="9">
        <v>1644</v>
      </c>
      <c r="B1645" s="9" t="s">
        <v>9</v>
      </c>
      <c r="C1645" s="9">
        <v>1927</v>
      </c>
      <c r="D1645" s="10">
        <v>45729</v>
      </c>
      <c r="E1645" s="11" t="str">
        <f>+HYPERLINK("http://trademark.i-assist.jp/data/china/image_1927th/82462924.pdf","82462924")</f>
        <v>82462924</v>
      </c>
      <c r="F1645" s="12" t="s">
        <v>4634</v>
      </c>
      <c r="G1645" s="9" t="s">
        <v>4635</v>
      </c>
      <c r="H1645" s="9" t="s">
        <v>4636</v>
      </c>
      <c r="I1645" s="10">
        <v>45636</v>
      </c>
    </row>
    <row r="1646" spans="1:9" x14ac:dyDescent="0.15">
      <c r="A1646" s="9">
        <v>1645</v>
      </c>
      <c r="B1646" s="9" t="s">
        <v>9</v>
      </c>
      <c r="C1646" s="9">
        <v>1927</v>
      </c>
      <c r="D1646" s="10">
        <v>45729</v>
      </c>
      <c r="E1646" s="11" t="str">
        <f>+HYPERLINK("http://trademark.i-assist.jp/data/china/image_1927th/82463135.pdf","82463135")</f>
        <v>82463135</v>
      </c>
      <c r="F1646" s="12" t="s">
        <v>4637</v>
      </c>
      <c r="G1646" s="9" t="s">
        <v>4638</v>
      </c>
      <c r="H1646" s="12" t="s">
        <v>4639</v>
      </c>
      <c r="I1646" s="10">
        <v>45636</v>
      </c>
    </row>
    <row r="1647" spans="1:9" x14ac:dyDescent="0.15">
      <c r="A1647" s="9">
        <v>1646</v>
      </c>
      <c r="B1647" s="9" t="s">
        <v>9</v>
      </c>
      <c r="C1647" s="9">
        <v>1927</v>
      </c>
      <c r="D1647" s="10">
        <v>45729</v>
      </c>
      <c r="E1647" s="11" t="str">
        <f>+HYPERLINK("http://trademark.i-assist.jp/data/china/image_1927th/82463588.pdf","82463588")</f>
        <v>82463588</v>
      </c>
      <c r="F1647" s="12" t="s">
        <v>4640</v>
      </c>
      <c r="G1647" s="9" t="s">
        <v>4641</v>
      </c>
      <c r="H1647" s="9" t="s">
        <v>4642</v>
      </c>
      <c r="I1647" s="10">
        <v>45636</v>
      </c>
    </row>
    <row r="1648" spans="1:9" x14ac:dyDescent="0.15">
      <c r="A1648" s="9">
        <v>1647</v>
      </c>
      <c r="B1648" s="9" t="s">
        <v>9</v>
      </c>
      <c r="C1648" s="9">
        <v>1927</v>
      </c>
      <c r="D1648" s="10">
        <v>45729</v>
      </c>
      <c r="E1648" s="11" t="str">
        <f>+HYPERLINK("http://trademark.i-assist.jp/data/china/image_1927th/82463927.pdf","82463927")</f>
        <v>82463927</v>
      </c>
      <c r="F1648" s="9" t="s">
        <v>4643</v>
      </c>
      <c r="G1648" s="9" t="s">
        <v>4641</v>
      </c>
      <c r="H1648" s="9" t="s">
        <v>4644</v>
      </c>
      <c r="I1648" s="10">
        <v>45636</v>
      </c>
    </row>
    <row r="1649" spans="1:9" x14ac:dyDescent="0.15">
      <c r="A1649" s="9">
        <v>1648</v>
      </c>
      <c r="B1649" s="9" t="s">
        <v>9</v>
      </c>
      <c r="C1649" s="9">
        <v>1927</v>
      </c>
      <c r="D1649" s="10">
        <v>45729</v>
      </c>
      <c r="E1649" s="11" t="str">
        <f>+HYPERLINK("http://trademark.i-assist.jp/data/china/image_1927th/82464037.pdf","82464037")</f>
        <v>82464037</v>
      </c>
      <c r="F1649" s="9" t="s">
        <v>4645</v>
      </c>
      <c r="G1649" s="9" t="s">
        <v>4646</v>
      </c>
      <c r="H1649" s="9" t="s">
        <v>4647</v>
      </c>
      <c r="I1649" s="10">
        <v>45636</v>
      </c>
    </row>
    <row r="1650" spans="1:9" x14ac:dyDescent="0.15">
      <c r="A1650" s="9">
        <v>1649</v>
      </c>
      <c r="B1650" s="9" t="s">
        <v>9</v>
      </c>
      <c r="C1650" s="9">
        <v>1927</v>
      </c>
      <c r="D1650" s="10">
        <v>45729</v>
      </c>
      <c r="E1650" s="11" t="str">
        <f>+HYPERLINK("http://trademark.i-assist.jp/data/china/image_1927th/82464390.pdf","82464390")</f>
        <v>82464390</v>
      </c>
      <c r="F1650" s="9" t="s">
        <v>4648</v>
      </c>
      <c r="G1650" s="9" t="s">
        <v>4649</v>
      </c>
      <c r="H1650" s="9" t="s">
        <v>4650</v>
      </c>
      <c r="I1650" s="10">
        <v>45636</v>
      </c>
    </row>
    <row r="1651" spans="1:9" x14ac:dyDescent="0.15">
      <c r="A1651" s="9">
        <v>1650</v>
      </c>
      <c r="B1651" s="9" t="s">
        <v>9</v>
      </c>
      <c r="C1651" s="9">
        <v>1927</v>
      </c>
      <c r="D1651" s="10">
        <v>45729</v>
      </c>
      <c r="E1651" s="11" t="str">
        <f>+HYPERLINK("http://trademark.i-assist.jp/data/china/image_1927th/82464543.pdf","82464543")</f>
        <v>82464543</v>
      </c>
      <c r="F1651" s="9" t="s">
        <v>4651</v>
      </c>
      <c r="G1651" s="9" t="s">
        <v>62</v>
      </c>
      <c r="H1651" s="9" t="s">
        <v>4652</v>
      </c>
      <c r="I1651" s="10">
        <v>45636</v>
      </c>
    </row>
    <row r="1652" spans="1:9" x14ac:dyDescent="0.15">
      <c r="A1652" s="9">
        <v>1651</v>
      </c>
      <c r="B1652" s="9" t="s">
        <v>9</v>
      </c>
      <c r="C1652" s="9">
        <v>1927</v>
      </c>
      <c r="D1652" s="10">
        <v>45729</v>
      </c>
      <c r="E1652" s="11" t="str">
        <f>+HYPERLINK("http://trademark.i-assist.jp/data/china/image_1927th/82464803.pdf","82464803")</f>
        <v>82464803</v>
      </c>
      <c r="F1652" s="12" t="s">
        <v>3468</v>
      </c>
      <c r="G1652" s="9" t="s">
        <v>3469</v>
      </c>
      <c r="H1652" s="9" t="s">
        <v>4653</v>
      </c>
      <c r="I1652" s="10">
        <v>45636</v>
      </c>
    </row>
    <row r="1653" spans="1:9" x14ac:dyDescent="0.15">
      <c r="A1653" s="9">
        <v>1652</v>
      </c>
      <c r="B1653" s="9" t="s">
        <v>9</v>
      </c>
      <c r="C1653" s="9">
        <v>1927</v>
      </c>
      <c r="D1653" s="10">
        <v>45729</v>
      </c>
      <c r="E1653" s="11" t="str">
        <f>+HYPERLINK("http://trademark.i-assist.jp/data/china/image_1927th/82464809.pdf","82464809")</f>
        <v>82464809</v>
      </c>
      <c r="F1653" s="9" t="s">
        <v>4654</v>
      </c>
      <c r="G1653" s="12" t="s">
        <v>4655</v>
      </c>
      <c r="H1653" s="9" t="s">
        <v>4656</v>
      </c>
      <c r="I1653" s="10">
        <v>45636</v>
      </c>
    </row>
    <row r="1654" spans="1:9" x14ac:dyDescent="0.15">
      <c r="A1654" s="9">
        <v>1653</v>
      </c>
      <c r="B1654" s="9" t="s">
        <v>9</v>
      </c>
      <c r="C1654" s="9">
        <v>1927</v>
      </c>
      <c r="D1654" s="10">
        <v>45729</v>
      </c>
      <c r="E1654" s="11" t="str">
        <f>+HYPERLINK("http://trademark.i-assist.jp/data/china/image_1927th/82465436.pdf","82465436")</f>
        <v>82465436</v>
      </c>
      <c r="F1654" s="9" t="s">
        <v>4657</v>
      </c>
      <c r="G1654" s="9" t="s">
        <v>4658</v>
      </c>
      <c r="H1654" s="12" t="s">
        <v>4659</v>
      </c>
      <c r="I1654" s="10">
        <v>45636</v>
      </c>
    </row>
    <row r="1655" spans="1:9" x14ac:dyDescent="0.15">
      <c r="A1655" s="9">
        <v>1654</v>
      </c>
      <c r="B1655" s="9" t="s">
        <v>9</v>
      </c>
      <c r="C1655" s="9">
        <v>1927</v>
      </c>
      <c r="D1655" s="10">
        <v>45729</v>
      </c>
      <c r="E1655" s="11" t="str">
        <f>+HYPERLINK("http://trademark.i-assist.jp/data/china/image_1927th/82465844.pdf","82465844")</f>
        <v>82465844</v>
      </c>
      <c r="F1655" s="12" t="s">
        <v>4660</v>
      </c>
      <c r="G1655" s="9" t="s">
        <v>4661</v>
      </c>
      <c r="H1655" s="9" t="s">
        <v>4662</v>
      </c>
      <c r="I1655" s="10">
        <v>45636</v>
      </c>
    </row>
    <row r="1656" spans="1:9" x14ac:dyDescent="0.15">
      <c r="A1656" s="9">
        <v>1655</v>
      </c>
      <c r="B1656" s="9" t="s">
        <v>9</v>
      </c>
      <c r="C1656" s="9">
        <v>1927</v>
      </c>
      <c r="D1656" s="10">
        <v>45729</v>
      </c>
      <c r="E1656" s="11" t="str">
        <f>+HYPERLINK("http://trademark.i-assist.jp/data/china/image_1927th/82465987.pdf","82465987")</f>
        <v>82465987</v>
      </c>
      <c r="F1656" s="9" t="s">
        <v>4663</v>
      </c>
      <c r="G1656" s="12" t="s">
        <v>4664</v>
      </c>
      <c r="H1656" s="12" t="s">
        <v>4665</v>
      </c>
      <c r="I1656" s="10">
        <v>45636</v>
      </c>
    </row>
    <row r="1657" spans="1:9" x14ac:dyDescent="0.15">
      <c r="A1657" s="9">
        <v>1656</v>
      </c>
      <c r="B1657" s="9" t="s">
        <v>9</v>
      </c>
      <c r="C1657" s="9">
        <v>1927</v>
      </c>
      <c r="D1657" s="10">
        <v>45729</v>
      </c>
      <c r="E1657" s="11" t="str">
        <f>+HYPERLINK("http://trademark.i-assist.jp/data/china/image_1927th/82466380.pdf","82466380")</f>
        <v>82466380</v>
      </c>
      <c r="F1657" s="9" t="s">
        <v>4666</v>
      </c>
      <c r="G1657" s="12" t="s">
        <v>4344</v>
      </c>
      <c r="H1657" s="9" t="s">
        <v>4667</v>
      </c>
      <c r="I1657" s="10">
        <v>45636</v>
      </c>
    </row>
    <row r="1658" spans="1:9" x14ac:dyDescent="0.15">
      <c r="A1658" s="9">
        <v>1657</v>
      </c>
      <c r="B1658" s="9" t="s">
        <v>9</v>
      </c>
      <c r="C1658" s="9">
        <v>1927</v>
      </c>
      <c r="D1658" s="10">
        <v>45729</v>
      </c>
      <c r="E1658" s="11" t="str">
        <f>+HYPERLINK("http://trademark.i-assist.jp/data/china/image_1927th/82466614.pdf","82466614")</f>
        <v>82466614</v>
      </c>
      <c r="F1658" s="9" t="s">
        <v>4668</v>
      </c>
      <c r="G1658" s="9" t="s">
        <v>4669</v>
      </c>
      <c r="H1658" s="9" t="s">
        <v>4670</v>
      </c>
      <c r="I1658" s="10">
        <v>45636</v>
      </c>
    </row>
    <row r="1659" spans="1:9" x14ac:dyDescent="0.15">
      <c r="A1659" s="9">
        <v>1658</v>
      </c>
      <c r="B1659" s="9" t="s">
        <v>9</v>
      </c>
      <c r="C1659" s="9">
        <v>1927</v>
      </c>
      <c r="D1659" s="10">
        <v>45729</v>
      </c>
      <c r="E1659" s="11" t="str">
        <f>+HYPERLINK("http://trademark.i-assist.jp/data/china/image_1927th/82466853.pdf","82466853")</f>
        <v>82466853</v>
      </c>
      <c r="F1659" s="9" t="s">
        <v>4671</v>
      </c>
      <c r="G1659" s="9" t="s">
        <v>58</v>
      </c>
      <c r="H1659" s="9" t="s">
        <v>4672</v>
      </c>
      <c r="I1659" s="10">
        <v>45636</v>
      </c>
    </row>
    <row r="1660" spans="1:9" x14ac:dyDescent="0.15">
      <c r="A1660" s="9">
        <v>1659</v>
      </c>
      <c r="B1660" s="9" t="s">
        <v>9</v>
      </c>
      <c r="C1660" s="9">
        <v>1927</v>
      </c>
      <c r="D1660" s="10">
        <v>45729</v>
      </c>
      <c r="E1660" s="11" t="str">
        <f>+HYPERLINK("http://trademark.i-assist.jp/data/china/image_1927th/82467000.pdf","82467000")</f>
        <v>82467000</v>
      </c>
      <c r="F1660" s="9" t="s">
        <v>4673</v>
      </c>
      <c r="G1660" s="9" t="s">
        <v>4674</v>
      </c>
      <c r="H1660" s="9" t="s">
        <v>4675</v>
      </c>
      <c r="I1660" s="10">
        <v>45636</v>
      </c>
    </row>
    <row r="1661" spans="1:9" x14ac:dyDescent="0.15">
      <c r="A1661" s="9">
        <v>1660</v>
      </c>
      <c r="B1661" s="9" t="s">
        <v>9</v>
      </c>
      <c r="C1661" s="9">
        <v>1927</v>
      </c>
      <c r="D1661" s="10">
        <v>45729</v>
      </c>
      <c r="E1661" s="11" t="str">
        <f>+HYPERLINK("http://trademark.i-assist.jp/data/china/image_1927th/82467081.pdf","82467081")</f>
        <v>82467081</v>
      </c>
      <c r="F1661" s="9" t="s">
        <v>4676</v>
      </c>
      <c r="G1661" s="9" t="s">
        <v>4677</v>
      </c>
      <c r="H1661" s="9" t="s">
        <v>4678</v>
      </c>
      <c r="I1661" s="10">
        <v>45636</v>
      </c>
    </row>
    <row r="1662" spans="1:9" x14ac:dyDescent="0.15">
      <c r="A1662" s="9">
        <v>1661</v>
      </c>
      <c r="B1662" s="9" t="s">
        <v>9</v>
      </c>
      <c r="C1662" s="9">
        <v>1927</v>
      </c>
      <c r="D1662" s="10">
        <v>45729</v>
      </c>
      <c r="E1662" s="11" t="str">
        <f>+HYPERLINK("http://trademark.i-assist.jp/data/china/image_1927th/82467321.pdf","82467321")</f>
        <v>82467321</v>
      </c>
      <c r="F1662" s="9" t="s">
        <v>4679</v>
      </c>
      <c r="G1662" s="12" t="s">
        <v>4680</v>
      </c>
      <c r="H1662" s="9" t="s">
        <v>4681</v>
      </c>
      <c r="I1662" s="10">
        <v>45636</v>
      </c>
    </row>
    <row r="1663" spans="1:9" x14ac:dyDescent="0.15">
      <c r="A1663" s="9">
        <v>1662</v>
      </c>
      <c r="B1663" s="9" t="s">
        <v>9</v>
      </c>
      <c r="C1663" s="9">
        <v>1927</v>
      </c>
      <c r="D1663" s="10">
        <v>45729</v>
      </c>
      <c r="E1663" s="11" t="str">
        <f>+HYPERLINK("http://trademark.i-assist.jp/data/china/image_1927th/82467384.pdf","82467384")</f>
        <v>82467384</v>
      </c>
      <c r="F1663" s="12" t="s">
        <v>4682</v>
      </c>
      <c r="G1663" s="9" t="s">
        <v>4683</v>
      </c>
      <c r="H1663" s="9" t="s">
        <v>4684</v>
      </c>
      <c r="I1663" s="10">
        <v>45636</v>
      </c>
    </row>
    <row r="1664" spans="1:9" x14ac:dyDescent="0.15">
      <c r="A1664" s="9">
        <v>1663</v>
      </c>
      <c r="B1664" s="9" t="s">
        <v>9</v>
      </c>
      <c r="C1664" s="9">
        <v>1927</v>
      </c>
      <c r="D1664" s="10">
        <v>45729</v>
      </c>
      <c r="E1664" s="11" t="str">
        <f>+HYPERLINK("http://trademark.i-assist.jp/data/china/image_1927th/82467498.pdf","82467498")</f>
        <v>82467498</v>
      </c>
      <c r="F1664" s="9" t="s">
        <v>4685</v>
      </c>
      <c r="G1664" s="9" t="s">
        <v>4686</v>
      </c>
      <c r="H1664" s="9" t="s">
        <v>4687</v>
      </c>
      <c r="I1664" s="10">
        <v>45636</v>
      </c>
    </row>
    <row r="1665" spans="1:9" x14ac:dyDescent="0.15">
      <c r="A1665" s="9">
        <v>1664</v>
      </c>
      <c r="B1665" s="9" t="s">
        <v>9</v>
      </c>
      <c r="C1665" s="9">
        <v>1927</v>
      </c>
      <c r="D1665" s="10">
        <v>45729</v>
      </c>
      <c r="E1665" s="11" t="str">
        <f>+HYPERLINK("http://trademark.i-assist.jp/data/china/image_1927th/82467695.pdf","82467695")</f>
        <v>82467695</v>
      </c>
      <c r="F1665" s="12" t="s">
        <v>4688</v>
      </c>
      <c r="G1665" s="12" t="s">
        <v>4347</v>
      </c>
      <c r="H1665" s="9" t="s">
        <v>4689</v>
      </c>
      <c r="I1665" s="10">
        <v>45636</v>
      </c>
    </row>
    <row r="1666" spans="1:9" x14ac:dyDescent="0.15">
      <c r="A1666" s="9">
        <v>1665</v>
      </c>
      <c r="B1666" s="9" t="s">
        <v>9</v>
      </c>
      <c r="C1666" s="9">
        <v>1927</v>
      </c>
      <c r="D1666" s="10">
        <v>45729</v>
      </c>
      <c r="E1666" s="11" t="str">
        <f>+HYPERLINK("http://trademark.i-assist.jp/data/china/image_1927th/82467723.pdf","82467723")</f>
        <v>82467723</v>
      </c>
      <c r="F1666" s="9" t="s">
        <v>4690</v>
      </c>
      <c r="G1666" s="12" t="s">
        <v>4691</v>
      </c>
      <c r="H1666" s="9" t="s">
        <v>4692</v>
      </c>
      <c r="I1666" s="10">
        <v>45636</v>
      </c>
    </row>
    <row r="1667" spans="1:9" x14ac:dyDescent="0.15">
      <c r="A1667" s="9">
        <v>1666</v>
      </c>
      <c r="B1667" s="9" t="s">
        <v>9</v>
      </c>
      <c r="C1667" s="9">
        <v>1927</v>
      </c>
      <c r="D1667" s="10">
        <v>45729</v>
      </c>
      <c r="E1667" s="11" t="str">
        <f>+HYPERLINK("http://trademark.i-assist.jp/data/china/image_1927th/82467935.pdf","82467935")</f>
        <v>82467935</v>
      </c>
      <c r="F1667" s="12" t="s">
        <v>4693</v>
      </c>
      <c r="G1667" s="9" t="s">
        <v>4694</v>
      </c>
      <c r="H1667" s="9" t="s">
        <v>4695</v>
      </c>
      <c r="I1667" s="10">
        <v>45636</v>
      </c>
    </row>
    <row r="1668" spans="1:9" x14ac:dyDescent="0.15">
      <c r="A1668" s="9">
        <v>1667</v>
      </c>
      <c r="B1668" s="9" t="s">
        <v>9</v>
      </c>
      <c r="C1668" s="9">
        <v>1927</v>
      </c>
      <c r="D1668" s="10">
        <v>45729</v>
      </c>
      <c r="E1668" s="11" t="str">
        <f>+HYPERLINK("http://trademark.i-assist.jp/data/china/image_1927th/82468048.pdf","82468048")</f>
        <v>82468048</v>
      </c>
      <c r="F1668" s="12" t="s">
        <v>4696</v>
      </c>
      <c r="G1668" s="9" t="s">
        <v>4697</v>
      </c>
      <c r="H1668" s="9" t="s">
        <v>4698</v>
      </c>
      <c r="I1668" s="10">
        <v>45636</v>
      </c>
    </row>
    <row r="1669" spans="1:9" x14ac:dyDescent="0.15">
      <c r="A1669" s="9">
        <v>1668</v>
      </c>
      <c r="B1669" s="9" t="s">
        <v>9</v>
      </c>
      <c r="C1669" s="9">
        <v>1927</v>
      </c>
      <c r="D1669" s="10">
        <v>45729</v>
      </c>
      <c r="E1669" s="11" t="str">
        <f>+HYPERLINK("http://trademark.i-assist.jp/data/china/image_1927th/82468244.pdf","82468244")</f>
        <v>82468244</v>
      </c>
      <c r="F1669" s="9" t="s">
        <v>4699</v>
      </c>
      <c r="G1669" s="9" t="s">
        <v>4700</v>
      </c>
      <c r="H1669" s="9" t="s">
        <v>4701</v>
      </c>
      <c r="I1669" s="10">
        <v>45636</v>
      </c>
    </row>
    <row r="1670" spans="1:9" x14ac:dyDescent="0.15">
      <c r="A1670" s="9">
        <v>1669</v>
      </c>
      <c r="B1670" s="9" t="s">
        <v>9</v>
      </c>
      <c r="C1670" s="9">
        <v>1927</v>
      </c>
      <c r="D1670" s="10">
        <v>45729</v>
      </c>
      <c r="E1670" s="11" t="str">
        <f>+HYPERLINK("http://trademark.i-assist.jp/data/china/image_1927th/82468353.pdf","82468353")</f>
        <v>82468353</v>
      </c>
      <c r="F1670" s="9" t="s">
        <v>4702</v>
      </c>
      <c r="G1670" s="9" t="s">
        <v>4703</v>
      </c>
      <c r="H1670" s="9" t="s">
        <v>4704</v>
      </c>
      <c r="I1670" s="10">
        <v>45636</v>
      </c>
    </row>
    <row r="1671" spans="1:9" x14ac:dyDescent="0.15">
      <c r="A1671" s="9">
        <v>1670</v>
      </c>
      <c r="B1671" s="9" t="s">
        <v>9</v>
      </c>
      <c r="C1671" s="9">
        <v>1927</v>
      </c>
      <c r="D1671" s="10">
        <v>45729</v>
      </c>
      <c r="E1671" s="11" t="str">
        <f>+HYPERLINK("http://trademark.i-assist.jp/data/china/image_1927th/82468425.pdf","82468425")</f>
        <v>82468425</v>
      </c>
      <c r="F1671" s="9" t="s">
        <v>4705</v>
      </c>
      <c r="G1671" s="9" t="s">
        <v>4706</v>
      </c>
      <c r="H1671" s="9" t="s">
        <v>4707</v>
      </c>
      <c r="I1671" s="10">
        <v>45636</v>
      </c>
    </row>
    <row r="1672" spans="1:9" x14ac:dyDescent="0.15">
      <c r="A1672" s="9">
        <v>1671</v>
      </c>
      <c r="B1672" s="9" t="s">
        <v>9</v>
      </c>
      <c r="C1672" s="9">
        <v>1927</v>
      </c>
      <c r="D1672" s="10">
        <v>45729</v>
      </c>
      <c r="E1672" s="11" t="str">
        <f>+HYPERLINK("http://trademark.i-assist.jp/data/china/image_1927th/82468485.pdf","82468485")</f>
        <v>82468485</v>
      </c>
      <c r="F1672" s="9" t="s">
        <v>4708</v>
      </c>
      <c r="G1672" s="9" t="s">
        <v>4447</v>
      </c>
      <c r="H1672" s="9" t="s">
        <v>4709</v>
      </c>
      <c r="I1672" s="10">
        <v>45636</v>
      </c>
    </row>
    <row r="1673" spans="1:9" x14ac:dyDescent="0.15">
      <c r="A1673" s="9">
        <v>1672</v>
      </c>
      <c r="B1673" s="9" t="s">
        <v>9</v>
      </c>
      <c r="C1673" s="9">
        <v>1927</v>
      </c>
      <c r="D1673" s="10">
        <v>45729</v>
      </c>
      <c r="E1673" s="11" t="str">
        <f>+HYPERLINK("http://trademark.i-assist.jp/data/china/image_1927th/82468502.pdf","82468502")</f>
        <v>82468502</v>
      </c>
      <c r="F1673" s="9" t="s">
        <v>4710</v>
      </c>
      <c r="G1673" s="9" t="s">
        <v>4447</v>
      </c>
      <c r="H1673" s="9" t="s">
        <v>4711</v>
      </c>
      <c r="I1673" s="10">
        <v>45636</v>
      </c>
    </row>
    <row r="1674" spans="1:9" x14ac:dyDescent="0.15">
      <c r="A1674" s="9">
        <v>1673</v>
      </c>
      <c r="B1674" s="9" t="s">
        <v>9</v>
      </c>
      <c r="C1674" s="9">
        <v>1927</v>
      </c>
      <c r="D1674" s="10">
        <v>45729</v>
      </c>
      <c r="E1674" s="11" t="str">
        <f>+HYPERLINK("http://trademark.i-assist.jp/data/china/image_1927th/82468571.pdf","82468571")</f>
        <v>82468571</v>
      </c>
      <c r="F1674" s="12" t="s">
        <v>4712</v>
      </c>
      <c r="G1674" s="9" t="s">
        <v>4713</v>
      </c>
      <c r="H1674" s="9" t="s">
        <v>4714</v>
      </c>
      <c r="I1674" s="10">
        <v>45636</v>
      </c>
    </row>
    <row r="1675" spans="1:9" x14ac:dyDescent="0.15">
      <c r="A1675" s="9">
        <v>1674</v>
      </c>
      <c r="B1675" s="9" t="s">
        <v>9</v>
      </c>
      <c r="C1675" s="9">
        <v>1927</v>
      </c>
      <c r="D1675" s="10">
        <v>45729</v>
      </c>
      <c r="E1675" s="11" t="str">
        <f>+HYPERLINK("http://trademark.i-assist.jp/data/china/image_1927th/82468721.pdf","82468721")</f>
        <v>82468721</v>
      </c>
      <c r="F1675" s="9" t="s">
        <v>4715</v>
      </c>
      <c r="G1675" s="9" t="s">
        <v>4588</v>
      </c>
      <c r="H1675" s="9" t="s">
        <v>4716</v>
      </c>
      <c r="I1675" s="10">
        <v>45636</v>
      </c>
    </row>
    <row r="1676" spans="1:9" x14ac:dyDescent="0.15">
      <c r="A1676" s="9">
        <v>1675</v>
      </c>
      <c r="B1676" s="9" t="s">
        <v>9</v>
      </c>
      <c r="C1676" s="9">
        <v>1927</v>
      </c>
      <c r="D1676" s="10">
        <v>45729</v>
      </c>
      <c r="E1676" s="11" t="str">
        <f>+HYPERLINK("http://trademark.i-assist.jp/data/china/image_1927th/82468728.pdf","82468728")</f>
        <v>82468728</v>
      </c>
      <c r="F1676" s="9" t="s">
        <v>4717</v>
      </c>
      <c r="G1676" s="9" t="s">
        <v>4718</v>
      </c>
      <c r="H1676" s="9" t="s">
        <v>4719</v>
      </c>
      <c r="I1676" s="10">
        <v>45636</v>
      </c>
    </row>
    <row r="1677" spans="1:9" x14ac:dyDescent="0.15">
      <c r="A1677" s="9">
        <v>1676</v>
      </c>
      <c r="B1677" s="9" t="s">
        <v>9</v>
      </c>
      <c r="C1677" s="9">
        <v>1927</v>
      </c>
      <c r="D1677" s="10">
        <v>45729</v>
      </c>
      <c r="E1677" s="11" t="str">
        <f>+HYPERLINK("http://trademark.i-assist.jp/data/china/image_1927th/82468952.pdf","82468952")</f>
        <v>82468952</v>
      </c>
      <c r="F1677" s="9" t="s">
        <v>4720</v>
      </c>
      <c r="G1677" s="9" t="s">
        <v>4721</v>
      </c>
      <c r="H1677" s="9" t="s">
        <v>4722</v>
      </c>
      <c r="I1677" s="10">
        <v>45636</v>
      </c>
    </row>
    <row r="1678" spans="1:9" x14ac:dyDescent="0.15">
      <c r="A1678" s="9">
        <v>1677</v>
      </c>
      <c r="B1678" s="9" t="s">
        <v>9</v>
      </c>
      <c r="C1678" s="9">
        <v>1927</v>
      </c>
      <c r="D1678" s="10">
        <v>45729</v>
      </c>
      <c r="E1678" s="11" t="str">
        <f>+HYPERLINK("http://trademark.i-assist.jp/data/china/image_1927th/82469259.pdf","82469259")</f>
        <v>82469259</v>
      </c>
      <c r="F1678" s="9" t="s">
        <v>4723</v>
      </c>
      <c r="G1678" s="12" t="s">
        <v>4547</v>
      </c>
      <c r="H1678" s="9" t="s">
        <v>4724</v>
      </c>
      <c r="I1678" s="10">
        <v>45636</v>
      </c>
    </row>
    <row r="1679" spans="1:9" x14ac:dyDescent="0.15">
      <c r="A1679" s="9">
        <v>1678</v>
      </c>
      <c r="B1679" s="9" t="s">
        <v>9</v>
      </c>
      <c r="C1679" s="9">
        <v>1927</v>
      </c>
      <c r="D1679" s="10">
        <v>45729</v>
      </c>
      <c r="E1679" s="11" t="str">
        <f>+HYPERLINK("http://trademark.i-assist.jp/data/china/image_1927th/82469493.pdf","82469493")</f>
        <v>82469493</v>
      </c>
      <c r="F1679" s="9" t="s">
        <v>4725</v>
      </c>
      <c r="G1679" s="12" t="s">
        <v>4726</v>
      </c>
      <c r="H1679" s="9" t="s">
        <v>4727</v>
      </c>
      <c r="I1679" s="10">
        <v>45636</v>
      </c>
    </row>
    <row r="1680" spans="1:9" x14ac:dyDescent="0.15">
      <c r="A1680" s="9">
        <v>1679</v>
      </c>
      <c r="B1680" s="9" t="s">
        <v>9</v>
      </c>
      <c r="C1680" s="9">
        <v>1927</v>
      </c>
      <c r="D1680" s="10">
        <v>45729</v>
      </c>
      <c r="E1680" s="11" t="str">
        <f>+HYPERLINK("http://trademark.i-assist.jp/data/china/image_1927th/82469571.pdf","82469571")</f>
        <v>82469571</v>
      </c>
      <c r="F1680" s="9" t="s">
        <v>4728</v>
      </c>
      <c r="G1680" s="9" t="s">
        <v>4729</v>
      </c>
      <c r="H1680" s="9" t="s">
        <v>4730</v>
      </c>
      <c r="I1680" s="10">
        <v>45636</v>
      </c>
    </row>
    <row r="1681" spans="1:9" x14ac:dyDescent="0.15">
      <c r="A1681" s="9">
        <v>1680</v>
      </c>
      <c r="B1681" s="9" t="s">
        <v>9</v>
      </c>
      <c r="C1681" s="9">
        <v>1927</v>
      </c>
      <c r="D1681" s="10">
        <v>45729</v>
      </c>
      <c r="E1681" s="11" t="str">
        <f>+HYPERLINK("http://trademark.i-assist.jp/data/china/image_1927th/82469609.pdf","82469609")</f>
        <v>82469609</v>
      </c>
      <c r="F1681" s="9" t="s">
        <v>4731</v>
      </c>
      <c r="G1681" s="9" t="s">
        <v>4732</v>
      </c>
      <c r="H1681" s="9" t="s">
        <v>4733</v>
      </c>
      <c r="I1681" s="10">
        <v>45636</v>
      </c>
    </row>
    <row r="1682" spans="1:9" x14ac:dyDescent="0.15">
      <c r="A1682" s="9">
        <v>1681</v>
      </c>
      <c r="B1682" s="9" t="s">
        <v>9</v>
      </c>
      <c r="C1682" s="9">
        <v>1927</v>
      </c>
      <c r="D1682" s="10">
        <v>45729</v>
      </c>
      <c r="E1682" s="11" t="str">
        <f>+HYPERLINK("http://trademark.i-assist.jp/data/china/image_1927th/82469971.pdf","82469971")</f>
        <v>82469971</v>
      </c>
      <c r="F1682" s="9" t="s">
        <v>4734</v>
      </c>
      <c r="G1682" s="9" t="s">
        <v>4735</v>
      </c>
      <c r="H1682" s="9" t="s">
        <v>4736</v>
      </c>
      <c r="I1682" s="10">
        <v>45636</v>
      </c>
    </row>
    <row r="1683" spans="1:9" x14ac:dyDescent="0.15">
      <c r="A1683" s="9">
        <v>1682</v>
      </c>
      <c r="B1683" s="9" t="s">
        <v>9</v>
      </c>
      <c r="C1683" s="9">
        <v>1927</v>
      </c>
      <c r="D1683" s="10">
        <v>45729</v>
      </c>
      <c r="E1683" s="11" t="str">
        <f>+HYPERLINK("http://trademark.i-assist.jp/data/china/image_1927th/82470010.pdf","82470010")</f>
        <v>82470010</v>
      </c>
      <c r="F1683" s="12" t="s">
        <v>16</v>
      </c>
      <c r="G1683" s="9" t="s">
        <v>4512</v>
      </c>
      <c r="H1683" s="9" t="s">
        <v>4737</v>
      </c>
      <c r="I1683" s="10">
        <v>45636</v>
      </c>
    </row>
    <row r="1684" spans="1:9" x14ac:dyDescent="0.15">
      <c r="A1684" s="9">
        <v>1683</v>
      </c>
      <c r="B1684" s="9" t="s">
        <v>9</v>
      </c>
      <c r="C1684" s="9">
        <v>1927</v>
      </c>
      <c r="D1684" s="10">
        <v>45729</v>
      </c>
      <c r="E1684" s="11" t="str">
        <f>+HYPERLINK("http://trademark.i-assist.jp/data/china/image_1927th/82470033.pdf","82470033")</f>
        <v>82470033</v>
      </c>
      <c r="F1684" s="12" t="s">
        <v>16</v>
      </c>
      <c r="G1684" s="12" t="s">
        <v>201</v>
      </c>
      <c r="H1684" s="9" t="s">
        <v>4738</v>
      </c>
      <c r="I1684" s="10">
        <v>45636</v>
      </c>
    </row>
    <row r="1685" spans="1:9" x14ac:dyDescent="0.15">
      <c r="A1685" s="9">
        <v>1684</v>
      </c>
      <c r="B1685" s="9" t="s">
        <v>9</v>
      </c>
      <c r="C1685" s="9">
        <v>1927</v>
      </c>
      <c r="D1685" s="10">
        <v>45729</v>
      </c>
      <c r="E1685" s="11" t="str">
        <f>+HYPERLINK("http://trademark.i-assist.jp/data/china/image_1927th/82470207.pdf","82470207")</f>
        <v>82470207</v>
      </c>
      <c r="F1685" s="12" t="s">
        <v>4739</v>
      </c>
      <c r="G1685" s="12" t="s">
        <v>2927</v>
      </c>
      <c r="H1685" s="9" t="s">
        <v>4740</v>
      </c>
      <c r="I1685" s="10">
        <v>45636</v>
      </c>
    </row>
    <row r="1686" spans="1:9" x14ac:dyDescent="0.15">
      <c r="A1686" s="9">
        <v>1685</v>
      </c>
      <c r="B1686" s="9" t="s">
        <v>9</v>
      </c>
      <c r="C1686" s="9">
        <v>1927</v>
      </c>
      <c r="D1686" s="10">
        <v>45729</v>
      </c>
      <c r="E1686" s="11" t="str">
        <f>+HYPERLINK("http://trademark.i-assist.jp/data/china/image_1927th/82470399.pdf","82470399")</f>
        <v>82470399</v>
      </c>
      <c r="F1686" s="9" t="s">
        <v>4741</v>
      </c>
      <c r="G1686" s="9" t="s">
        <v>4742</v>
      </c>
      <c r="H1686" s="9" t="s">
        <v>4743</v>
      </c>
      <c r="I1686" s="10">
        <v>45636</v>
      </c>
    </row>
    <row r="1687" spans="1:9" x14ac:dyDescent="0.15">
      <c r="A1687" s="9">
        <v>1686</v>
      </c>
      <c r="B1687" s="9" t="s">
        <v>9</v>
      </c>
      <c r="C1687" s="9">
        <v>1927</v>
      </c>
      <c r="D1687" s="10">
        <v>45729</v>
      </c>
      <c r="E1687" s="11" t="str">
        <f>+HYPERLINK("http://trademark.i-assist.jp/data/china/image_1927th/82470698.pdf","82470698")</f>
        <v>82470698</v>
      </c>
      <c r="F1687" s="12" t="s">
        <v>16</v>
      </c>
      <c r="G1687" s="9" t="s">
        <v>35</v>
      </c>
      <c r="H1687" s="12" t="s">
        <v>4744</v>
      </c>
      <c r="I1687" s="10">
        <v>45636</v>
      </c>
    </row>
    <row r="1688" spans="1:9" x14ac:dyDescent="0.15">
      <c r="A1688" s="9">
        <v>1687</v>
      </c>
      <c r="B1688" s="9" t="s">
        <v>9</v>
      </c>
      <c r="C1688" s="9">
        <v>1927</v>
      </c>
      <c r="D1688" s="10">
        <v>45729</v>
      </c>
      <c r="E1688" s="11" t="str">
        <f>+HYPERLINK("http://trademark.i-assist.jp/data/china/image_1927th/82470724.pdf","82470724")</f>
        <v>82470724</v>
      </c>
      <c r="F1688" s="12" t="s">
        <v>4745</v>
      </c>
      <c r="G1688" s="9" t="s">
        <v>4535</v>
      </c>
      <c r="H1688" s="9" t="s">
        <v>4746</v>
      </c>
      <c r="I1688" s="10">
        <v>45636</v>
      </c>
    </row>
    <row r="1689" spans="1:9" x14ac:dyDescent="0.15">
      <c r="A1689" s="9">
        <v>1688</v>
      </c>
      <c r="B1689" s="9" t="s">
        <v>9</v>
      </c>
      <c r="C1689" s="9">
        <v>1927</v>
      </c>
      <c r="D1689" s="10">
        <v>45729</v>
      </c>
      <c r="E1689" s="11" t="str">
        <f>+HYPERLINK("http://trademark.i-assist.jp/data/china/image_1927th/82470793.pdf","82470793")</f>
        <v>82470793</v>
      </c>
      <c r="F1689" s="12" t="s">
        <v>4747</v>
      </c>
      <c r="G1689" s="9" t="s">
        <v>4748</v>
      </c>
      <c r="H1689" s="12" t="s">
        <v>4749</v>
      </c>
      <c r="I1689" s="10">
        <v>45636</v>
      </c>
    </row>
    <row r="1690" spans="1:9" x14ac:dyDescent="0.15">
      <c r="A1690" s="9">
        <v>1689</v>
      </c>
      <c r="B1690" s="9" t="s">
        <v>9</v>
      </c>
      <c r="C1690" s="9">
        <v>1927</v>
      </c>
      <c r="D1690" s="10">
        <v>45729</v>
      </c>
      <c r="E1690" s="11" t="str">
        <f>+HYPERLINK("http://trademark.i-assist.jp/data/china/image_1927th/82471030.pdf","82471030")</f>
        <v>82471030</v>
      </c>
      <c r="F1690" s="9" t="s">
        <v>4750</v>
      </c>
      <c r="G1690" s="9" t="s">
        <v>4751</v>
      </c>
      <c r="H1690" s="9" t="s">
        <v>4752</v>
      </c>
      <c r="I1690" s="10">
        <v>45636</v>
      </c>
    </row>
    <row r="1691" spans="1:9" x14ac:dyDescent="0.15">
      <c r="A1691" s="9">
        <v>1690</v>
      </c>
      <c r="B1691" s="9" t="s">
        <v>9</v>
      </c>
      <c r="C1691" s="9">
        <v>1927</v>
      </c>
      <c r="D1691" s="10">
        <v>45729</v>
      </c>
      <c r="E1691" s="11" t="str">
        <f>+HYPERLINK("http://trademark.i-assist.jp/data/china/image_1927th/82471118.pdf","82471118")</f>
        <v>82471118</v>
      </c>
      <c r="F1691" s="9" t="s">
        <v>4753</v>
      </c>
      <c r="G1691" s="12" t="s">
        <v>200</v>
      </c>
      <c r="H1691" s="9" t="s">
        <v>4754</v>
      </c>
      <c r="I1691" s="10">
        <v>45636</v>
      </c>
    </row>
    <row r="1692" spans="1:9" x14ac:dyDescent="0.15">
      <c r="A1692" s="9">
        <v>1691</v>
      </c>
      <c r="B1692" s="9" t="s">
        <v>9</v>
      </c>
      <c r="C1692" s="9">
        <v>1927</v>
      </c>
      <c r="D1692" s="10">
        <v>45729</v>
      </c>
      <c r="E1692" s="11" t="str">
        <f>+HYPERLINK("http://trademark.i-assist.jp/data/china/image_1927th/82471752.pdf","82471752")</f>
        <v>82471752</v>
      </c>
      <c r="F1692" s="9" t="s">
        <v>4755</v>
      </c>
      <c r="G1692" s="12" t="s">
        <v>4756</v>
      </c>
      <c r="H1692" s="9" t="s">
        <v>4757</v>
      </c>
      <c r="I1692" s="10">
        <v>45636</v>
      </c>
    </row>
    <row r="1693" spans="1:9" x14ac:dyDescent="0.15">
      <c r="A1693" s="9">
        <v>1692</v>
      </c>
      <c r="B1693" s="9" t="s">
        <v>9</v>
      </c>
      <c r="C1693" s="9">
        <v>1927</v>
      </c>
      <c r="D1693" s="10">
        <v>45729</v>
      </c>
      <c r="E1693" s="11" t="str">
        <f>+HYPERLINK("http://trademark.i-assist.jp/data/china/image_1927th/82471823.pdf","82471823")</f>
        <v>82471823</v>
      </c>
      <c r="F1693" s="9" t="s">
        <v>4758</v>
      </c>
      <c r="G1693" s="9" t="s">
        <v>4625</v>
      </c>
      <c r="H1693" s="9" t="s">
        <v>4759</v>
      </c>
      <c r="I1693" s="10">
        <v>45636</v>
      </c>
    </row>
    <row r="1694" spans="1:9" x14ac:dyDescent="0.15">
      <c r="A1694" s="9">
        <v>1693</v>
      </c>
      <c r="B1694" s="9" t="s">
        <v>9</v>
      </c>
      <c r="C1694" s="9">
        <v>1927</v>
      </c>
      <c r="D1694" s="10">
        <v>45729</v>
      </c>
      <c r="E1694" s="11" t="str">
        <f>+HYPERLINK("http://trademark.i-assist.jp/data/china/image_1927th/82471889.pdf","82471889")</f>
        <v>82471889</v>
      </c>
      <c r="F1694" s="9" t="s">
        <v>4760</v>
      </c>
      <c r="G1694" s="9" t="s">
        <v>4761</v>
      </c>
      <c r="H1694" s="9" t="s">
        <v>4762</v>
      </c>
      <c r="I1694" s="10">
        <v>45636</v>
      </c>
    </row>
    <row r="1695" spans="1:9" x14ac:dyDescent="0.15">
      <c r="A1695" s="9">
        <v>1694</v>
      </c>
      <c r="B1695" s="9" t="s">
        <v>9</v>
      </c>
      <c r="C1695" s="9">
        <v>1927</v>
      </c>
      <c r="D1695" s="10">
        <v>45729</v>
      </c>
      <c r="E1695" s="11" t="str">
        <f>+HYPERLINK("http://trademark.i-assist.jp/data/china/image_1927th/82472490.pdf","82472490")</f>
        <v>82472490</v>
      </c>
      <c r="F1695" s="9" t="s">
        <v>4763</v>
      </c>
      <c r="G1695" s="9" t="s">
        <v>55</v>
      </c>
      <c r="H1695" s="9" t="s">
        <v>4764</v>
      </c>
      <c r="I1695" s="10">
        <v>45636</v>
      </c>
    </row>
    <row r="1696" spans="1:9" x14ac:dyDescent="0.15">
      <c r="A1696" s="9">
        <v>1695</v>
      </c>
      <c r="B1696" s="9" t="s">
        <v>9</v>
      </c>
      <c r="C1696" s="9">
        <v>1927</v>
      </c>
      <c r="D1696" s="10">
        <v>45729</v>
      </c>
      <c r="E1696" s="11" t="str">
        <f>+HYPERLINK("http://trademark.i-assist.jp/data/china/image_1927th/82472738.pdf","82472738")</f>
        <v>82472738</v>
      </c>
      <c r="F1696" s="9" t="s">
        <v>4765</v>
      </c>
      <c r="G1696" s="9" t="s">
        <v>4625</v>
      </c>
      <c r="H1696" s="12" t="s">
        <v>4766</v>
      </c>
      <c r="I1696" s="10">
        <v>45636</v>
      </c>
    </row>
    <row r="1697" spans="1:9" x14ac:dyDescent="0.15">
      <c r="A1697" s="9">
        <v>1696</v>
      </c>
      <c r="B1697" s="9" t="s">
        <v>9</v>
      </c>
      <c r="C1697" s="9">
        <v>1927</v>
      </c>
      <c r="D1697" s="10">
        <v>45729</v>
      </c>
      <c r="E1697" s="11" t="str">
        <f>+HYPERLINK("http://trademark.i-assist.jp/data/china/image_1927th/82472745.pdf","82472745")</f>
        <v>82472745</v>
      </c>
      <c r="F1697" s="9" t="s">
        <v>4767</v>
      </c>
      <c r="G1697" s="9" t="s">
        <v>4625</v>
      </c>
      <c r="H1697" s="9" t="s">
        <v>4768</v>
      </c>
      <c r="I1697" s="10">
        <v>45636</v>
      </c>
    </row>
    <row r="1698" spans="1:9" x14ac:dyDescent="0.15">
      <c r="A1698" s="9">
        <v>1697</v>
      </c>
      <c r="B1698" s="9" t="s">
        <v>9</v>
      </c>
      <c r="C1698" s="9">
        <v>1927</v>
      </c>
      <c r="D1698" s="10">
        <v>45729</v>
      </c>
      <c r="E1698" s="11" t="str">
        <f>+HYPERLINK("http://trademark.i-assist.jp/data/china/image_1927th/82472955.pdf","82472955")</f>
        <v>82472955</v>
      </c>
      <c r="F1698" s="12" t="s">
        <v>4769</v>
      </c>
      <c r="G1698" s="12" t="s">
        <v>4770</v>
      </c>
      <c r="H1698" s="9" t="s">
        <v>4771</v>
      </c>
      <c r="I1698" s="10">
        <v>45636</v>
      </c>
    </row>
    <row r="1699" spans="1:9" x14ac:dyDescent="0.15">
      <c r="A1699" s="9">
        <v>1698</v>
      </c>
      <c r="B1699" s="9" t="s">
        <v>9</v>
      </c>
      <c r="C1699" s="9">
        <v>1927</v>
      </c>
      <c r="D1699" s="10">
        <v>45729</v>
      </c>
      <c r="E1699" s="11" t="str">
        <f>+HYPERLINK("http://trademark.i-assist.jp/data/china/image_1927th/82473204.pdf","82473204")</f>
        <v>82473204</v>
      </c>
      <c r="F1699" s="9" t="s">
        <v>4772</v>
      </c>
      <c r="G1699" s="12" t="s">
        <v>4344</v>
      </c>
      <c r="H1699" s="9" t="s">
        <v>4773</v>
      </c>
      <c r="I1699" s="10">
        <v>45636</v>
      </c>
    </row>
    <row r="1700" spans="1:9" x14ac:dyDescent="0.15">
      <c r="A1700" s="9">
        <v>1699</v>
      </c>
      <c r="B1700" s="9" t="s">
        <v>9</v>
      </c>
      <c r="C1700" s="9">
        <v>1927</v>
      </c>
      <c r="D1700" s="10">
        <v>45729</v>
      </c>
      <c r="E1700" s="11" t="str">
        <f>+HYPERLINK("http://trademark.i-assist.jp/data/china/image_1927th/82473541.pdf","82473541")</f>
        <v>82473541</v>
      </c>
      <c r="F1700" s="12" t="s">
        <v>16</v>
      </c>
      <c r="G1700" s="9" t="s">
        <v>4774</v>
      </c>
      <c r="H1700" s="9" t="s">
        <v>4775</v>
      </c>
      <c r="I1700" s="10">
        <v>45636</v>
      </c>
    </row>
    <row r="1701" spans="1:9" x14ac:dyDescent="0.15">
      <c r="A1701" s="9">
        <v>1700</v>
      </c>
      <c r="B1701" s="9" t="s">
        <v>9</v>
      </c>
      <c r="C1701" s="9">
        <v>1927</v>
      </c>
      <c r="D1701" s="10">
        <v>45729</v>
      </c>
      <c r="E1701" s="11" t="str">
        <f>+HYPERLINK("http://trademark.i-assist.jp/data/china/image_1927th/82473670.pdf","82473670")</f>
        <v>82473670</v>
      </c>
      <c r="F1701" s="9" t="s">
        <v>4776</v>
      </c>
      <c r="G1701" s="9" t="s">
        <v>4777</v>
      </c>
      <c r="H1701" s="9" t="s">
        <v>4778</v>
      </c>
      <c r="I1701" s="10">
        <v>45636</v>
      </c>
    </row>
    <row r="1702" spans="1:9" x14ac:dyDescent="0.15">
      <c r="A1702" s="9">
        <v>1701</v>
      </c>
      <c r="B1702" s="9" t="s">
        <v>9</v>
      </c>
      <c r="C1702" s="9">
        <v>1927</v>
      </c>
      <c r="D1702" s="10">
        <v>45729</v>
      </c>
      <c r="E1702" s="11" t="str">
        <f>+HYPERLINK("http://trademark.i-assist.jp/data/china/image_1927th/82473698.pdf","82473698")</f>
        <v>82473698</v>
      </c>
      <c r="F1702" s="9" t="s">
        <v>4779</v>
      </c>
      <c r="G1702" s="12" t="s">
        <v>2927</v>
      </c>
      <c r="H1702" s="9" t="s">
        <v>4780</v>
      </c>
      <c r="I1702" s="10">
        <v>45636</v>
      </c>
    </row>
    <row r="1703" spans="1:9" x14ac:dyDescent="0.15">
      <c r="A1703" s="9">
        <v>1702</v>
      </c>
      <c r="B1703" s="9" t="s">
        <v>9</v>
      </c>
      <c r="C1703" s="9">
        <v>1927</v>
      </c>
      <c r="D1703" s="10">
        <v>45729</v>
      </c>
      <c r="E1703" s="11" t="str">
        <f>+HYPERLINK("http://trademark.i-assist.jp/data/china/image_1927th/82474020.pdf","82474020")</f>
        <v>82474020</v>
      </c>
      <c r="F1703" s="9" t="s">
        <v>4781</v>
      </c>
      <c r="G1703" s="9" t="s">
        <v>4395</v>
      </c>
      <c r="H1703" s="9" t="s">
        <v>4782</v>
      </c>
      <c r="I1703" s="10">
        <v>45636</v>
      </c>
    </row>
    <row r="1704" spans="1:9" x14ac:dyDescent="0.15">
      <c r="A1704" s="9">
        <v>1703</v>
      </c>
      <c r="B1704" s="9" t="s">
        <v>9</v>
      </c>
      <c r="C1704" s="9">
        <v>1927</v>
      </c>
      <c r="D1704" s="10">
        <v>45729</v>
      </c>
      <c r="E1704" s="11" t="str">
        <f>+HYPERLINK("http://trademark.i-assist.jp/data/china/image_1927th/82474403.pdf","82474403")</f>
        <v>82474403</v>
      </c>
      <c r="F1704" s="9" t="s">
        <v>4783</v>
      </c>
      <c r="G1704" s="9" t="s">
        <v>4784</v>
      </c>
      <c r="H1704" s="9" t="s">
        <v>4785</v>
      </c>
      <c r="I1704" s="10">
        <v>45636</v>
      </c>
    </row>
    <row r="1705" spans="1:9" x14ac:dyDescent="0.15">
      <c r="A1705" s="9">
        <v>1704</v>
      </c>
      <c r="B1705" s="9" t="s">
        <v>9</v>
      </c>
      <c r="C1705" s="9">
        <v>1927</v>
      </c>
      <c r="D1705" s="10">
        <v>45729</v>
      </c>
      <c r="E1705" s="11" t="str">
        <f>+HYPERLINK("http://trademark.i-assist.jp/data/china/image_1927th/82474409.pdf","82474409")</f>
        <v>82474409</v>
      </c>
      <c r="F1705" s="12" t="s">
        <v>4786</v>
      </c>
      <c r="G1705" s="9" t="s">
        <v>4787</v>
      </c>
      <c r="H1705" s="9" t="s">
        <v>4788</v>
      </c>
      <c r="I1705" s="10">
        <v>45636</v>
      </c>
    </row>
    <row r="1706" spans="1:9" x14ac:dyDescent="0.15">
      <c r="A1706" s="9">
        <v>1705</v>
      </c>
      <c r="B1706" s="9" t="s">
        <v>9</v>
      </c>
      <c r="C1706" s="9">
        <v>1927</v>
      </c>
      <c r="D1706" s="10">
        <v>45729</v>
      </c>
      <c r="E1706" s="11" t="str">
        <f>+HYPERLINK("http://trademark.i-assist.jp/data/china/image_1927th/82474481.pdf","82474481")</f>
        <v>82474481</v>
      </c>
      <c r="F1706" s="9" t="s">
        <v>4789</v>
      </c>
      <c r="G1706" s="9" t="s">
        <v>4790</v>
      </c>
      <c r="H1706" s="9" t="s">
        <v>4791</v>
      </c>
      <c r="I1706" s="10">
        <v>45636</v>
      </c>
    </row>
    <row r="1707" spans="1:9" x14ac:dyDescent="0.15">
      <c r="A1707" s="9">
        <v>1706</v>
      </c>
      <c r="B1707" s="9" t="s">
        <v>9</v>
      </c>
      <c r="C1707" s="9">
        <v>1927</v>
      </c>
      <c r="D1707" s="10">
        <v>45729</v>
      </c>
      <c r="E1707" s="11" t="str">
        <f>+HYPERLINK("http://trademark.i-assist.jp/data/china/image_1927th/82474737.pdf","82474737")</f>
        <v>82474737</v>
      </c>
      <c r="F1707" s="9" t="s">
        <v>4792</v>
      </c>
      <c r="G1707" s="9" t="s">
        <v>205</v>
      </c>
      <c r="H1707" s="9" t="s">
        <v>4793</v>
      </c>
      <c r="I1707" s="10">
        <v>45636</v>
      </c>
    </row>
    <row r="1708" spans="1:9" x14ac:dyDescent="0.15">
      <c r="A1708" s="9">
        <v>1707</v>
      </c>
      <c r="B1708" s="9" t="s">
        <v>9</v>
      </c>
      <c r="C1708" s="9">
        <v>1927</v>
      </c>
      <c r="D1708" s="10">
        <v>45729</v>
      </c>
      <c r="E1708" s="11" t="str">
        <f>+HYPERLINK("http://trademark.i-assist.jp/data/china/image_1927th/82474787.pdf","82474787")</f>
        <v>82474787</v>
      </c>
      <c r="F1708" s="12" t="s">
        <v>4794</v>
      </c>
      <c r="G1708" s="9" t="s">
        <v>4795</v>
      </c>
      <c r="H1708" s="9" t="s">
        <v>4796</v>
      </c>
      <c r="I1708" s="10">
        <v>45636</v>
      </c>
    </row>
    <row r="1709" spans="1:9" x14ac:dyDescent="0.15">
      <c r="A1709" s="9">
        <v>1708</v>
      </c>
      <c r="B1709" s="9" t="s">
        <v>9</v>
      </c>
      <c r="C1709" s="9">
        <v>1927</v>
      </c>
      <c r="D1709" s="10">
        <v>45729</v>
      </c>
      <c r="E1709" s="11" t="str">
        <f>+HYPERLINK("http://trademark.i-assist.jp/data/china/image_1927th/82474877.pdf","82474877")</f>
        <v>82474877</v>
      </c>
      <c r="F1709" s="9" t="s">
        <v>4797</v>
      </c>
      <c r="G1709" s="9" t="s">
        <v>4798</v>
      </c>
      <c r="H1709" s="9" t="s">
        <v>4799</v>
      </c>
      <c r="I1709" s="10">
        <v>45636</v>
      </c>
    </row>
    <row r="1710" spans="1:9" x14ac:dyDescent="0.15">
      <c r="A1710" s="9">
        <v>1709</v>
      </c>
      <c r="B1710" s="9" t="s">
        <v>9</v>
      </c>
      <c r="C1710" s="9">
        <v>1927</v>
      </c>
      <c r="D1710" s="10">
        <v>45729</v>
      </c>
      <c r="E1710" s="11" t="str">
        <f>+HYPERLINK("http://trademark.i-assist.jp/data/china/image_1927th/82475033.pdf","82475033")</f>
        <v>82475033</v>
      </c>
      <c r="F1710" s="9" t="s">
        <v>4800</v>
      </c>
      <c r="G1710" s="12" t="s">
        <v>206</v>
      </c>
      <c r="H1710" s="9" t="s">
        <v>4801</v>
      </c>
      <c r="I1710" s="10">
        <v>45636</v>
      </c>
    </row>
    <row r="1711" spans="1:9" x14ac:dyDescent="0.15">
      <c r="A1711" s="9">
        <v>1710</v>
      </c>
      <c r="B1711" s="9" t="s">
        <v>9</v>
      </c>
      <c r="C1711" s="9">
        <v>1927</v>
      </c>
      <c r="D1711" s="10">
        <v>45729</v>
      </c>
      <c r="E1711" s="11" t="str">
        <f>+HYPERLINK("http://trademark.i-assist.jp/data/china/image_1927th/82475094.pdf","82475094")</f>
        <v>82475094</v>
      </c>
      <c r="F1711" s="12" t="s">
        <v>4802</v>
      </c>
      <c r="G1711" s="9" t="s">
        <v>4370</v>
      </c>
      <c r="H1711" s="9" t="s">
        <v>4803</v>
      </c>
      <c r="I1711" s="10">
        <v>45636</v>
      </c>
    </row>
    <row r="1712" spans="1:9" x14ac:dyDescent="0.15">
      <c r="A1712" s="9">
        <v>1711</v>
      </c>
      <c r="B1712" s="9" t="s">
        <v>9</v>
      </c>
      <c r="C1712" s="9">
        <v>1927</v>
      </c>
      <c r="D1712" s="10">
        <v>45729</v>
      </c>
      <c r="E1712" s="11" t="str">
        <f>+HYPERLINK("http://trademark.i-assist.jp/data/china/image_1927th/82475222.pdf","82475222")</f>
        <v>82475222</v>
      </c>
      <c r="F1712" s="9" t="s">
        <v>4804</v>
      </c>
      <c r="G1712" s="9" t="s">
        <v>4805</v>
      </c>
      <c r="H1712" s="9" t="s">
        <v>4806</v>
      </c>
      <c r="I1712" s="10">
        <v>45636</v>
      </c>
    </row>
    <row r="1713" spans="1:9" x14ac:dyDescent="0.15">
      <c r="A1713" s="9">
        <v>1712</v>
      </c>
      <c r="B1713" s="9" t="s">
        <v>9</v>
      </c>
      <c r="C1713" s="9">
        <v>1927</v>
      </c>
      <c r="D1713" s="10">
        <v>45729</v>
      </c>
      <c r="E1713" s="11" t="str">
        <f>+HYPERLINK("http://trademark.i-assist.jp/data/china/image_1927th/82475234.pdf","82475234")</f>
        <v>82475234</v>
      </c>
      <c r="F1713" s="9" t="s">
        <v>4807</v>
      </c>
      <c r="G1713" s="12" t="s">
        <v>4808</v>
      </c>
      <c r="H1713" s="9" t="s">
        <v>4809</v>
      </c>
      <c r="I1713" s="10">
        <v>45636</v>
      </c>
    </row>
    <row r="1714" spans="1:9" x14ac:dyDescent="0.15">
      <c r="A1714" s="9">
        <v>1713</v>
      </c>
      <c r="B1714" s="9" t="s">
        <v>9</v>
      </c>
      <c r="C1714" s="9">
        <v>1927</v>
      </c>
      <c r="D1714" s="10">
        <v>45729</v>
      </c>
      <c r="E1714" s="11" t="str">
        <f>+HYPERLINK("http://trademark.i-assist.jp/data/china/image_1927th/82475329.pdf","82475329")</f>
        <v>82475329</v>
      </c>
      <c r="F1714" s="12" t="s">
        <v>16</v>
      </c>
      <c r="G1714" s="9" t="s">
        <v>4810</v>
      </c>
      <c r="H1714" s="9" t="s">
        <v>4811</v>
      </c>
      <c r="I1714" s="10">
        <v>45636</v>
      </c>
    </row>
    <row r="1715" spans="1:9" x14ac:dyDescent="0.15">
      <c r="A1715" s="9">
        <v>1714</v>
      </c>
      <c r="B1715" s="9" t="s">
        <v>9</v>
      </c>
      <c r="C1715" s="9">
        <v>1927</v>
      </c>
      <c r="D1715" s="10">
        <v>45729</v>
      </c>
      <c r="E1715" s="11" t="str">
        <f>+HYPERLINK("http://trademark.i-assist.jp/data/china/image_1927th/82475496.pdf","82475496")</f>
        <v>82475496</v>
      </c>
      <c r="F1715" s="9" t="s">
        <v>4812</v>
      </c>
      <c r="G1715" s="12" t="s">
        <v>4813</v>
      </c>
      <c r="H1715" s="9" t="s">
        <v>4814</v>
      </c>
      <c r="I1715" s="10">
        <v>45637</v>
      </c>
    </row>
    <row r="1716" spans="1:9" x14ac:dyDescent="0.15">
      <c r="A1716" s="9">
        <v>1715</v>
      </c>
      <c r="B1716" s="9" t="s">
        <v>9</v>
      </c>
      <c r="C1716" s="9">
        <v>1927</v>
      </c>
      <c r="D1716" s="10">
        <v>45729</v>
      </c>
      <c r="E1716" s="11" t="str">
        <f>+HYPERLINK("http://trademark.i-assist.jp/data/china/image_1927th/82475532.pdf","82475532")</f>
        <v>82475532</v>
      </c>
      <c r="F1716" s="9" t="s">
        <v>4815</v>
      </c>
      <c r="G1716" s="12" t="s">
        <v>75</v>
      </c>
      <c r="H1716" s="9" t="s">
        <v>4816</v>
      </c>
      <c r="I1716" s="10">
        <v>45637</v>
      </c>
    </row>
    <row r="1717" spans="1:9" x14ac:dyDescent="0.15">
      <c r="A1717" s="9">
        <v>1716</v>
      </c>
      <c r="B1717" s="9" t="s">
        <v>9</v>
      </c>
      <c r="C1717" s="9">
        <v>1927</v>
      </c>
      <c r="D1717" s="10">
        <v>45729</v>
      </c>
      <c r="E1717" s="11" t="str">
        <f>+HYPERLINK("http://trademark.i-assist.jp/data/china/image_1927th/82475647.pdf","82475647")</f>
        <v>82475647</v>
      </c>
      <c r="F1717" s="9" t="s">
        <v>4817</v>
      </c>
      <c r="G1717" s="9" t="s">
        <v>4818</v>
      </c>
      <c r="H1717" s="9" t="s">
        <v>4819</v>
      </c>
      <c r="I1717" s="10">
        <v>45637</v>
      </c>
    </row>
    <row r="1718" spans="1:9" x14ac:dyDescent="0.15">
      <c r="A1718" s="9">
        <v>1717</v>
      </c>
      <c r="B1718" s="9" t="s">
        <v>9</v>
      </c>
      <c r="C1718" s="9">
        <v>1927</v>
      </c>
      <c r="D1718" s="10">
        <v>45729</v>
      </c>
      <c r="E1718" s="11" t="str">
        <f>+HYPERLINK("http://trademark.i-assist.jp/data/china/image_1927th/82475685.pdf","82475685")</f>
        <v>82475685</v>
      </c>
      <c r="F1718" s="9" t="s">
        <v>4820</v>
      </c>
      <c r="G1718" s="9" t="s">
        <v>4821</v>
      </c>
      <c r="H1718" s="9" t="s">
        <v>4822</v>
      </c>
      <c r="I1718" s="10">
        <v>45637</v>
      </c>
    </row>
    <row r="1719" spans="1:9" x14ac:dyDescent="0.15">
      <c r="A1719" s="9">
        <v>1718</v>
      </c>
      <c r="B1719" s="9" t="s">
        <v>9</v>
      </c>
      <c r="C1719" s="9">
        <v>1927</v>
      </c>
      <c r="D1719" s="10">
        <v>45729</v>
      </c>
      <c r="E1719" s="11" t="str">
        <f>+HYPERLINK("http://trademark.i-assist.jp/data/china/image_1927th/82475900.pdf","82475900")</f>
        <v>82475900</v>
      </c>
      <c r="F1719" s="12" t="s">
        <v>4823</v>
      </c>
      <c r="G1719" s="9" t="s">
        <v>4824</v>
      </c>
      <c r="H1719" s="9" t="s">
        <v>4825</v>
      </c>
      <c r="I1719" s="10">
        <v>45637</v>
      </c>
    </row>
    <row r="1720" spans="1:9" x14ac:dyDescent="0.15">
      <c r="A1720" s="9">
        <v>1719</v>
      </c>
      <c r="B1720" s="9" t="s">
        <v>9</v>
      </c>
      <c r="C1720" s="9">
        <v>1927</v>
      </c>
      <c r="D1720" s="10">
        <v>45729</v>
      </c>
      <c r="E1720" s="11" t="str">
        <f>+HYPERLINK("http://trademark.i-assist.jp/data/china/image_1927th/82476002.pdf","82476002")</f>
        <v>82476002</v>
      </c>
      <c r="F1720" s="9" t="s">
        <v>4826</v>
      </c>
      <c r="G1720" s="9" t="s">
        <v>4104</v>
      </c>
      <c r="H1720" s="9" t="s">
        <v>4827</v>
      </c>
      <c r="I1720" s="10">
        <v>45637</v>
      </c>
    </row>
    <row r="1721" spans="1:9" x14ac:dyDescent="0.15">
      <c r="A1721" s="9">
        <v>1720</v>
      </c>
      <c r="B1721" s="9" t="s">
        <v>9</v>
      </c>
      <c r="C1721" s="9">
        <v>1927</v>
      </c>
      <c r="D1721" s="10">
        <v>45729</v>
      </c>
      <c r="E1721" s="11" t="str">
        <f>+HYPERLINK("http://trademark.i-assist.jp/data/china/image_1927th/82476007.pdf","82476007")</f>
        <v>82476007</v>
      </c>
      <c r="F1721" s="12" t="s">
        <v>4828</v>
      </c>
      <c r="G1721" s="12" t="s">
        <v>164</v>
      </c>
      <c r="H1721" s="9" t="s">
        <v>4829</v>
      </c>
      <c r="I1721" s="10">
        <v>45637</v>
      </c>
    </row>
    <row r="1722" spans="1:9" x14ac:dyDescent="0.15">
      <c r="A1722" s="9">
        <v>1721</v>
      </c>
      <c r="B1722" s="9" t="s">
        <v>9</v>
      </c>
      <c r="C1722" s="9">
        <v>1927</v>
      </c>
      <c r="D1722" s="10">
        <v>45729</v>
      </c>
      <c r="E1722" s="11" t="str">
        <f>+HYPERLINK("http://trademark.i-assist.jp/data/china/image_1927th/82476037.pdf","82476037")</f>
        <v>82476037</v>
      </c>
      <c r="F1722" s="9" t="s">
        <v>4830</v>
      </c>
      <c r="G1722" s="9" t="s">
        <v>4831</v>
      </c>
      <c r="H1722" s="9" t="s">
        <v>4832</v>
      </c>
      <c r="I1722" s="10">
        <v>45637</v>
      </c>
    </row>
    <row r="1723" spans="1:9" x14ac:dyDescent="0.15">
      <c r="A1723" s="9">
        <v>1722</v>
      </c>
      <c r="B1723" s="9" t="s">
        <v>9</v>
      </c>
      <c r="C1723" s="9">
        <v>1927</v>
      </c>
      <c r="D1723" s="10">
        <v>45729</v>
      </c>
      <c r="E1723" s="11" t="str">
        <f>+HYPERLINK("http://trademark.i-assist.jp/data/china/image_1927th/82476064.pdf","82476064")</f>
        <v>82476064</v>
      </c>
      <c r="F1723" s="9" t="s">
        <v>4833</v>
      </c>
      <c r="G1723" s="9" t="s">
        <v>4834</v>
      </c>
      <c r="H1723" s="9" t="s">
        <v>4835</v>
      </c>
      <c r="I1723" s="10">
        <v>45637</v>
      </c>
    </row>
    <row r="1724" spans="1:9" x14ac:dyDescent="0.15">
      <c r="A1724" s="9">
        <v>1723</v>
      </c>
      <c r="B1724" s="9" t="s">
        <v>9</v>
      </c>
      <c r="C1724" s="9">
        <v>1927</v>
      </c>
      <c r="D1724" s="10">
        <v>45729</v>
      </c>
      <c r="E1724" s="11" t="str">
        <f>+HYPERLINK("http://trademark.i-assist.jp/data/china/image_1927th/82476106.pdf","82476106")</f>
        <v>82476106</v>
      </c>
      <c r="F1724" s="12" t="s">
        <v>16</v>
      </c>
      <c r="G1724" s="9" t="s">
        <v>4836</v>
      </c>
      <c r="H1724" s="12" t="s">
        <v>4837</v>
      </c>
      <c r="I1724" s="10">
        <v>45637</v>
      </c>
    </row>
    <row r="1725" spans="1:9" x14ac:dyDescent="0.15">
      <c r="A1725" s="9">
        <v>1724</v>
      </c>
      <c r="B1725" s="9" t="s">
        <v>9</v>
      </c>
      <c r="C1725" s="9">
        <v>1927</v>
      </c>
      <c r="D1725" s="10">
        <v>45729</v>
      </c>
      <c r="E1725" s="11" t="str">
        <f>+HYPERLINK("http://trademark.i-assist.jp/data/china/image_1927th/82476293.pdf","82476293")</f>
        <v>82476293</v>
      </c>
      <c r="F1725" s="12" t="s">
        <v>16</v>
      </c>
      <c r="G1725" s="9" t="s">
        <v>4838</v>
      </c>
      <c r="H1725" s="9" t="s">
        <v>4839</v>
      </c>
      <c r="I1725" s="10">
        <v>45637</v>
      </c>
    </row>
    <row r="1726" spans="1:9" x14ac:dyDescent="0.15">
      <c r="A1726" s="9">
        <v>1725</v>
      </c>
      <c r="B1726" s="9" t="s">
        <v>9</v>
      </c>
      <c r="C1726" s="9">
        <v>1927</v>
      </c>
      <c r="D1726" s="10">
        <v>45729</v>
      </c>
      <c r="E1726" s="11" t="str">
        <f>+HYPERLINK("http://trademark.i-assist.jp/data/china/image_1927th/82476355.pdf","82476355")</f>
        <v>82476355</v>
      </c>
      <c r="F1726" s="9" t="s">
        <v>4840</v>
      </c>
      <c r="G1726" s="9" t="s">
        <v>221</v>
      </c>
      <c r="H1726" s="9" t="s">
        <v>4841</v>
      </c>
      <c r="I1726" s="10">
        <v>45637</v>
      </c>
    </row>
    <row r="1727" spans="1:9" x14ac:dyDescent="0.15">
      <c r="A1727" s="9">
        <v>1726</v>
      </c>
      <c r="B1727" s="9" t="s">
        <v>9</v>
      </c>
      <c r="C1727" s="9">
        <v>1927</v>
      </c>
      <c r="D1727" s="10">
        <v>45729</v>
      </c>
      <c r="E1727" s="11" t="str">
        <f>+HYPERLINK("http://trademark.i-assist.jp/data/china/image_1927th/82476645.pdf","82476645")</f>
        <v>82476645</v>
      </c>
      <c r="F1727" s="9" t="s">
        <v>4842</v>
      </c>
      <c r="G1727" s="9" t="s">
        <v>4843</v>
      </c>
      <c r="H1727" s="9" t="s">
        <v>4844</v>
      </c>
      <c r="I1727" s="10">
        <v>45637</v>
      </c>
    </row>
    <row r="1728" spans="1:9" x14ac:dyDescent="0.15">
      <c r="A1728" s="9">
        <v>1727</v>
      </c>
      <c r="B1728" s="9" t="s">
        <v>9</v>
      </c>
      <c r="C1728" s="9">
        <v>1927</v>
      </c>
      <c r="D1728" s="10">
        <v>45729</v>
      </c>
      <c r="E1728" s="11" t="str">
        <f>+HYPERLINK("http://trademark.i-assist.jp/data/china/image_1927th/82476707.pdf","82476707")</f>
        <v>82476707</v>
      </c>
      <c r="F1728" s="9" t="s">
        <v>4845</v>
      </c>
      <c r="G1728" s="9" t="s">
        <v>4846</v>
      </c>
      <c r="H1728" s="9" t="s">
        <v>4847</v>
      </c>
      <c r="I1728" s="10">
        <v>45637</v>
      </c>
    </row>
    <row r="1729" spans="1:9" x14ac:dyDescent="0.15">
      <c r="A1729" s="9">
        <v>1728</v>
      </c>
      <c r="B1729" s="9" t="s">
        <v>9</v>
      </c>
      <c r="C1729" s="9">
        <v>1927</v>
      </c>
      <c r="D1729" s="10">
        <v>45729</v>
      </c>
      <c r="E1729" s="11" t="str">
        <f>+HYPERLINK("http://trademark.i-assist.jp/data/china/image_1927th/82477126.pdf","82477126")</f>
        <v>82477126</v>
      </c>
      <c r="F1729" s="9" t="s">
        <v>4848</v>
      </c>
      <c r="G1729" s="9" t="s">
        <v>4849</v>
      </c>
      <c r="H1729" s="9" t="s">
        <v>4850</v>
      </c>
      <c r="I1729" s="10">
        <v>45637</v>
      </c>
    </row>
    <row r="1730" spans="1:9" x14ac:dyDescent="0.15">
      <c r="A1730" s="9">
        <v>1729</v>
      </c>
      <c r="B1730" s="9" t="s">
        <v>9</v>
      </c>
      <c r="C1730" s="9">
        <v>1927</v>
      </c>
      <c r="D1730" s="10">
        <v>45729</v>
      </c>
      <c r="E1730" s="11" t="str">
        <f>+HYPERLINK("http://trademark.i-assist.jp/data/china/image_1927th/82477920.pdf","82477920")</f>
        <v>82477920</v>
      </c>
      <c r="F1730" s="12" t="s">
        <v>4851</v>
      </c>
      <c r="G1730" s="9" t="s">
        <v>4852</v>
      </c>
      <c r="H1730" s="9" t="s">
        <v>4853</v>
      </c>
      <c r="I1730" s="10">
        <v>45637</v>
      </c>
    </row>
    <row r="1731" spans="1:9" x14ac:dyDescent="0.15">
      <c r="A1731" s="9">
        <v>1730</v>
      </c>
      <c r="B1731" s="9" t="s">
        <v>9</v>
      </c>
      <c r="C1731" s="9">
        <v>1927</v>
      </c>
      <c r="D1731" s="10">
        <v>45729</v>
      </c>
      <c r="E1731" s="11" t="str">
        <f>+HYPERLINK("http://trademark.i-assist.jp/data/china/image_1927th/82478515.pdf","82478515")</f>
        <v>82478515</v>
      </c>
      <c r="F1731" s="12" t="s">
        <v>4854</v>
      </c>
      <c r="G1731" s="9" t="s">
        <v>4855</v>
      </c>
      <c r="H1731" s="9" t="s">
        <v>4856</v>
      </c>
      <c r="I1731" s="10">
        <v>45637</v>
      </c>
    </row>
    <row r="1732" spans="1:9" x14ac:dyDescent="0.15">
      <c r="A1732" s="9">
        <v>1731</v>
      </c>
      <c r="B1732" s="9" t="s">
        <v>9</v>
      </c>
      <c r="C1732" s="9">
        <v>1927</v>
      </c>
      <c r="D1732" s="10">
        <v>45729</v>
      </c>
      <c r="E1732" s="11" t="str">
        <f>+HYPERLINK("http://trademark.i-assist.jp/data/china/image_1927th/82478560.pdf","82478560")</f>
        <v>82478560</v>
      </c>
      <c r="F1732" s="9" t="s">
        <v>4857</v>
      </c>
      <c r="G1732" s="12" t="s">
        <v>4858</v>
      </c>
      <c r="H1732" s="12" t="s">
        <v>4859</v>
      </c>
      <c r="I1732" s="10">
        <v>45637</v>
      </c>
    </row>
    <row r="1733" spans="1:9" x14ac:dyDescent="0.15">
      <c r="A1733" s="9">
        <v>1732</v>
      </c>
      <c r="B1733" s="9" t="s">
        <v>9</v>
      </c>
      <c r="C1733" s="9">
        <v>1927</v>
      </c>
      <c r="D1733" s="10">
        <v>45729</v>
      </c>
      <c r="E1733" s="11" t="str">
        <f>+HYPERLINK("http://trademark.i-assist.jp/data/china/image_1927th/82478847.pdf","82478847")</f>
        <v>82478847</v>
      </c>
      <c r="F1733" s="9" t="s">
        <v>4860</v>
      </c>
      <c r="G1733" s="9" t="s">
        <v>4861</v>
      </c>
      <c r="H1733" s="12" t="s">
        <v>4862</v>
      </c>
      <c r="I1733" s="10">
        <v>45637</v>
      </c>
    </row>
    <row r="1734" spans="1:9" x14ac:dyDescent="0.15">
      <c r="A1734" s="9">
        <v>1733</v>
      </c>
      <c r="B1734" s="9" t="s">
        <v>9</v>
      </c>
      <c r="C1734" s="9">
        <v>1927</v>
      </c>
      <c r="D1734" s="10">
        <v>45729</v>
      </c>
      <c r="E1734" s="11" t="str">
        <f>+HYPERLINK("http://trademark.i-assist.jp/data/china/image_1927th/82479079.pdf","82479079")</f>
        <v>82479079</v>
      </c>
      <c r="F1734" s="9" t="s">
        <v>4863</v>
      </c>
      <c r="G1734" s="9" t="s">
        <v>4864</v>
      </c>
      <c r="H1734" s="9" t="s">
        <v>4865</v>
      </c>
      <c r="I1734" s="10">
        <v>45637</v>
      </c>
    </row>
    <row r="1735" spans="1:9" x14ac:dyDescent="0.15">
      <c r="A1735" s="9">
        <v>1734</v>
      </c>
      <c r="B1735" s="9" t="s">
        <v>9</v>
      </c>
      <c r="C1735" s="9">
        <v>1927</v>
      </c>
      <c r="D1735" s="10">
        <v>45729</v>
      </c>
      <c r="E1735" s="11" t="str">
        <f>+HYPERLINK("http://trademark.i-assist.jp/data/china/image_1927th/82479710.pdf","82479710")</f>
        <v>82479710</v>
      </c>
      <c r="F1735" s="9" t="s">
        <v>4866</v>
      </c>
      <c r="G1735" s="9" t="s">
        <v>4867</v>
      </c>
      <c r="H1735" s="9" t="s">
        <v>4868</v>
      </c>
      <c r="I1735" s="10">
        <v>45637</v>
      </c>
    </row>
    <row r="1736" spans="1:9" x14ac:dyDescent="0.15">
      <c r="A1736" s="9">
        <v>1735</v>
      </c>
      <c r="B1736" s="9" t="s">
        <v>9</v>
      </c>
      <c r="C1736" s="9">
        <v>1927</v>
      </c>
      <c r="D1736" s="10">
        <v>45729</v>
      </c>
      <c r="E1736" s="11" t="str">
        <f>+HYPERLINK("http://trademark.i-assist.jp/data/china/image_1927th/82479740.pdf","82479740")</f>
        <v>82479740</v>
      </c>
      <c r="F1736" s="9" t="s">
        <v>4869</v>
      </c>
      <c r="G1736" s="9" t="s">
        <v>4870</v>
      </c>
      <c r="H1736" s="9" t="s">
        <v>4871</v>
      </c>
      <c r="I1736" s="10">
        <v>45637</v>
      </c>
    </row>
    <row r="1737" spans="1:9" x14ac:dyDescent="0.15">
      <c r="A1737" s="9">
        <v>1736</v>
      </c>
      <c r="B1737" s="9" t="s">
        <v>9</v>
      </c>
      <c r="C1737" s="9">
        <v>1927</v>
      </c>
      <c r="D1737" s="10">
        <v>45729</v>
      </c>
      <c r="E1737" s="11" t="str">
        <f>+HYPERLINK("http://trademark.i-assist.jp/data/china/image_1927th/82479765.pdf","82479765")</f>
        <v>82479765</v>
      </c>
      <c r="F1737" s="9" t="s">
        <v>4872</v>
      </c>
      <c r="G1737" s="9" t="s">
        <v>4873</v>
      </c>
      <c r="H1737" s="9" t="s">
        <v>4874</v>
      </c>
      <c r="I1737" s="10">
        <v>45637</v>
      </c>
    </row>
    <row r="1738" spans="1:9" x14ac:dyDescent="0.15">
      <c r="A1738" s="9">
        <v>1737</v>
      </c>
      <c r="B1738" s="9" t="s">
        <v>9</v>
      </c>
      <c r="C1738" s="9">
        <v>1927</v>
      </c>
      <c r="D1738" s="10">
        <v>45729</v>
      </c>
      <c r="E1738" s="11" t="str">
        <f>+HYPERLINK("http://trademark.i-assist.jp/data/china/image_1927th/82479785.pdf","82479785")</f>
        <v>82479785</v>
      </c>
      <c r="F1738" s="9" t="s">
        <v>4875</v>
      </c>
      <c r="G1738" s="9" t="s">
        <v>4867</v>
      </c>
      <c r="H1738" s="9" t="s">
        <v>4876</v>
      </c>
      <c r="I1738" s="10">
        <v>45637</v>
      </c>
    </row>
    <row r="1739" spans="1:9" x14ac:dyDescent="0.15">
      <c r="A1739" s="9">
        <v>1738</v>
      </c>
      <c r="B1739" s="9" t="s">
        <v>9</v>
      </c>
      <c r="C1739" s="9">
        <v>1927</v>
      </c>
      <c r="D1739" s="10">
        <v>45729</v>
      </c>
      <c r="E1739" s="11" t="str">
        <f>+HYPERLINK("http://trademark.i-assist.jp/data/china/image_1927th/82479857.pdf","82479857")</f>
        <v>82479857</v>
      </c>
      <c r="F1739" s="9" t="s">
        <v>4877</v>
      </c>
      <c r="G1739" s="12" t="s">
        <v>4878</v>
      </c>
      <c r="H1739" s="12" t="s">
        <v>4879</v>
      </c>
      <c r="I1739" s="10">
        <v>45637</v>
      </c>
    </row>
    <row r="1740" spans="1:9" x14ac:dyDescent="0.15">
      <c r="A1740" s="9">
        <v>1739</v>
      </c>
      <c r="B1740" s="9" t="s">
        <v>9</v>
      </c>
      <c r="C1740" s="9">
        <v>1927</v>
      </c>
      <c r="D1740" s="10">
        <v>45729</v>
      </c>
      <c r="E1740" s="11" t="str">
        <f>+HYPERLINK("http://trademark.i-assist.jp/data/china/image_1927th/82480096.pdf","82480096")</f>
        <v>82480096</v>
      </c>
      <c r="F1740" s="9" t="s">
        <v>4880</v>
      </c>
      <c r="G1740" s="9" t="s">
        <v>161</v>
      </c>
      <c r="H1740" s="9" t="s">
        <v>10</v>
      </c>
      <c r="I1740" s="10">
        <v>45637</v>
      </c>
    </row>
    <row r="1741" spans="1:9" x14ac:dyDescent="0.15">
      <c r="A1741" s="9">
        <v>1740</v>
      </c>
      <c r="B1741" s="9" t="s">
        <v>9</v>
      </c>
      <c r="C1741" s="9">
        <v>1927</v>
      </c>
      <c r="D1741" s="10">
        <v>45729</v>
      </c>
      <c r="E1741" s="11" t="str">
        <f>+HYPERLINK("http://trademark.i-assist.jp/data/china/image_1927th/82480117.pdf","82480117")</f>
        <v>82480117</v>
      </c>
      <c r="F1741" s="9" t="s">
        <v>4881</v>
      </c>
      <c r="G1741" s="9" t="s">
        <v>161</v>
      </c>
      <c r="H1741" s="9" t="s">
        <v>4882</v>
      </c>
      <c r="I1741" s="10">
        <v>45637</v>
      </c>
    </row>
    <row r="1742" spans="1:9" x14ac:dyDescent="0.15">
      <c r="A1742" s="9">
        <v>1741</v>
      </c>
      <c r="B1742" s="9" t="s">
        <v>9</v>
      </c>
      <c r="C1742" s="9">
        <v>1927</v>
      </c>
      <c r="D1742" s="10">
        <v>45729</v>
      </c>
      <c r="E1742" s="11" t="str">
        <f>+HYPERLINK("http://trademark.i-assist.jp/data/china/image_1927th/82480176.pdf","82480176")</f>
        <v>82480176</v>
      </c>
      <c r="F1742" s="9" t="s">
        <v>4883</v>
      </c>
      <c r="G1742" s="9" t="s">
        <v>4884</v>
      </c>
      <c r="H1742" s="9" t="s">
        <v>175</v>
      </c>
      <c r="I1742" s="10">
        <v>45637</v>
      </c>
    </row>
    <row r="1743" spans="1:9" x14ac:dyDescent="0.15">
      <c r="A1743" s="9">
        <v>1742</v>
      </c>
      <c r="B1743" s="9" t="s">
        <v>9</v>
      </c>
      <c r="C1743" s="9">
        <v>1927</v>
      </c>
      <c r="D1743" s="10">
        <v>45729</v>
      </c>
      <c r="E1743" s="11" t="str">
        <f>+HYPERLINK("http://trademark.i-assist.jp/data/china/image_1927th/82480317.pdf","82480317")</f>
        <v>82480317</v>
      </c>
      <c r="F1743" s="9" t="s">
        <v>4885</v>
      </c>
      <c r="G1743" s="9" t="s">
        <v>4886</v>
      </c>
      <c r="H1743" s="9" t="s">
        <v>4887</v>
      </c>
      <c r="I1743" s="10">
        <v>45637</v>
      </c>
    </row>
    <row r="1744" spans="1:9" x14ac:dyDescent="0.15">
      <c r="A1744" s="9">
        <v>1743</v>
      </c>
      <c r="B1744" s="9" t="s">
        <v>9</v>
      </c>
      <c r="C1744" s="9">
        <v>1927</v>
      </c>
      <c r="D1744" s="10">
        <v>45729</v>
      </c>
      <c r="E1744" s="11" t="str">
        <f>+HYPERLINK("http://trademark.i-assist.jp/data/china/image_1927th/82480350.pdf","82480350")</f>
        <v>82480350</v>
      </c>
      <c r="F1744" s="9" t="s">
        <v>4888</v>
      </c>
      <c r="G1744" s="9" t="s">
        <v>4889</v>
      </c>
      <c r="H1744" s="9" t="s">
        <v>4890</v>
      </c>
      <c r="I1744" s="10">
        <v>45637</v>
      </c>
    </row>
    <row r="1745" spans="1:9" x14ac:dyDescent="0.15">
      <c r="A1745" s="9">
        <v>1744</v>
      </c>
      <c r="B1745" s="9" t="s">
        <v>9</v>
      </c>
      <c r="C1745" s="9">
        <v>1927</v>
      </c>
      <c r="D1745" s="10">
        <v>45729</v>
      </c>
      <c r="E1745" s="11" t="str">
        <f>+HYPERLINK("http://trademark.i-assist.jp/data/china/image_1927th/82480445.pdf","82480445")</f>
        <v>82480445</v>
      </c>
      <c r="F1745" s="9" t="s">
        <v>4891</v>
      </c>
      <c r="G1745" s="9" t="s">
        <v>4892</v>
      </c>
      <c r="H1745" s="9" t="s">
        <v>4893</v>
      </c>
      <c r="I1745" s="10">
        <v>45637</v>
      </c>
    </row>
    <row r="1746" spans="1:9" x14ac:dyDescent="0.15">
      <c r="A1746" s="9">
        <v>1745</v>
      </c>
      <c r="B1746" s="9" t="s">
        <v>9</v>
      </c>
      <c r="C1746" s="9">
        <v>1927</v>
      </c>
      <c r="D1746" s="10">
        <v>45729</v>
      </c>
      <c r="E1746" s="11" t="str">
        <f>+HYPERLINK("http://trademark.i-assist.jp/data/china/image_1927th/82480494.pdf","82480494")</f>
        <v>82480494</v>
      </c>
      <c r="F1746" s="12" t="s">
        <v>4894</v>
      </c>
      <c r="G1746" s="9" t="s">
        <v>4895</v>
      </c>
      <c r="H1746" s="9" t="s">
        <v>4896</v>
      </c>
      <c r="I1746" s="10">
        <v>45637</v>
      </c>
    </row>
    <row r="1747" spans="1:9" x14ac:dyDescent="0.15">
      <c r="A1747" s="9">
        <v>1746</v>
      </c>
      <c r="B1747" s="9" t="s">
        <v>9</v>
      </c>
      <c r="C1747" s="9">
        <v>1927</v>
      </c>
      <c r="D1747" s="10">
        <v>45729</v>
      </c>
      <c r="E1747" s="11" t="str">
        <f>+HYPERLINK("http://trademark.i-assist.jp/data/china/image_1927th/82480551.pdf","82480551")</f>
        <v>82480551</v>
      </c>
      <c r="F1747" s="12" t="s">
        <v>4897</v>
      </c>
      <c r="G1747" s="9" t="s">
        <v>4898</v>
      </c>
      <c r="H1747" s="9" t="s">
        <v>4899</v>
      </c>
      <c r="I1747" s="10">
        <v>45637</v>
      </c>
    </row>
    <row r="1748" spans="1:9" x14ac:dyDescent="0.15">
      <c r="A1748" s="9">
        <v>1747</v>
      </c>
      <c r="B1748" s="9" t="s">
        <v>9</v>
      </c>
      <c r="C1748" s="9">
        <v>1927</v>
      </c>
      <c r="D1748" s="10">
        <v>45729</v>
      </c>
      <c r="E1748" s="11" t="str">
        <f>+HYPERLINK("http://trademark.i-assist.jp/data/china/image_1927th/82480593.pdf","82480593")</f>
        <v>82480593</v>
      </c>
      <c r="F1748" s="12" t="s">
        <v>4900</v>
      </c>
      <c r="G1748" s="12" t="s">
        <v>4901</v>
      </c>
      <c r="H1748" s="9" t="s">
        <v>4902</v>
      </c>
      <c r="I1748" s="10">
        <v>45637</v>
      </c>
    </row>
    <row r="1749" spans="1:9" x14ac:dyDescent="0.15">
      <c r="A1749" s="9">
        <v>1748</v>
      </c>
      <c r="B1749" s="9" t="s">
        <v>9</v>
      </c>
      <c r="C1749" s="9">
        <v>1927</v>
      </c>
      <c r="D1749" s="10">
        <v>45729</v>
      </c>
      <c r="E1749" s="11" t="str">
        <f>+HYPERLINK("http://trademark.i-assist.jp/data/china/image_1927th/82480764.pdf","82480764")</f>
        <v>82480764</v>
      </c>
      <c r="F1749" s="12" t="s">
        <v>16</v>
      </c>
      <c r="G1749" s="9" t="s">
        <v>4903</v>
      </c>
      <c r="H1749" s="9" t="s">
        <v>4904</v>
      </c>
      <c r="I1749" s="10">
        <v>45637</v>
      </c>
    </row>
    <row r="1750" spans="1:9" x14ac:dyDescent="0.15">
      <c r="A1750" s="9">
        <v>1749</v>
      </c>
      <c r="B1750" s="9" t="s">
        <v>9</v>
      </c>
      <c r="C1750" s="9">
        <v>1927</v>
      </c>
      <c r="D1750" s="10">
        <v>45729</v>
      </c>
      <c r="E1750" s="11" t="str">
        <f>+HYPERLINK("http://trademark.i-assist.jp/data/china/image_1927th/82481596.pdf","82481596")</f>
        <v>82481596</v>
      </c>
      <c r="F1750" s="12" t="s">
        <v>16</v>
      </c>
      <c r="G1750" s="9" t="s">
        <v>4903</v>
      </c>
      <c r="H1750" s="9" t="s">
        <v>4905</v>
      </c>
      <c r="I1750" s="10">
        <v>45637</v>
      </c>
    </row>
    <row r="1751" spans="1:9" x14ac:dyDescent="0.15">
      <c r="A1751" s="9">
        <v>1750</v>
      </c>
      <c r="B1751" s="9" t="s">
        <v>9</v>
      </c>
      <c r="C1751" s="9">
        <v>1927</v>
      </c>
      <c r="D1751" s="10">
        <v>45729</v>
      </c>
      <c r="E1751" s="11" t="str">
        <f>+HYPERLINK("http://trademark.i-assist.jp/data/china/image_1927th/82481652.pdf","82481652")</f>
        <v>82481652</v>
      </c>
      <c r="F1751" s="12" t="s">
        <v>4906</v>
      </c>
      <c r="G1751" s="9" t="s">
        <v>4907</v>
      </c>
      <c r="H1751" s="9" t="s">
        <v>4908</v>
      </c>
      <c r="I1751" s="10">
        <v>45637</v>
      </c>
    </row>
    <row r="1752" spans="1:9" x14ac:dyDescent="0.15">
      <c r="A1752" s="9">
        <v>1751</v>
      </c>
      <c r="B1752" s="9" t="s">
        <v>9</v>
      </c>
      <c r="C1752" s="9">
        <v>1927</v>
      </c>
      <c r="D1752" s="10">
        <v>45729</v>
      </c>
      <c r="E1752" s="11" t="str">
        <f>+HYPERLINK("http://trademark.i-assist.jp/data/china/image_1927th/82481839.pdf","82481839")</f>
        <v>82481839</v>
      </c>
      <c r="F1752" s="12" t="s">
        <v>16</v>
      </c>
      <c r="G1752" s="12" t="s">
        <v>4909</v>
      </c>
      <c r="H1752" s="9" t="s">
        <v>4910</v>
      </c>
      <c r="I1752" s="10">
        <v>45637</v>
      </c>
    </row>
    <row r="1753" spans="1:9" x14ac:dyDescent="0.15">
      <c r="A1753" s="9">
        <v>1752</v>
      </c>
      <c r="B1753" s="9" t="s">
        <v>9</v>
      </c>
      <c r="C1753" s="9">
        <v>1927</v>
      </c>
      <c r="D1753" s="10">
        <v>45729</v>
      </c>
      <c r="E1753" s="11" t="str">
        <f>+HYPERLINK("http://trademark.i-assist.jp/data/china/image_1927th/82481859.pdf","82481859")</f>
        <v>82481859</v>
      </c>
      <c r="F1753" s="9" t="s">
        <v>4911</v>
      </c>
      <c r="G1753" s="9" t="s">
        <v>4912</v>
      </c>
      <c r="H1753" s="12" t="s">
        <v>4913</v>
      </c>
      <c r="I1753" s="10">
        <v>45637</v>
      </c>
    </row>
    <row r="1754" spans="1:9" x14ac:dyDescent="0.15">
      <c r="A1754" s="9">
        <v>1753</v>
      </c>
      <c r="B1754" s="9" t="s">
        <v>9</v>
      </c>
      <c r="C1754" s="9">
        <v>1927</v>
      </c>
      <c r="D1754" s="10">
        <v>45729</v>
      </c>
      <c r="E1754" s="11" t="str">
        <f>+HYPERLINK("http://trademark.i-assist.jp/data/china/image_1927th/82482205.pdf","82482205")</f>
        <v>82482205</v>
      </c>
      <c r="F1754" s="9" t="s">
        <v>4914</v>
      </c>
      <c r="G1754" s="9" t="s">
        <v>4864</v>
      </c>
      <c r="H1754" s="9" t="s">
        <v>4915</v>
      </c>
      <c r="I1754" s="10">
        <v>45637</v>
      </c>
    </row>
    <row r="1755" spans="1:9" x14ac:dyDescent="0.15">
      <c r="A1755" s="9">
        <v>1754</v>
      </c>
      <c r="B1755" s="9" t="s">
        <v>9</v>
      </c>
      <c r="C1755" s="9">
        <v>1927</v>
      </c>
      <c r="D1755" s="10">
        <v>45729</v>
      </c>
      <c r="E1755" s="11" t="str">
        <f>+HYPERLINK("http://trademark.i-assist.jp/data/china/image_1927th/82482261.pdf","82482261")</f>
        <v>82482261</v>
      </c>
      <c r="F1755" s="9" t="s">
        <v>4916</v>
      </c>
      <c r="G1755" s="9" t="s">
        <v>4867</v>
      </c>
      <c r="H1755" s="9" t="s">
        <v>4917</v>
      </c>
      <c r="I1755" s="10">
        <v>45637</v>
      </c>
    </row>
    <row r="1756" spans="1:9" x14ac:dyDescent="0.15">
      <c r="A1756" s="9">
        <v>1755</v>
      </c>
      <c r="B1756" s="9" t="s">
        <v>9</v>
      </c>
      <c r="C1756" s="9">
        <v>1927</v>
      </c>
      <c r="D1756" s="10">
        <v>45729</v>
      </c>
      <c r="E1756" s="11" t="str">
        <f>+HYPERLINK("http://trademark.i-assist.jp/data/china/image_1927th/82482395.pdf","82482395")</f>
        <v>82482395</v>
      </c>
      <c r="F1756" s="9" t="s">
        <v>4918</v>
      </c>
      <c r="G1756" s="12" t="s">
        <v>3584</v>
      </c>
      <c r="H1756" s="9" t="s">
        <v>4919</v>
      </c>
      <c r="I1756" s="10">
        <v>45637</v>
      </c>
    </row>
    <row r="1757" spans="1:9" x14ac:dyDescent="0.15">
      <c r="A1757" s="9">
        <v>1756</v>
      </c>
      <c r="B1757" s="9" t="s">
        <v>9</v>
      </c>
      <c r="C1757" s="9">
        <v>1927</v>
      </c>
      <c r="D1757" s="10">
        <v>45729</v>
      </c>
      <c r="E1757" s="11" t="str">
        <f>+HYPERLINK("http://trademark.i-assist.jp/data/china/image_1927th/82482842.pdf","82482842")</f>
        <v>82482842</v>
      </c>
      <c r="F1757" s="12" t="s">
        <v>4920</v>
      </c>
      <c r="G1757" s="9" t="s">
        <v>4921</v>
      </c>
      <c r="H1757" s="9" t="s">
        <v>4922</v>
      </c>
      <c r="I1757" s="10">
        <v>45637</v>
      </c>
    </row>
    <row r="1758" spans="1:9" x14ac:dyDescent="0.15">
      <c r="A1758" s="9">
        <v>1757</v>
      </c>
      <c r="B1758" s="9" t="s">
        <v>9</v>
      </c>
      <c r="C1758" s="9">
        <v>1927</v>
      </c>
      <c r="D1758" s="10">
        <v>45729</v>
      </c>
      <c r="E1758" s="11" t="str">
        <f>+HYPERLINK("http://trademark.i-assist.jp/data/china/image_1927th/82482845.pdf","82482845")</f>
        <v>82482845</v>
      </c>
      <c r="F1758" s="9" t="s">
        <v>4923</v>
      </c>
      <c r="G1758" s="9" t="s">
        <v>4924</v>
      </c>
      <c r="H1758" s="9" t="s">
        <v>4925</v>
      </c>
      <c r="I1758" s="10">
        <v>45637</v>
      </c>
    </row>
    <row r="1759" spans="1:9" x14ac:dyDescent="0.15">
      <c r="A1759" s="9">
        <v>1758</v>
      </c>
      <c r="B1759" s="9" t="s">
        <v>9</v>
      </c>
      <c r="C1759" s="9">
        <v>1927</v>
      </c>
      <c r="D1759" s="10">
        <v>45729</v>
      </c>
      <c r="E1759" s="11" t="str">
        <f>+HYPERLINK("http://trademark.i-assist.jp/data/china/image_1927th/82482900.pdf","82482900")</f>
        <v>82482900</v>
      </c>
      <c r="F1759" s="9" t="s">
        <v>4926</v>
      </c>
      <c r="G1759" s="9" t="s">
        <v>160</v>
      </c>
      <c r="H1759" s="9" t="s">
        <v>4927</v>
      </c>
      <c r="I1759" s="10">
        <v>45637</v>
      </c>
    </row>
    <row r="1760" spans="1:9" x14ac:dyDescent="0.15">
      <c r="A1760" s="9">
        <v>1759</v>
      </c>
      <c r="B1760" s="9" t="s">
        <v>9</v>
      </c>
      <c r="C1760" s="9">
        <v>1927</v>
      </c>
      <c r="D1760" s="10">
        <v>45729</v>
      </c>
      <c r="E1760" s="11" t="str">
        <f>+HYPERLINK("http://trademark.i-assist.jp/data/china/image_1927th/82482939.pdf","82482939")</f>
        <v>82482939</v>
      </c>
      <c r="F1760" s="9" t="s">
        <v>4928</v>
      </c>
      <c r="G1760" s="12" t="s">
        <v>4929</v>
      </c>
      <c r="H1760" s="12" t="s">
        <v>4930</v>
      </c>
      <c r="I1760" s="10">
        <v>45637</v>
      </c>
    </row>
    <row r="1761" spans="1:9" x14ac:dyDescent="0.15">
      <c r="A1761" s="9">
        <v>1760</v>
      </c>
      <c r="B1761" s="9" t="s">
        <v>9</v>
      </c>
      <c r="C1761" s="9">
        <v>1927</v>
      </c>
      <c r="D1761" s="10">
        <v>45729</v>
      </c>
      <c r="E1761" s="11" t="str">
        <f>+HYPERLINK("http://trademark.i-assist.jp/data/china/image_1927th/82483323.pdf","82483323")</f>
        <v>82483323</v>
      </c>
      <c r="F1761" s="12" t="s">
        <v>4931</v>
      </c>
      <c r="G1761" s="9" t="s">
        <v>4932</v>
      </c>
      <c r="H1761" s="12" t="s">
        <v>4933</v>
      </c>
      <c r="I1761" s="10">
        <v>45637</v>
      </c>
    </row>
    <row r="1762" spans="1:9" x14ac:dyDescent="0.15">
      <c r="A1762" s="9">
        <v>1761</v>
      </c>
      <c r="B1762" s="9" t="s">
        <v>9</v>
      </c>
      <c r="C1762" s="9">
        <v>1927</v>
      </c>
      <c r="D1762" s="10">
        <v>45729</v>
      </c>
      <c r="E1762" s="11" t="str">
        <f>+HYPERLINK("http://trademark.i-assist.jp/data/china/image_1927th/82483461.pdf","82483461")</f>
        <v>82483461</v>
      </c>
      <c r="F1762" s="12" t="s">
        <v>4934</v>
      </c>
      <c r="G1762" s="9" t="s">
        <v>4935</v>
      </c>
      <c r="H1762" s="12" t="s">
        <v>4936</v>
      </c>
      <c r="I1762" s="10">
        <v>45637</v>
      </c>
    </row>
    <row r="1763" spans="1:9" x14ac:dyDescent="0.15">
      <c r="A1763" s="9">
        <v>1762</v>
      </c>
      <c r="B1763" s="9" t="s">
        <v>9</v>
      </c>
      <c r="C1763" s="9">
        <v>1927</v>
      </c>
      <c r="D1763" s="10">
        <v>45729</v>
      </c>
      <c r="E1763" s="11" t="str">
        <f>+HYPERLINK("http://trademark.i-assist.jp/data/china/image_1927th/82483480.pdf","82483480")</f>
        <v>82483480</v>
      </c>
      <c r="F1763" s="12" t="s">
        <v>4937</v>
      </c>
      <c r="G1763" s="9" t="s">
        <v>4855</v>
      </c>
      <c r="H1763" s="9" t="s">
        <v>4938</v>
      </c>
      <c r="I1763" s="10">
        <v>45637</v>
      </c>
    </row>
    <row r="1764" spans="1:9" x14ac:dyDescent="0.15">
      <c r="A1764" s="9">
        <v>1763</v>
      </c>
      <c r="B1764" s="9" t="s">
        <v>9</v>
      </c>
      <c r="C1764" s="9">
        <v>1927</v>
      </c>
      <c r="D1764" s="10">
        <v>45729</v>
      </c>
      <c r="E1764" s="11" t="str">
        <f>+HYPERLINK("http://trademark.i-assist.jp/data/china/image_1927th/82483928.pdf","82483928")</f>
        <v>82483928</v>
      </c>
      <c r="F1764" s="9" t="s">
        <v>4939</v>
      </c>
      <c r="G1764" s="9" t="s">
        <v>4834</v>
      </c>
      <c r="H1764" s="9" t="s">
        <v>4940</v>
      </c>
      <c r="I1764" s="10">
        <v>45637</v>
      </c>
    </row>
    <row r="1765" spans="1:9" x14ac:dyDescent="0.15">
      <c r="A1765" s="9">
        <v>1764</v>
      </c>
      <c r="B1765" s="9" t="s">
        <v>9</v>
      </c>
      <c r="C1765" s="9">
        <v>1927</v>
      </c>
      <c r="D1765" s="10">
        <v>45729</v>
      </c>
      <c r="E1765" s="11" t="str">
        <f>+HYPERLINK("http://trademark.i-assist.jp/data/china/image_1927th/82483932.pdf","82483932")</f>
        <v>82483932</v>
      </c>
      <c r="F1765" s="12" t="s">
        <v>16</v>
      </c>
      <c r="G1765" s="12" t="s">
        <v>4941</v>
      </c>
      <c r="H1765" s="12" t="s">
        <v>4942</v>
      </c>
      <c r="I1765" s="10">
        <v>45637</v>
      </c>
    </row>
    <row r="1766" spans="1:9" x14ac:dyDescent="0.15">
      <c r="A1766" s="9">
        <v>1765</v>
      </c>
      <c r="B1766" s="9" t="s">
        <v>9</v>
      </c>
      <c r="C1766" s="9">
        <v>1927</v>
      </c>
      <c r="D1766" s="10">
        <v>45729</v>
      </c>
      <c r="E1766" s="11" t="str">
        <f>+HYPERLINK("http://trademark.i-assist.jp/data/china/image_1927th/82484060.pdf","82484060")</f>
        <v>82484060</v>
      </c>
      <c r="F1766" s="12" t="s">
        <v>4943</v>
      </c>
      <c r="G1766" s="9" t="s">
        <v>4944</v>
      </c>
      <c r="H1766" s="12" t="s">
        <v>4945</v>
      </c>
      <c r="I1766" s="10">
        <v>45637</v>
      </c>
    </row>
    <row r="1767" spans="1:9" x14ac:dyDescent="0.15">
      <c r="A1767" s="9">
        <v>1766</v>
      </c>
      <c r="B1767" s="9" t="s">
        <v>9</v>
      </c>
      <c r="C1767" s="9">
        <v>1927</v>
      </c>
      <c r="D1767" s="10">
        <v>45729</v>
      </c>
      <c r="E1767" s="11" t="str">
        <f>+HYPERLINK("http://trademark.i-assist.jp/data/china/image_1927th/82484199.pdf","82484199")</f>
        <v>82484199</v>
      </c>
      <c r="F1767" s="12" t="s">
        <v>4946</v>
      </c>
      <c r="G1767" s="9" t="s">
        <v>4867</v>
      </c>
      <c r="H1767" s="9" t="s">
        <v>4947</v>
      </c>
      <c r="I1767" s="10">
        <v>45637</v>
      </c>
    </row>
    <row r="1768" spans="1:9" x14ac:dyDescent="0.15">
      <c r="A1768" s="9">
        <v>1767</v>
      </c>
      <c r="B1768" s="9" t="s">
        <v>9</v>
      </c>
      <c r="C1768" s="9">
        <v>1927</v>
      </c>
      <c r="D1768" s="10">
        <v>45729</v>
      </c>
      <c r="E1768" s="11" t="str">
        <f>+HYPERLINK("http://trademark.i-assist.jp/data/china/image_1927th/82484215.pdf","82484215")</f>
        <v>82484215</v>
      </c>
      <c r="F1768" s="9" t="s">
        <v>4948</v>
      </c>
      <c r="G1768" s="9" t="s">
        <v>4949</v>
      </c>
      <c r="H1768" s="9" t="s">
        <v>4950</v>
      </c>
      <c r="I1768" s="10">
        <v>45637</v>
      </c>
    </row>
    <row r="1769" spans="1:9" x14ac:dyDescent="0.15">
      <c r="A1769" s="9">
        <v>1768</v>
      </c>
      <c r="B1769" s="9" t="s">
        <v>9</v>
      </c>
      <c r="C1769" s="9">
        <v>1927</v>
      </c>
      <c r="D1769" s="10">
        <v>45729</v>
      </c>
      <c r="E1769" s="11" t="str">
        <f>+HYPERLINK("http://trademark.i-assist.jp/data/china/image_1927th/82484352.pdf","82484352")</f>
        <v>82484352</v>
      </c>
      <c r="F1769" s="9" t="s">
        <v>4951</v>
      </c>
      <c r="G1769" s="9" t="s">
        <v>4952</v>
      </c>
      <c r="H1769" s="9" t="s">
        <v>4953</v>
      </c>
      <c r="I1769" s="10">
        <v>45637</v>
      </c>
    </row>
    <row r="1770" spans="1:9" x14ac:dyDescent="0.15">
      <c r="A1770" s="9">
        <v>1769</v>
      </c>
      <c r="B1770" s="9" t="s">
        <v>9</v>
      </c>
      <c r="C1770" s="9">
        <v>1927</v>
      </c>
      <c r="D1770" s="10">
        <v>45729</v>
      </c>
      <c r="E1770" s="11" t="str">
        <f>+HYPERLINK("http://trademark.i-assist.jp/data/china/image_1927th/82484748.pdf","82484748")</f>
        <v>82484748</v>
      </c>
      <c r="F1770" s="9" t="s">
        <v>4954</v>
      </c>
      <c r="G1770" s="9" t="s">
        <v>4955</v>
      </c>
      <c r="H1770" s="9" t="s">
        <v>4956</v>
      </c>
      <c r="I1770" s="10">
        <v>45637</v>
      </c>
    </row>
    <row r="1771" spans="1:9" x14ac:dyDescent="0.15">
      <c r="A1771" s="9">
        <v>1770</v>
      </c>
      <c r="B1771" s="9" t="s">
        <v>9</v>
      </c>
      <c r="C1771" s="9">
        <v>1927</v>
      </c>
      <c r="D1771" s="10">
        <v>45729</v>
      </c>
      <c r="E1771" s="11" t="str">
        <f>+HYPERLINK("http://trademark.i-assist.jp/data/china/image_1927th/82485124.pdf","82485124")</f>
        <v>82485124</v>
      </c>
      <c r="F1771" s="9" t="s">
        <v>4957</v>
      </c>
      <c r="G1771" s="9" t="s">
        <v>4958</v>
      </c>
      <c r="H1771" s="9" t="s">
        <v>4959</v>
      </c>
      <c r="I1771" s="10">
        <v>45637</v>
      </c>
    </row>
    <row r="1772" spans="1:9" x14ac:dyDescent="0.15">
      <c r="A1772" s="9">
        <v>1771</v>
      </c>
      <c r="B1772" s="9" t="s">
        <v>9</v>
      </c>
      <c r="C1772" s="9">
        <v>1927</v>
      </c>
      <c r="D1772" s="10">
        <v>45729</v>
      </c>
      <c r="E1772" s="11" t="str">
        <f>+HYPERLINK("http://trademark.i-assist.jp/data/china/image_1927th/82485247.pdf","82485247")</f>
        <v>82485247</v>
      </c>
      <c r="F1772" s="9" t="s">
        <v>4960</v>
      </c>
      <c r="G1772" s="9" t="s">
        <v>4961</v>
      </c>
      <c r="H1772" s="9" t="s">
        <v>4962</v>
      </c>
      <c r="I1772" s="10">
        <v>45637</v>
      </c>
    </row>
    <row r="1773" spans="1:9" x14ac:dyDescent="0.15">
      <c r="A1773" s="9">
        <v>1772</v>
      </c>
      <c r="B1773" s="9" t="s">
        <v>9</v>
      </c>
      <c r="C1773" s="9">
        <v>1927</v>
      </c>
      <c r="D1773" s="10">
        <v>45729</v>
      </c>
      <c r="E1773" s="11" t="str">
        <f>+HYPERLINK("http://trademark.i-assist.jp/data/china/image_1927th/82485308.pdf","82485308")</f>
        <v>82485308</v>
      </c>
      <c r="F1773" s="9" t="s">
        <v>4963</v>
      </c>
      <c r="G1773" s="9" t="s">
        <v>4964</v>
      </c>
      <c r="H1773" s="9" t="s">
        <v>4965</v>
      </c>
      <c r="I1773" s="10">
        <v>45637</v>
      </c>
    </row>
    <row r="1774" spans="1:9" x14ac:dyDescent="0.15">
      <c r="A1774" s="9">
        <v>1773</v>
      </c>
      <c r="B1774" s="9" t="s">
        <v>9</v>
      </c>
      <c r="C1774" s="9">
        <v>1927</v>
      </c>
      <c r="D1774" s="10">
        <v>45729</v>
      </c>
      <c r="E1774" s="11" t="str">
        <f>+HYPERLINK("http://trademark.i-assist.jp/data/china/image_1927th/82485724.pdf","82485724")</f>
        <v>82485724</v>
      </c>
      <c r="F1774" s="9" t="s">
        <v>4966</v>
      </c>
      <c r="G1774" s="9" t="s">
        <v>4864</v>
      </c>
      <c r="H1774" s="9" t="s">
        <v>4967</v>
      </c>
      <c r="I1774" s="10">
        <v>45637</v>
      </c>
    </row>
    <row r="1775" spans="1:9" x14ac:dyDescent="0.15">
      <c r="A1775" s="9">
        <v>1774</v>
      </c>
      <c r="B1775" s="9" t="s">
        <v>9</v>
      </c>
      <c r="C1775" s="9">
        <v>1927</v>
      </c>
      <c r="D1775" s="10">
        <v>45729</v>
      </c>
      <c r="E1775" s="11" t="str">
        <f>+HYPERLINK("http://trademark.i-assist.jp/data/china/image_1927th/82485949.pdf","82485949")</f>
        <v>82485949</v>
      </c>
      <c r="F1775" s="9" t="s">
        <v>4968</v>
      </c>
      <c r="G1775" s="9" t="s">
        <v>4873</v>
      </c>
      <c r="H1775" s="9" t="s">
        <v>4969</v>
      </c>
      <c r="I1775" s="10">
        <v>45637</v>
      </c>
    </row>
    <row r="1776" spans="1:9" x14ac:dyDescent="0.15">
      <c r="A1776" s="9">
        <v>1775</v>
      </c>
      <c r="B1776" s="9" t="s">
        <v>9</v>
      </c>
      <c r="C1776" s="9">
        <v>1927</v>
      </c>
      <c r="D1776" s="10">
        <v>45729</v>
      </c>
      <c r="E1776" s="11" t="str">
        <f>+HYPERLINK("http://trademark.i-assist.jp/data/china/image_1927th/82486978.pdf","82486978")</f>
        <v>82486978</v>
      </c>
      <c r="F1776" s="12" t="s">
        <v>4970</v>
      </c>
      <c r="G1776" s="9" t="s">
        <v>4971</v>
      </c>
      <c r="H1776" s="9" t="s">
        <v>4972</v>
      </c>
      <c r="I1776" s="10">
        <v>45637</v>
      </c>
    </row>
    <row r="1777" spans="1:9" x14ac:dyDescent="0.15">
      <c r="A1777" s="9">
        <v>1776</v>
      </c>
      <c r="B1777" s="9" t="s">
        <v>9</v>
      </c>
      <c r="C1777" s="9">
        <v>1927</v>
      </c>
      <c r="D1777" s="10">
        <v>45729</v>
      </c>
      <c r="E1777" s="11" t="str">
        <f>+HYPERLINK("http://trademark.i-assist.jp/data/china/image_1927th/82486987.pdf","82486987")</f>
        <v>82486987</v>
      </c>
      <c r="F1777" s="9" t="s">
        <v>4973</v>
      </c>
      <c r="G1777" s="9" t="s">
        <v>4974</v>
      </c>
      <c r="H1777" s="9" t="s">
        <v>4975</v>
      </c>
      <c r="I1777" s="10">
        <v>45637</v>
      </c>
    </row>
    <row r="1778" spans="1:9" x14ac:dyDescent="0.15">
      <c r="A1778" s="9">
        <v>1777</v>
      </c>
      <c r="B1778" s="9" t="s">
        <v>9</v>
      </c>
      <c r="C1778" s="9">
        <v>1927</v>
      </c>
      <c r="D1778" s="10">
        <v>45729</v>
      </c>
      <c r="E1778" s="11" t="str">
        <f>+HYPERLINK("http://trademark.i-assist.jp/data/china/image_1927th/82487146.pdf","82487146")</f>
        <v>82487146</v>
      </c>
      <c r="F1778" s="9" t="s">
        <v>4976</v>
      </c>
      <c r="G1778" s="9" t="s">
        <v>4977</v>
      </c>
      <c r="H1778" s="12" t="s">
        <v>4978</v>
      </c>
      <c r="I1778" s="10">
        <v>45637</v>
      </c>
    </row>
    <row r="1779" spans="1:9" x14ac:dyDescent="0.15">
      <c r="A1779" s="9">
        <v>1778</v>
      </c>
      <c r="B1779" s="9" t="s">
        <v>9</v>
      </c>
      <c r="C1779" s="9">
        <v>1927</v>
      </c>
      <c r="D1779" s="10">
        <v>45729</v>
      </c>
      <c r="E1779" s="11" t="str">
        <f>+HYPERLINK("http://trademark.i-assist.jp/data/china/image_1927th/82487158.pdf","82487158")</f>
        <v>82487158</v>
      </c>
      <c r="F1779" s="9" t="s">
        <v>4979</v>
      </c>
      <c r="G1779" s="12" t="s">
        <v>4980</v>
      </c>
      <c r="H1779" s="9" t="s">
        <v>4981</v>
      </c>
      <c r="I1779" s="10">
        <v>45637</v>
      </c>
    </row>
    <row r="1780" spans="1:9" x14ac:dyDescent="0.15">
      <c r="A1780" s="9">
        <v>1779</v>
      </c>
      <c r="B1780" s="9" t="s">
        <v>9</v>
      </c>
      <c r="C1780" s="9">
        <v>1927</v>
      </c>
      <c r="D1780" s="10">
        <v>45729</v>
      </c>
      <c r="E1780" s="11" t="str">
        <f>+HYPERLINK("http://trademark.i-assist.jp/data/china/image_1927th/82487216.pdf","82487216")</f>
        <v>82487216</v>
      </c>
      <c r="F1780" s="12" t="s">
        <v>4982</v>
      </c>
      <c r="G1780" s="9" t="s">
        <v>4983</v>
      </c>
      <c r="H1780" s="9" t="s">
        <v>4984</v>
      </c>
      <c r="I1780" s="10">
        <v>45637</v>
      </c>
    </row>
    <row r="1781" spans="1:9" x14ac:dyDescent="0.15">
      <c r="A1781" s="9">
        <v>1780</v>
      </c>
      <c r="B1781" s="9" t="s">
        <v>9</v>
      </c>
      <c r="C1781" s="9">
        <v>1927</v>
      </c>
      <c r="D1781" s="10">
        <v>45729</v>
      </c>
      <c r="E1781" s="11" t="str">
        <f>+HYPERLINK("http://trademark.i-assist.jp/data/china/image_1927th/82487244.pdf","82487244")</f>
        <v>82487244</v>
      </c>
      <c r="F1781" s="9" t="s">
        <v>4985</v>
      </c>
      <c r="G1781" s="9" t="s">
        <v>4986</v>
      </c>
      <c r="H1781" s="9" t="s">
        <v>4987</v>
      </c>
      <c r="I1781" s="10">
        <v>45637</v>
      </c>
    </row>
    <row r="1782" spans="1:9" x14ac:dyDescent="0.15">
      <c r="A1782" s="9">
        <v>1781</v>
      </c>
      <c r="B1782" s="9" t="s">
        <v>9</v>
      </c>
      <c r="C1782" s="9">
        <v>1927</v>
      </c>
      <c r="D1782" s="10">
        <v>45729</v>
      </c>
      <c r="E1782" s="11" t="str">
        <f>+HYPERLINK("http://trademark.i-assist.jp/data/china/image_1927th/82487372.pdf","82487372")</f>
        <v>82487372</v>
      </c>
      <c r="F1782" s="12" t="s">
        <v>4988</v>
      </c>
      <c r="G1782" s="9" t="s">
        <v>4989</v>
      </c>
      <c r="H1782" s="9" t="s">
        <v>4990</v>
      </c>
      <c r="I1782" s="10">
        <v>45637</v>
      </c>
    </row>
    <row r="1783" spans="1:9" x14ac:dyDescent="0.15">
      <c r="A1783" s="9">
        <v>1782</v>
      </c>
      <c r="B1783" s="9" t="s">
        <v>9</v>
      </c>
      <c r="C1783" s="9">
        <v>1927</v>
      </c>
      <c r="D1783" s="10">
        <v>45729</v>
      </c>
      <c r="E1783" s="11" t="str">
        <f>+HYPERLINK("http://trademark.i-assist.jp/data/china/image_1927th/82487487.pdf","82487487")</f>
        <v>82487487</v>
      </c>
      <c r="F1783" s="12" t="s">
        <v>4991</v>
      </c>
      <c r="G1783" s="9" t="s">
        <v>4867</v>
      </c>
      <c r="H1783" s="9" t="s">
        <v>4992</v>
      </c>
      <c r="I1783" s="10">
        <v>45637</v>
      </c>
    </row>
    <row r="1784" spans="1:9" x14ac:dyDescent="0.15">
      <c r="A1784" s="9">
        <v>1783</v>
      </c>
      <c r="B1784" s="9" t="s">
        <v>9</v>
      </c>
      <c r="C1784" s="9">
        <v>1927</v>
      </c>
      <c r="D1784" s="10">
        <v>45729</v>
      </c>
      <c r="E1784" s="11" t="str">
        <f>+HYPERLINK("http://trademark.i-assist.jp/data/china/image_1927th/82487797.pdf","82487797")</f>
        <v>82487797</v>
      </c>
      <c r="F1784" s="9" t="s">
        <v>4993</v>
      </c>
      <c r="G1784" s="12" t="s">
        <v>4994</v>
      </c>
      <c r="H1784" s="9" t="s">
        <v>4995</v>
      </c>
      <c r="I1784" s="10">
        <v>45637</v>
      </c>
    </row>
    <row r="1785" spans="1:9" x14ac:dyDescent="0.15">
      <c r="A1785" s="9">
        <v>1784</v>
      </c>
      <c r="B1785" s="9" t="s">
        <v>9</v>
      </c>
      <c r="C1785" s="9">
        <v>1927</v>
      </c>
      <c r="D1785" s="10">
        <v>45729</v>
      </c>
      <c r="E1785" s="11" t="str">
        <f>+HYPERLINK("http://trademark.i-assist.jp/data/china/image_1927th/82488332.pdf","82488332")</f>
        <v>82488332</v>
      </c>
      <c r="F1785" s="12" t="s">
        <v>4996</v>
      </c>
      <c r="G1785" s="9" t="s">
        <v>4997</v>
      </c>
      <c r="H1785" s="9" t="s">
        <v>4998</v>
      </c>
      <c r="I1785" s="10">
        <v>45637</v>
      </c>
    </row>
    <row r="1786" spans="1:9" x14ac:dyDescent="0.15">
      <c r="A1786" s="9">
        <v>1785</v>
      </c>
      <c r="B1786" s="9" t="s">
        <v>9</v>
      </c>
      <c r="C1786" s="9">
        <v>1927</v>
      </c>
      <c r="D1786" s="10">
        <v>45729</v>
      </c>
      <c r="E1786" s="11" t="str">
        <f>+HYPERLINK("http://trademark.i-assist.jp/data/china/image_1927th/82488515.pdf","82488515")</f>
        <v>82488515</v>
      </c>
      <c r="F1786" s="12" t="s">
        <v>4999</v>
      </c>
      <c r="G1786" s="9" t="s">
        <v>210</v>
      </c>
      <c r="H1786" s="9" t="s">
        <v>5000</v>
      </c>
      <c r="I1786" s="10">
        <v>45637</v>
      </c>
    </row>
    <row r="1787" spans="1:9" x14ac:dyDescent="0.15">
      <c r="A1787" s="9">
        <v>1786</v>
      </c>
      <c r="B1787" s="9" t="s">
        <v>9</v>
      </c>
      <c r="C1787" s="9">
        <v>1927</v>
      </c>
      <c r="D1787" s="10">
        <v>45729</v>
      </c>
      <c r="E1787" s="11" t="str">
        <f>+HYPERLINK("http://trademark.i-assist.jp/data/china/image_1927th/82488775.pdf","82488775")</f>
        <v>82488775</v>
      </c>
      <c r="F1787" s="9" t="s">
        <v>5001</v>
      </c>
      <c r="G1787" s="9" t="s">
        <v>5002</v>
      </c>
      <c r="H1787" s="9" t="s">
        <v>5003</v>
      </c>
      <c r="I1787" s="10">
        <v>45637</v>
      </c>
    </row>
    <row r="1788" spans="1:9" x14ac:dyDescent="0.15">
      <c r="A1788" s="9">
        <v>1787</v>
      </c>
      <c r="B1788" s="9" t="s">
        <v>9</v>
      </c>
      <c r="C1788" s="9">
        <v>1927</v>
      </c>
      <c r="D1788" s="10">
        <v>45729</v>
      </c>
      <c r="E1788" s="11" t="str">
        <f>+HYPERLINK("http://trademark.i-assist.jp/data/china/image_1927th/82488782.pdf","82488782")</f>
        <v>82488782</v>
      </c>
      <c r="F1788" s="9" t="s">
        <v>5004</v>
      </c>
      <c r="G1788" s="9" t="s">
        <v>5002</v>
      </c>
      <c r="H1788" s="9" t="s">
        <v>5005</v>
      </c>
      <c r="I1788" s="10">
        <v>45637</v>
      </c>
    </row>
    <row r="1789" spans="1:9" x14ac:dyDescent="0.15">
      <c r="A1789" s="9">
        <v>1788</v>
      </c>
      <c r="B1789" s="9" t="s">
        <v>9</v>
      </c>
      <c r="C1789" s="9">
        <v>1927</v>
      </c>
      <c r="D1789" s="10">
        <v>45729</v>
      </c>
      <c r="E1789" s="11" t="str">
        <f>+HYPERLINK("http://trademark.i-assist.jp/data/china/image_1927th/82488970.pdf","82488970")</f>
        <v>82488970</v>
      </c>
      <c r="F1789" s="9" t="s">
        <v>5006</v>
      </c>
      <c r="G1789" s="9" t="s">
        <v>221</v>
      </c>
      <c r="H1789" s="9" t="s">
        <v>5007</v>
      </c>
      <c r="I1789" s="10">
        <v>45637</v>
      </c>
    </row>
    <row r="1790" spans="1:9" x14ac:dyDescent="0.15">
      <c r="A1790" s="9">
        <v>1789</v>
      </c>
      <c r="B1790" s="9" t="s">
        <v>9</v>
      </c>
      <c r="C1790" s="9">
        <v>1927</v>
      </c>
      <c r="D1790" s="10">
        <v>45729</v>
      </c>
      <c r="E1790" s="11" t="str">
        <f>+HYPERLINK("http://trademark.i-assist.jp/data/china/image_1927th/82488978.pdf","82488978")</f>
        <v>82488978</v>
      </c>
      <c r="F1790" s="9" t="s">
        <v>5008</v>
      </c>
      <c r="G1790" s="9" t="s">
        <v>5009</v>
      </c>
      <c r="H1790" s="9" t="s">
        <v>5010</v>
      </c>
      <c r="I1790" s="10">
        <v>45637</v>
      </c>
    </row>
    <row r="1791" spans="1:9" x14ac:dyDescent="0.15">
      <c r="A1791" s="9">
        <v>1790</v>
      </c>
      <c r="B1791" s="9" t="s">
        <v>9</v>
      </c>
      <c r="C1791" s="9">
        <v>1927</v>
      </c>
      <c r="D1791" s="10">
        <v>45729</v>
      </c>
      <c r="E1791" s="11" t="str">
        <f>+HYPERLINK("http://trademark.i-assist.jp/data/china/image_1927th/82489089.pdf","82489089")</f>
        <v>82489089</v>
      </c>
      <c r="F1791" s="9" t="s">
        <v>5011</v>
      </c>
      <c r="G1791" s="9" t="s">
        <v>5012</v>
      </c>
      <c r="H1791" s="9" t="s">
        <v>5013</v>
      </c>
      <c r="I1791" s="10">
        <v>45637</v>
      </c>
    </row>
    <row r="1792" spans="1:9" x14ac:dyDescent="0.15">
      <c r="A1792" s="9">
        <v>1791</v>
      </c>
      <c r="B1792" s="9" t="s">
        <v>9</v>
      </c>
      <c r="C1792" s="9">
        <v>1927</v>
      </c>
      <c r="D1792" s="10">
        <v>45729</v>
      </c>
      <c r="E1792" s="11" t="str">
        <f>+HYPERLINK("http://trademark.i-assist.jp/data/china/image_1927th/82489421.pdf","82489421")</f>
        <v>82489421</v>
      </c>
      <c r="F1792" s="9" t="s">
        <v>5014</v>
      </c>
      <c r="G1792" s="9" t="s">
        <v>4867</v>
      </c>
      <c r="H1792" s="9" t="s">
        <v>5015</v>
      </c>
      <c r="I1792" s="10">
        <v>45637</v>
      </c>
    </row>
    <row r="1793" spans="1:9" x14ac:dyDescent="0.15">
      <c r="A1793" s="9">
        <v>1792</v>
      </c>
      <c r="B1793" s="9" t="s">
        <v>9</v>
      </c>
      <c r="C1793" s="9">
        <v>1927</v>
      </c>
      <c r="D1793" s="10">
        <v>45729</v>
      </c>
      <c r="E1793" s="11" t="str">
        <f>+HYPERLINK("http://trademark.i-assist.jp/data/china/image_1927th/82489470.pdf","82489470")</f>
        <v>82489470</v>
      </c>
      <c r="F1793" s="12" t="s">
        <v>5016</v>
      </c>
      <c r="G1793" s="9" t="s">
        <v>5017</v>
      </c>
      <c r="H1793" s="9" t="s">
        <v>5018</v>
      </c>
      <c r="I1793" s="10">
        <v>45637</v>
      </c>
    </row>
    <row r="1794" spans="1:9" x14ac:dyDescent="0.15">
      <c r="A1794" s="9">
        <v>1793</v>
      </c>
      <c r="B1794" s="9" t="s">
        <v>9</v>
      </c>
      <c r="C1794" s="9">
        <v>1927</v>
      </c>
      <c r="D1794" s="10">
        <v>45729</v>
      </c>
      <c r="E1794" s="11" t="str">
        <f>+HYPERLINK("http://trademark.i-assist.jp/data/china/image_1927th/82489547.pdf","82489547")</f>
        <v>82489547</v>
      </c>
      <c r="F1794" s="9" t="s">
        <v>5019</v>
      </c>
      <c r="G1794" s="9" t="s">
        <v>5020</v>
      </c>
      <c r="H1794" s="9" t="s">
        <v>5021</v>
      </c>
      <c r="I1794" s="10">
        <v>45637</v>
      </c>
    </row>
    <row r="1795" spans="1:9" x14ac:dyDescent="0.15">
      <c r="A1795" s="9">
        <v>1794</v>
      </c>
      <c r="B1795" s="9" t="s">
        <v>9</v>
      </c>
      <c r="C1795" s="9">
        <v>1927</v>
      </c>
      <c r="D1795" s="10">
        <v>45729</v>
      </c>
      <c r="E1795" s="11" t="str">
        <f>+HYPERLINK("http://trademark.i-assist.jp/data/china/image_1927th/82489964.pdf","82489964")</f>
        <v>82489964</v>
      </c>
      <c r="F1795" s="9" t="s">
        <v>5022</v>
      </c>
      <c r="G1795" s="9" t="s">
        <v>4104</v>
      </c>
      <c r="H1795" s="9" t="s">
        <v>5023</v>
      </c>
      <c r="I1795" s="10">
        <v>45637</v>
      </c>
    </row>
    <row r="1796" spans="1:9" x14ac:dyDescent="0.15">
      <c r="A1796" s="9">
        <v>1795</v>
      </c>
      <c r="B1796" s="9" t="s">
        <v>9</v>
      </c>
      <c r="C1796" s="9">
        <v>1927</v>
      </c>
      <c r="D1796" s="10">
        <v>45729</v>
      </c>
      <c r="E1796" s="11" t="str">
        <f>+HYPERLINK("http://trademark.i-assist.jp/data/china/image_1927th/82490021.pdf","82490021")</f>
        <v>82490021</v>
      </c>
      <c r="F1796" s="9" t="s">
        <v>5024</v>
      </c>
      <c r="G1796" s="9" t="s">
        <v>5025</v>
      </c>
      <c r="H1796" s="9" t="s">
        <v>5026</v>
      </c>
      <c r="I1796" s="10">
        <v>45637</v>
      </c>
    </row>
    <row r="1797" spans="1:9" x14ac:dyDescent="0.15">
      <c r="A1797" s="9">
        <v>1796</v>
      </c>
      <c r="B1797" s="9" t="s">
        <v>9</v>
      </c>
      <c r="C1797" s="9">
        <v>1927</v>
      </c>
      <c r="D1797" s="10">
        <v>45729</v>
      </c>
      <c r="E1797" s="11" t="str">
        <f>+HYPERLINK("http://trademark.i-assist.jp/data/china/image_1927th/82490213.pdf","82490213")</f>
        <v>82490213</v>
      </c>
      <c r="F1797" s="9" t="s">
        <v>5027</v>
      </c>
      <c r="G1797" s="12" t="s">
        <v>5028</v>
      </c>
      <c r="H1797" s="12" t="s">
        <v>5029</v>
      </c>
      <c r="I1797" s="10">
        <v>45637</v>
      </c>
    </row>
    <row r="1798" spans="1:9" x14ac:dyDescent="0.15">
      <c r="A1798" s="9">
        <v>1797</v>
      </c>
      <c r="B1798" s="9" t="s">
        <v>9</v>
      </c>
      <c r="C1798" s="9">
        <v>1927</v>
      </c>
      <c r="D1798" s="10">
        <v>45729</v>
      </c>
      <c r="E1798" s="11" t="str">
        <f>+HYPERLINK("http://trademark.i-assist.jp/data/china/image_1927th/82490233.pdf","82490233")</f>
        <v>82490233</v>
      </c>
      <c r="F1798" s="9" t="s">
        <v>5030</v>
      </c>
      <c r="G1798" s="12" t="s">
        <v>5028</v>
      </c>
      <c r="H1798" s="9" t="s">
        <v>5031</v>
      </c>
      <c r="I1798" s="10">
        <v>45637</v>
      </c>
    </row>
    <row r="1799" spans="1:9" x14ac:dyDescent="0.15">
      <c r="A1799" s="9">
        <v>1798</v>
      </c>
      <c r="B1799" s="9" t="s">
        <v>9</v>
      </c>
      <c r="C1799" s="9">
        <v>1927</v>
      </c>
      <c r="D1799" s="10">
        <v>45729</v>
      </c>
      <c r="E1799" s="11" t="str">
        <f>+HYPERLINK("http://trademark.i-assist.jp/data/china/image_1927th/82490502.pdf","82490502")</f>
        <v>82490502</v>
      </c>
      <c r="F1799" s="9" t="s">
        <v>5032</v>
      </c>
      <c r="G1799" s="9" t="s">
        <v>5033</v>
      </c>
      <c r="H1799" s="9" t="s">
        <v>5034</v>
      </c>
      <c r="I1799" s="10">
        <v>45637</v>
      </c>
    </row>
    <row r="1800" spans="1:9" x14ac:dyDescent="0.15">
      <c r="A1800" s="9">
        <v>1799</v>
      </c>
      <c r="B1800" s="9" t="s">
        <v>9</v>
      </c>
      <c r="C1800" s="9">
        <v>1927</v>
      </c>
      <c r="D1800" s="10">
        <v>45729</v>
      </c>
      <c r="E1800" s="11" t="str">
        <f>+HYPERLINK("http://trademark.i-assist.jp/data/china/image_1927th/82490799.pdf","82490799")</f>
        <v>82490799</v>
      </c>
      <c r="F1800" s="9" t="s">
        <v>5035</v>
      </c>
      <c r="G1800" s="9" t="s">
        <v>5036</v>
      </c>
      <c r="H1800" s="9" t="s">
        <v>5037</v>
      </c>
      <c r="I1800" s="10">
        <v>45637</v>
      </c>
    </row>
    <row r="1801" spans="1:9" x14ac:dyDescent="0.15">
      <c r="A1801" s="9">
        <v>1800</v>
      </c>
      <c r="B1801" s="9" t="s">
        <v>9</v>
      </c>
      <c r="C1801" s="9">
        <v>1927</v>
      </c>
      <c r="D1801" s="10">
        <v>45729</v>
      </c>
      <c r="E1801" s="11" t="str">
        <f>+HYPERLINK("http://trademark.i-assist.jp/data/china/image_1927th/82491471.pdf","82491471")</f>
        <v>82491471</v>
      </c>
      <c r="F1801" s="9" t="s">
        <v>5038</v>
      </c>
      <c r="G1801" s="9" t="s">
        <v>5039</v>
      </c>
      <c r="H1801" s="9" t="s">
        <v>5040</v>
      </c>
      <c r="I1801" s="10">
        <v>45637</v>
      </c>
    </row>
    <row r="1802" spans="1:9" x14ac:dyDescent="0.15">
      <c r="A1802" s="9">
        <v>1801</v>
      </c>
      <c r="B1802" s="9" t="s">
        <v>9</v>
      </c>
      <c r="C1802" s="9">
        <v>1927</v>
      </c>
      <c r="D1802" s="10">
        <v>45729</v>
      </c>
      <c r="E1802" s="11" t="str">
        <f>+HYPERLINK("http://trademark.i-assist.jp/data/china/image_1927th/82491792.pdf","82491792")</f>
        <v>82491792</v>
      </c>
      <c r="F1802" s="9" t="s">
        <v>5041</v>
      </c>
      <c r="G1802" s="12" t="s">
        <v>5028</v>
      </c>
      <c r="H1802" s="12" t="s">
        <v>5042</v>
      </c>
      <c r="I1802" s="10">
        <v>45637</v>
      </c>
    </row>
    <row r="1803" spans="1:9" x14ac:dyDescent="0.15">
      <c r="A1803" s="9">
        <v>1802</v>
      </c>
      <c r="B1803" s="9" t="s">
        <v>9</v>
      </c>
      <c r="C1803" s="9">
        <v>1927</v>
      </c>
      <c r="D1803" s="10">
        <v>45729</v>
      </c>
      <c r="E1803" s="11" t="str">
        <f>+HYPERLINK("http://trademark.i-assist.jp/data/china/image_1927th/82492032.pdf","82492032")</f>
        <v>82492032</v>
      </c>
      <c r="F1803" s="12" t="s">
        <v>5043</v>
      </c>
      <c r="G1803" s="9" t="s">
        <v>5044</v>
      </c>
      <c r="H1803" s="9" t="s">
        <v>5045</v>
      </c>
      <c r="I1803" s="10">
        <v>45637</v>
      </c>
    </row>
    <row r="1804" spans="1:9" x14ac:dyDescent="0.15">
      <c r="A1804" s="9">
        <v>1803</v>
      </c>
      <c r="B1804" s="9" t="s">
        <v>9</v>
      </c>
      <c r="C1804" s="9">
        <v>1927</v>
      </c>
      <c r="D1804" s="10">
        <v>45729</v>
      </c>
      <c r="E1804" s="11" t="str">
        <f>+HYPERLINK("http://trademark.i-assist.jp/data/china/image_1927th/82492525.pdf","82492525")</f>
        <v>82492525</v>
      </c>
      <c r="F1804" s="9" t="s">
        <v>5046</v>
      </c>
      <c r="G1804" s="9" t="s">
        <v>4867</v>
      </c>
      <c r="H1804" s="9" t="s">
        <v>5047</v>
      </c>
      <c r="I1804" s="10">
        <v>45637</v>
      </c>
    </row>
    <row r="1805" spans="1:9" x14ac:dyDescent="0.15">
      <c r="A1805" s="9">
        <v>1804</v>
      </c>
      <c r="B1805" s="9" t="s">
        <v>9</v>
      </c>
      <c r="C1805" s="9">
        <v>1927</v>
      </c>
      <c r="D1805" s="10">
        <v>45729</v>
      </c>
      <c r="E1805" s="11" t="str">
        <f>+HYPERLINK("http://trademark.i-assist.jp/data/china/image_1927th/82492612.pdf","82492612")</f>
        <v>82492612</v>
      </c>
      <c r="F1805" s="12" t="s">
        <v>5048</v>
      </c>
      <c r="G1805" s="9" t="s">
        <v>5049</v>
      </c>
      <c r="H1805" s="12" t="s">
        <v>5050</v>
      </c>
      <c r="I1805" s="10">
        <v>45637</v>
      </c>
    </row>
    <row r="1806" spans="1:9" x14ac:dyDescent="0.15">
      <c r="A1806" s="9">
        <v>1805</v>
      </c>
      <c r="B1806" s="9" t="s">
        <v>9</v>
      </c>
      <c r="C1806" s="9">
        <v>1927</v>
      </c>
      <c r="D1806" s="10">
        <v>45729</v>
      </c>
      <c r="E1806" s="11" t="str">
        <f>+HYPERLINK("http://trademark.i-assist.jp/data/china/image_1927th/82492960.pdf","82492960")</f>
        <v>82492960</v>
      </c>
      <c r="F1806" s="9" t="s">
        <v>5051</v>
      </c>
      <c r="G1806" s="9" t="s">
        <v>40</v>
      </c>
      <c r="H1806" s="9" t="s">
        <v>5052</v>
      </c>
      <c r="I1806" s="10">
        <v>45637</v>
      </c>
    </row>
    <row r="1807" spans="1:9" x14ac:dyDescent="0.15">
      <c r="A1807" s="9">
        <v>1806</v>
      </c>
      <c r="B1807" s="9" t="s">
        <v>9</v>
      </c>
      <c r="C1807" s="9">
        <v>1927</v>
      </c>
      <c r="D1807" s="10">
        <v>45729</v>
      </c>
      <c r="E1807" s="11" t="str">
        <f>+HYPERLINK("http://trademark.i-assist.jp/data/china/image_1927th/82493024.pdf","82493024")</f>
        <v>82493024</v>
      </c>
      <c r="F1807" s="12" t="s">
        <v>5053</v>
      </c>
      <c r="G1807" s="9" t="s">
        <v>4864</v>
      </c>
      <c r="H1807" s="9" t="s">
        <v>5054</v>
      </c>
      <c r="I1807" s="10">
        <v>45637</v>
      </c>
    </row>
    <row r="1808" spans="1:9" x14ac:dyDescent="0.15">
      <c r="A1808" s="9">
        <v>1807</v>
      </c>
      <c r="B1808" s="9" t="s">
        <v>9</v>
      </c>
      <c r="C1808" s="9">
        <v>1927</v>
      </c>
      <c r="D1808" s="10">
        <v>45729</v>
      </c>
      <c r="E1808" s="11" t="str">
        <f>+HYPERLINK("http://trademark.i-assist.jp/data/china/image_1927th/82493078.pdf","82493078")</f>
        <v>82493078</v>
      </c>
      <c r="F1808" s="9" t="s">
        <v>5055</v>
      </c>
      <c r="G1808" s="9" t="s">
        <v>4864</v>
      </c>
      <c r="H1808" s="9" t="s">
        <v>5056</v>
      </c>
      <c r="I1808" s="10">
        <v>45637</v>
      </c>
    </row>
    <row r="1809" spans="1:9" x14ac:dyDescent="0.15">
      <c r="A1809" s="9">
        <v>1808</v>
      </c>
      <c r="B1809" s="9" t="s">
        <v>9</v>
      </c>
      <c r="C1809" s="9">
        <v>1927</v>
      </c>
      <c r="D1809" s="10">
        <v>45729</v>
      </c>
      <c r="E1809" s="11" t="str">
        <f>+HYPERLINK("http://trademark.i-assist.jp/data/china/image_1927th/82493118.pdf","82493118")</f>
        <v>82493118</v>
      </c>
      <c r="F1809" s="12" t="s">
        <v>5057</v>
      </c>
      <c r="G1809" s="9" t="s">
        <v>221</v>
      </c>
      <c r="H1809" s="9" t="s">
        <v>5058</v>
      </c>
      <c r="I1809" s="10">
        <v>45637</v>
      </c>
    </row>
    <row r="1810" spans="1:9" x14ac:dyDescent="0.15">
      <c r="A1810" s="9">
        <v>1809</v>
      </c>
      <c r="B1810" s="9" t="s">
        <v>9</v>
      </c>
      <c r="C1810" s="9">
        <v>1927</v>
      </c>
      <c r="D1810" s="10">
        <v>45729</v>
      </c>
      <c r="E1810" s="11" t="str">
        <f>+HYPERLINK("http://trademark.i-assist.jp/data/china/image_1927th/82493148.pdf","82493148")</f>
        <v>82493148</v>
      </c>
      <c r="F1810" s="9" t="s">
        <v>4948</v>
      </c>
      <c r="G1810" s="9" t="s">
        <v>4949</v>
      </c>
      <c r="H1810" s="9" t="s">
        <v>5059</v>
      </c>
      <c r="I1810" s="10">
        <v>45637</v>
      </c>
    </row>
    <row r="1811" spans="1:9" x14ac:dyDescent="0.15">
      <c r="A1811" s="9">
        <v>1810</v>
      </c>
      <c r="B1811" s="9" t="s">
        <v>9</v>
      </c>
      <c r="C1811" s="9">
        <v>1927</v>
      </c>
      <c r="D1811" s="10">
        <v>45729</v>
      </c>
      <c r="E1811" s="11" t="str">
        <f>+HYPERLINK("http://trademark.i-assist.jp/data/china/image_1927th/82493568.pdf","82493568")</f>
        <v>82493568</v>
      </c>
      <c r="F1811" s="12" t="s">
        <v>5060</v>
      </c>
      <c r="G1811" s="12" t="s">
        <v>5061</v>
      </c>
      <c r="H1811" s="9" t="s">
        <v>5062</v>
      </c>
      <c r="I1811" s="10">
        <v>45637</v>
      </c>
    </row>
    <row r="1812" spans="1:9" x14ac:dyDescent="0.15">
      <c r="A1812" s="9">
        <v>1811</v>
      </c>
      <c r="B1812" s="9" t="s">
        <v>9</v>
      </c>
      <c r="C1812" s="9">
        <v>1927</v>
      </c>
      <c r="D1812" s="10">
        <v>45729</v>
      </c>
      <c r="E1812" s="11" t="str">
        <f>+HYPERLINK("http://trademark.i-assist.jp/data/china/image_1927th/82493617.pdf","82493617")</f>
        <v>82493617</v>
      </c>
      <c r="F1812" s="12" t="s">
        <v>5063</v>
      </c>
      <c r="G1812" s="12" t="s">
        <v>5064</v>
      </c>
      <c r="H1812" s="9" t="s">
        <v>5065</v>
      </c>
      <c r="I1812" s="10">
        <v>45637</v>
      </c>
    </row>
    <row r="1813" spans="1:9" x14ac:dyDescent="0.15">
      <c r="A1813" s="9">
        <v>1812</v>
      </c>
      <c r="B1813" s="9" t="s">
        <v>9</v>
      </c>
      <c r="C1813" s="9">
        <v>1927</v>
      </c>
      <c r="D1813" s="10">
        <v>45729</v>
      </c>
      <c r="E1813" s="11" t="str">
        <f>+HYPERLINK("http://trademark.i-assist.jp/data/china/image_1927th/82494911.pdf","82494911")</f>
        <v>82494911</v>
      </c>
      <c r="F1813" s="9" t="s">
        <v>5066</v>
      </c>
      <c r="G1813" s="12" t="s">
        <v>5028</v>
      </c>
      <c r="H1813" s="12" t="s">
        <v>5067</v>
      </c>
      <c r="I1813" s="10">
        <v>45637</v>
      </c>
    </row>
    <row r="1814" spans="1:9" x14ac:dyDescent="0.15">
      <c r="A1814" s="9">
        <v>1813</v>
      </c>
      <c r="B1814" s="9" t="s">
        <v>9</v>
      </c>
      <c r="C1814" s="9">
        <v>1927</v>
      </c>
      <c r="D1814" s="10">
        <v>45729</v>
      </c>
      <c r="E1814" s="11" t="str">
        <f>+HYPERLINK("http://trademark.i-assist.jp/data/china/image_1927th/82494929.pdf","82494929")</f>
        <v>82494929</v>
      </c>
      <c r="F1814" s="9" t="s">
        <v>5068</v>
      </c>
      <c r="G1814" s="12" t="s">
        <v>5028</v>
      </c>
      <c r="H1814" s="9" t="s">
        <v>5069</v>
      </c>
      <c r="I1814" s="10">
        <v>45637</v>
      </c>
    </row>
    <row r="1815" spans="1:9" x14ac:dyDescent="0.15">
      <c r="A1815" s="9">
        <v>1814</v>
      </c>
      <c r="B1815" s="9" t="s">
        <v>9</v>
      </c>
      <c r="C1815" s="9">
        <v>1927</v>
      </c>
      <c r="D1815" s="10">
        <v>45729</v>
      </c>
      <c r="E1815" s="11" t="str">
        <f>+HYPERLINK("http://trademark.i-assist.jp/data/china/image_1927th/82495243.pdf","82495243")</f>
        <v>82495243</v>
      </c>
      <c r="F1815" s="12" t="s">
        <v>16</v>
      </c>
      <c r="G1815" s="9" t="s">
        <v>5070</v>
      </c>
      <c r="H1815" s="9" t="s">
        <v>5071</v>
      </c>
      <c r="I1815" s="10">
        <v>45637</v>
      </c>
    </row>
    <row r="1816" spans="1:9" x14ac:dyDescent="0.15">
      <c r="A1816" s="9">
        <v>1815</v>
      </c>
      <c r="B1816" s="9" t="s">
        <v>9</v>
      </c>
      <c r="C1816" s="9">
        <v>1927</v>
      </c>
      <c r="D1816" s="10">
        <v>45729</v>
      </c>
      <c r="E1816" s="11" t="str">
        <f>+HYPERLINK("http://trademark.i-assist.jp/data/china/image_1927th/82495373.pdf","82495373")</f>
        <v>82495373</v>
      </c>
      <c r="F1816" s="9" t="s">
        <v>5072</v>
      </c>
      <c r="G1816" s="9" t="s">
        <v>5073</v>
      </c>
      <c r="H1816" s="9" t="s">
        <v>5074</v>
      </c>
      <c r="I1816" s="10">
        <v>45637</v>
      </c>
    </row>
    <row r="1817" spans="1:9" x14ac:dyDescent="0.15">
      <c r="A1817" s="9">
        <v>1816</v>
      </c>
      <c r="B1817" s="9" t="s">
        <v>9</v>
      </c>
      <c r="C1817" s="9">
        <v>1927</v>
      </c>
      <c r="D1817" s="10">
        <v>45729</v>
      </c>
      <c r="E1817" s="11" t="str">
        <f>+HYPERLINK("http://trademark.i-assist.jp/data/china/image_1927th/82495899.pdf","82495899")</f>
        <v>82495899</v>
      </c>
      <c r="F1817" s="9" t="s">
        <v>5075</v>
      </c>
      <c r="G1817" s="9" t="s">
        <v>4864</v>
      </c>
      <c r="H1817" s="9" t="s">
        <v>5076</v>
      </c>
      <c r="I1817" s="10">
        <v>45637</v>
      </c>
    </row>
    <row r="1818" spans="1:9" x14ac:dyDescent="0.15">
      <c r="A1818" s="9">
        <v>1817</v>
      </c>
      <c r="B1818" s="9" t="s">
        <v>9</v>
      </c>
      <c r="C1818" s="9">
        <v>1927</v>
      </c>
      <c r="D1818" s="10">
        <v>45729</v>
      </c>
      <c r="E1818" s="11" t="str">
        <f>+HYPERLINK("http://trademark.i-assist.jp/data/china/image_1927th/82496529.pdf","82496529")</f>
        <v>82496529</v>
      </c>
      <c r="F1818" s="9" t="s">
        <v>5077</v>
      </c>
      <c r="G1818" s="9" t="s">
        <v>5078</v>
      </c>
      <c r="H1818" s="9" t="s">
        <v>5079</v>
      </c>
      <c r="I1818" s="10">
        <v>45637</v>
      </c>
    </row>
    <row r="1819" spans="1:9" x14ac:dyDescent="0.15">
      <c r="A1819" s="9">
        <v>1818</v>
      </c>
      <c r="B1819" s="9" t="s">
        <v>9</v>
      </c>
      <c r="C1819" s="9">
        <v>1927</v>
      </c>
      <c r="D1819" s="10">
        <v>45729</v>
      </c>
      <c r="E1819" s="11" t="str">
        <f>+HYPERLINK("http://trademark.i-assist.jp/data/china/image_1927th/82496588.pdf","82496588")</f>
        <v>82496588</v>
      </c>
      <c r="F1819" s="9" t="s">
        <v>5080</v>
      </c>
      <c r="G1819" s="9" t="s">
        <v>4104</v>
      </c>
      <c r="H1819" s="9" t="s">
        <v>5081</v>
      </c>
      <c r="I1819" s="10">
        <v>45637</v>
      </c>
    </row>
    <row r="1820" spans="1:9" x14ac:dyDescent="0.15">
      <c r="A1820" s="9">
        <v>1819</v>
      </c>
      <c r="B1820" s="9" t="s">
        <v>9</v>
      </c>
      <c r="C1820" s="9">
        <v>1927</v>
      </c>
      <c r="D1820" s="10">
        <v>45729</v>
      </c>
      <c r="E1820" s="11" t="str">
        <f>+HYPERLINK("http://trademark.i-assist.jp/data/china/image_1927th/82496806.pdf","82496806")</f>
        <v>82496806</v>
      </c>
      <c r="F1820" s="12" t="s">
        <v>5082</v>
      </c>
      <c r="G1820" s="9" t="s">
        <v>184</v>
      </c>
      <c r="H1820" s="9" t="s">
        <v>5083</v>
      </c>
      <c r="I1820" s="10">
        <v>45637</v>
      </c>
    </row>
    <row r="1821" spans="1:9" x14ac:dyDescent="0.15">
      <c r="A1821" s="9">
        <v>1820</v>
      </c>
      <c r="B1821" s="9" t="s">
        <v>9</v>
      </c>
      <c r="C1821" s="9">
        <v>1927</v>
      </c>
      <c r="D1821" s="10">
        <v>45729</v>
      </c>
      <c r="E1821" s="11" t="str">
        <f>+HYPERLINK("http://trademark.i-assist.jp/data/china/image_1927th/82496858.pdf","82496858")</f>
        <v>82496858</v>
      </c>
      <c r="F1821" s="9" t="s">
        <v>5084</v>
      </c>
      <c r="G1821" s="9" t="s">
        <v>5085</v>
      </c>
      <c r="H1821" s="9" t="s">
        <v>5086</v>
      </c>
      <c r="I1821" s="10">
        <v>45637</v>
      </c>
    </row>
    <row r="1822" spans="1:9" x14ac:dyDescent="0.15">
      <c r="A1822" s="9">
        <v>1821</v>
      </c>
      <c r="B1822" s="9" t="s">
        <v>9</v>
      </c>
      <c r="C1822" s="9">
        <v>1927</v>
      </c>
      <c r="D1822" s="10">
        <v>45729</v>
      </c>
      <c r="E1822" s="11" t="str">
        <f>+HYPERLINK("http://trademark.i-assist.jp/data/china/image_1927th/82496859.pdf","82496859")</f>
        <v>82496859</v>
      </c>
      <c r="F1822" s="9" t="s">
        <v>5087</v>
      </c>
      <c r="G1822" s="9" t="s">
        <v>5088</v>
      </c>
      <c r="H1822" s="9" t="s">
        <v>5089</v>
      </c>
      <c r="I1822" s="10">
        <v>45637</v>
      </c>
    </row>
    <row r="1823" spans="1:9" x14ac:dyDescent="0.15">
      <c r="A1823" s="9">
        <v>1822</v>
      </c>
      <c r="B1823" s="9" t="s">
        <v>9</v>
      </c>
      <c r="C1823" s="9">
        <v>1927</v>
      </c>
      <c r="D1823" s="10">
        <v>45729</v>
      </c>
      <c r="E1823" s="11" t="str">
        <f>+HYPERLINK("http://trademark.i-assist.jp/data/china/image_1927th/82496989.pdf","82496989")</f>
        <v>82496989</v>
      </c>
      <c r="F1823" s="9" t="s">
        <v>5090</v>
      </c>
      <c r="G1823" s="9" t="s">
        <v>5091</v>
      </c>
      <c r="H1823" s="9" t="s">
        <v>5092</v>
      </c>
      <c r="I1823" s="10">
        <v>45637</v>
      </c>
    </row>
    <row r="1824" spans="1:9" x14ac:dyDescent="0.15">
      <c r="A1824" s="9">
        <v>1823</v>
      </c>
      <c r="B1824" s="9" t="s">
        <v>9</v>
      </c>
      <c r="C1824" s="9">
        <v>1927</v>
      </c>
      <c r="D1824" s="10">
        <v>45729</v>
      </c>
      <c r="E1824" s="11" t="str">
        <f>+HYPERLINK("http://trademark.i-assist.jp/data/china/image_1927th/82497174.pdf","82497174")</f>
        <v>82497174</v>
      </c>
      <c r="F1824" s="12" t="s">
        <v>5093</v>
      </c>
      <c r="G1824" s="9" t="s">
        <v>5094</v>
      </c>
      <c r="H1824" s="9" t="s">
        <v>5095</v>
      </c>
      <c r="I1824" s="10">
        <v>45637</v>
      </c>
    </row>
    <row r="1825" spans="1:9" x14ac:dyDescent="0.15">
      <c r="A1825" s="9">
        <v>1824</v>
      </c>
      <c r="B1825" s="9" t="s">
        <v>9</v>
      </c>
      <c r="C1825" s="9">
        <v>1927</v>
      </c>
      <c r="D1825" s="10">
        <v>45729</v>
      </c>
      <c r="E1825" s="11" t="str">
        <f>+HYPERLINK("http://trademark.i-assist.jp/data/china/image_1927th/82497900.pdf","82497900")</f>
        <v>82497900</v>
      </c>
      <c r="F1825" s="9" t="s">
        <v>5096</v>
      </c>
      <c r="G1825" s="9" t="s">
        <v>5097</v>
      </c>
      <c r="H1825" s="9" t="s">
        <v>5098</v>
      </c>
      <c r="I1825" s="10">
        <v>45637</v>
      </c>
    </row>
    <row r="1826" spans="1:9" x14ac:dyDescent="0.15">
      <c r="A1826" s="9">
        <v>1825</v>
      </c>
      <c r="B1826" s="9" t="s">
        <v>9</v>
      </c>
      <c r="C1826" s="9">
        <v>1927</v>
      </c>
      <c r="D1826" s="10">
        <v>45729</v>
      </c>
      <c r="E1826" s="11" t="str">
        <f>+HYPERLINK("http://trademark.i-assist.jp/data/china/image_1927th/82498246.pdf","82498246")</f>
        <v>82498246</v>
      </c>
      <c r="F1826" s="12" t="s">
        <v>5099</v>
      </c>
      <c r="G1826" s="9" t="s">
        <v>5100</v>
      </c>
      <c r="H1826" s="9" t="s">
        <v>5101</v>
      </c>
      <c r="I1826" s="10">
        <v>45637</v>
      </c>
    </row>
    <row r="1827" spans="1:9" x14ac:dyDescent="0.15">
      <c r="A1827" s="9">
        <v>1826</v>
      </c>
      <c r="B1827" s="9" t="s">
        <v>9</v>
      </c>
      <c r="C1827" s="9">
        <v>1927</v>
      </c>
      <c r="D1827" s="10">
        <v>45729</v>
      </c>
      <c r="E1827" s="11" t="str">
        <f>+HYPERLINK("http://trademark.i-assist.jp/data/china/image_1927th/82498465.pdf","82498465")</f>
        <v>82498465</v>
      </c>
      <c r="F1827" s="9" t="s">
        <v>5102</v>
      </c>
      <c r="G1827" s="12" t="s">
        <v>5103</v>
      </c>
      <c r="H1827" s="9" t="s">
        <v>5104</v>
      </c>
      <c r="I1827" s="10">
        <v>45637</v>
      </c>
    </row>
    <row r="1828" spans="1:9" x14ac:dyDescent="0.15">
      <c r="A1828" s="9">
        <v>1827</v>
      </c>
      <c r="B1828" s="9" t="s">
        <v>9</v>
      </c>
      <c r="C1828" s="9">
        <v>1927</v>
      </c>
      <c r="D1828" s="10">
        <v>45729</v>
      </c>
      <c r="E1828" s="11" t="str">
        <f>+HYPERLINK("http://trademark.i-assist.jp/data/china/image_1927th/82498777.pdf","82498777")</f>
        <v>82498777</v>
      </c>
      <c r="F1828" s="9" t="s">
        <v>5105</v>
      </c>
      <c r="G1828" s="12" t="s">
        <v>5106</v>
      </c>
      <c r="H1828" s="9" t="s">
        <v>5107</v>
      </c>
      <c r="I1828" s="10">
        <v>45637</v>
      </c>
    </row>
    <row r="1829" spans="1:9" x14ac:dyDescent="0.15">
      <c r="A1829" s="9">
        <v>1828</v>
      </c>
      <c r="B1829" s="9" t="s">
        <v>9</v>
      </c>
      <c r="C1829" s="9">
        <v>1927</v>
      </c>
      <c r="D1829" s="10">
        <v>45729</v>
      </c>
      <c r="E1829" s="11" t="str">
        <f>+HYPERLINK("http://trademark.i-assist.jp/data/china/image_1927th/82498800.pdf","82498800")</f>
        <v>82498800</v>
      </c>
      <c r="F1829" s="12" t="s">
        <v>5108</v>
      </c>
      <c r="G1829" s="12" t="s">
        <v>5109</v>
      </c>
      <c r="H1829" s="9" t="s">
        <v>5110</v>
      </c>
      <c r="I1829" s="10">
        <v>45637</v>
      </c>
    </row>
    <row r="1830" spans="1:9" x14ac:dyDescent="0.15">
      <c r="A1830" s="9">
        <v>1829</v>
      </c>
      <c r="B1830" s="9" t="s">
        <v>9</v>
      </c>
      <c r="C1830" s="9">
        <v>1927</v>
      </c>
      <c r="D1830" s="10">
        <v>45729</v>
      </c>
      <c r="E1830" s="11" t="str">
        <f>+HYPERLINK("http://trademark.i-assist.jp/data/china/image_1927th/82499138.pdf","82499138")</f>
        <v>82499138</v>
      </c>
      <c r="F1830" s="9" t="s">
        <v>5111</v>
      </c>
      <c r="G1830" s="9" t="s">
        <v>5112</v>
      </c>
      <c r="H1830" s="9" t="s">
        <v>5113</v>
      </c>
      <c r="I1830" s="10">
        <v>45637</v>
      </c>
    </row>
    <row r="1831" spans="1:9" x14ac:dyDescent="0.15">
      <c r="A1831" s="9">
        <v>1830</v>
      </c>
      <c r="B1831" s="9" t="s">
        <v>9</v>
      </c>
      <c r="C1831" s="9">
        <v>1927</v>
      </c>
      <c r="D1831" s="10">
        <v>45729</v>
      </c>
      <c r="E1831" s="11" t="str">
        <f>+HYPERLINK("http://trademark.i-assist.jp/data/china/image_1927th/82499318.pdf","82499318")</f>
        <v>82499318</v>
      </c>
      <c r="F1831" s="9" t="s">
        <v>5114</v>
      </c>
      <c r="G1831" s="9" t="s">
        <v>5115</v>
      </c>
      <c r="H1831" s="9" t="s">
        <v>5116</v>
      </c>
      <c r="I1831" s="10">
        <v>45637</v>
      </c>
    </row>
    <row r="1832" spans="1:9" x14ac:dyDescent="0.15">
      <c r="A1832" s="9">
        <v>1831</v>
      </c>
      <c r="B1832" s="9" t="s">
        <v>9</v>
      </c>
      <c r="C1832" s="9">
        <v>1927</v>
      </c>
      <c r="D1832" s="10">
        <v>45729</v>
      </c>
      <c r="E1832" s="11" t="str">
        <f>+HYPERLINK("http://trademark.i-assist.jp/data/china/image_1927th/82499363.pdf","82499363")</f>
        <v>82499363</v>
      </c>
      <c r="F1832" s="9" t="s">
        <v>5117</v>
      </c>
      <c r="G1832" s="12" t="s">
        <v>5118</v>
      </c>
      <c r="H1832" s="9" t="s">
        <v>5119</v>
      </c>
      <c r="I1832" s="10">
        <v>45637</v>
      </c>
    </row>
    <row r="1833" spans="1:9" x14ac:dyDescent="0.15">
      <c r="A1833" s="9">
        <v>1832</v>
      </c>
      <c r="B1833" s="9" t="s">
        <v>9</v>
      </c>
      <c r="C1833" s="9">
        <v>1927</v>
      </c>
      <c r="D1833" s="10">
        <v>45729</v>
      </c>
      <c r="E1833" s="11" t="str">
        <f>+HYPERLINK("http://trademark.i-assist.jp/data/china/image_1927th/82499374.pdf","82499374")</f>
        <v>82499374</v>
      </c>
      <c r="F1833" s="12" t="s">
        <v>5120</v>
      </c>
      <c r="G1833" s="12" t="s">
        <v>5121</v>
      </c>
      <c r="H1833" s="12" t="s">
        <v>5122</v>
      </c>
      <c r="I1833" s="10">
        <v>45637</v>
      </c>
    </row>
    <row r="1834" spans="1:9" x14ac:dyDescent="0.15">
      <c r="A1834" s="9">
        <v>1833</v>
      </c>
      <c r="B1834" s="9" t="s">
        <v>9</v>
      </c>
      <c r="C1834" s="9">
        <v>1927</v>
      </c>
      <c r="D1834" s="10">
        <v>45729</v>
      </c>
      <c r="E1834" s="11" t="str">
        <f>+HYPERLINK("http://trademark.i-assist.jp/data/china/image_1927th/82499404.pdf","82499404")</f>
        <v>82499404</v>
      </c>
      <c r="F1834" s="9" t="s">
        <v>5123</v>
      </c>
      <c r="G1834" s="9" t="s">
        <v>221</v>
      </c>
      <c r="H1834" s="9" t="s">
        <v>5124</v>
      </c>
      <c r="I1834" s="10">
        <v>45637</v>
      </c>
    </row>
    <row r="1835" spans="1:9" x14ac:dyDescent="0.15">
      <c r="A1835" s="9">
        <v>1834</v>
      </c>
      <c r="B1835" s="9" t="s">
        <v>9</v>
      </c>
      <c r="C1835" s="9">
        <v>1927</v>
      </c>
      <c r="D1835" s="10">
        <v>45729</v>
      </c>
      <c r="E1835" s="11" t="str">
        <f>+HYPERLINK("http://trademark.i-assist.jp/data/china/image_1927th/82500159.pdf","82500159")</f>
        <v>82500159</v>
      </c>
      <c r="F1835" s="12" t="s">
        <v>5125</v>
      </c>
      <c r="G1835" s="9" t="s">
        <v>210</v>
      </c>
      <c r="H1835" s="9" t="s">
        <v>5126</v>
      </c>
      <c r="I1835" s="10">
        <v>45637</v>
      </c>
    </row>
    <row r="1836" spans="1:9" x14ac:dyDescent="0.15">
      <c r="A1836" s="9">
        <v>1835</v>
      </c>
      <c r="B1836" s="9" t="s">
        <v>9</v>
      </c>
      <c r="C1836" s="9">
        <v>1927</v>
      </c>
      <c r="D1836" s="10">
        <v>45729</v>
      </c>
      <c r="E1836" s="11" t="str">
        <f>+HYPERLINK("http://trademark.i-assist.jp/data/china/image_1927th/82500216.pdf","82500216")</f>
        <v>82500216</v>
      </c>
      <c r="F1836" s="9" t="s">
        <v>5127</v>
      </c>
      <c r="G1836" s="9" t="s">
        <v>5128</v>
      </c>
      <c r="H1836" s="9" t="s">
        <v>5129</v>
      </c>
      <c r="I1836" s="10">
        <v>45637</v>
      </c>
    </row>
    <row r="1837" spans="1:9" x14ac:dyDescent="0.15">
      <c r="A1837" s="9">
        <v>1836</v>
      </c>
      <c r="B1837" s="9" t="s">
        <v>9</v>
      </c>
      <c r="C1837" s="9">
        <v>1927</v>
      </c>
      <c r="D1837" s="10">
        <v>45729</v>
      </c>
      <c r="E1837" s="11" t="str">
        <f>+HYPERLINK("http://trademark.i-assist.jp/data/china/image_1927th/82500424.pdf","82500424")</f>
        <v>82500424</v>
      </c>
      <c r="F1837" s="9" t="s">
        <v>5130</v>
      </c>
      <c r="G1837" s="9" t="s">
        <v>5131</v>
      </c>
      <c r="H1837" s="9" t="s">
        <v>5132</v>
      </c>
      <c r="I1837" s="10">
        <v>45637</v>
      </c>
    </row>
    <row r="1838" spans="1:9" x14ac:dyDescent="0.15">
      <c r="A1838" s="9">
        <v>1837</v>
      </c>
      <c r="B1838" s="9" t="s">
        <v>9</v>
      </c>
      <c r="C1838" s="9">
        <v>1927</v>
      </c>
      <c r="D1838" s="10">
        <v>45729</v>
      </c>
      <c r="E1838" s="11" t="str">
        <f>+HYPERLINK("http://trademark.i-assist.jp/data/china/image_1927th/82500531.pdf","82500531")</f>
        <v>82500531</v>
      </c>
      <c r="F1838" s="12" t="s">
        <v>5133</v>
      </c>
      <c r="G1838" s="9" t="s">
        <v>5134</v>
      </c>
      <c r="H1838" s="9" t="s">
        <v>5135</v>
      </c>
      <c r="I1838" s="10">
        <v>45637</v>
      </c>
    </row>
    <row r="1839" spans="1:9" x14ac:dyDescent="0.15">
      <c r="A1839" s="9">
        <v>1838</v>
      </c>
      <c r="B1839" s="9" t="s">
        <v>9</v>
      </c>
      <c r="C1839" s="9">
        <v>1927</v>
      </c>
      <c r="D1839" s="10">
        <v>45729</v>
      </c>
      <c r="E1839" s="11" t="str">
        <f>+HYPERLINK("http://trademark.i-assist.jp/data/china/image_1927th/82500669.pdf","82500669")</f>
        <v>82500669</v>
      </c>
      <c r="F1839" s="9" t="s">
        <v>5136</v>
      </c>
      <c r="G1839" s="9" t="s">
        <v>5137</v>
      </c>
      <c r="H1839" s="12" t="s">
        <v>5138</v>
      </c>
      <c r="I1839" s="10">
        <v>45637</v>
      </c>
    </row>
    <row r="1840" spans="1:9" x14ac:dyDescent="0.15">
      <c r="A1840" s="9">
        <v>1839</v>
      </c>
      <c r="B1840" s="9" t="s">
        <v>9</v>
      </c>
      <c r="C1840" s="9">
        <v>1927</v>
      </c>
      <c r="D1840" s="10">
        <v>45729</v>
      </c>
      <c r="E1840" s="11" t="str">
        <f>+HYPERLINK("http://trademark.i-assist.jp/data/china/image_1927th/82500752.pdf","82500752")</f>
        <v>82500752</v>
      </c>
      <c r="F1840" s="9" t="s">
        <v>5139</v>
      </c>
      <c r="G1840" s="9" t="s">
        <v>5140</v>
      </c>
      <c r="H1840" s="9" t="s">
        <v>5141</v>
      </c>
      <c r="I1840" s="10">
        <v>45637</v>
      </c>
    </row>
    <row r="1841" spans="1:9" x14ac:dyDescent="0.15">
      <c r="A1841" s="9">
        <v>1840</v>
      </c>
      <c r="B1841" s="9" t="s">
        <v>9</v>
      </c>
      <c r="C1841" s="9">
        <v>1927</v>
      </c>
      <c r="D1841" s="10">
        <v>45729</v>
      </c>
      <c r="E1841" s="11" t="str">
        <f>+HYPERLINK("http://trademark.i-assist.jp/data/china/image_1927th/82500935.pdf","82500935")</f>
        <v>82500935</v>
      </c>
      <c r="F1841" s="9" t="s">
        <v>5142</v>
      </c>
      <c r="G1841" s="12" t="s">
        <v>5143</v>
      </c>
      <c r="H1841" s="9" t="s">
        <v>5144</v>
      </c>
      <c r="I1841" s="10">
        <v>45638</v>
      </c>
    </row>
    <row r="1842" spans="1:9" x14ac:dyDescent="0.15">
      <c r="A1842" s="9">
        <v>1841</v>
      </c>
      <c r="B1842" s="9" t="s">
        <v>9</v>
      </c>
      <c r="C1842" s="9">
        <v>1927</v>
      </c>
      <c r="D1842" s="10">
        <v>45729</v>
      </c>
      <c r="E1842" s="11" t="str">
        <f>+HYPERLINK("http://trademark.i-assist.jp/data/china/image_1927th/82501362.pdf","82501362")</f>
        <v>82501362</v>
      </c>
      <c r="F1842" s="9" t="s">
        <v>5145</v>
      </c>
      <c r="G1842" s="9" t="s">
        <v>5146</v>
      </c>
      <c r="H1842" s="9" t="s">
        <v>5147</v>
      </c>
      <c r="I1842" s="10">
        <v>45638</v>
      </c>
    </row>
    <row r="1843" spans="1:9" x14ac:dyDescent="0.15">
      <c r="A1843" s="9">
        <v>1842</v>
      </c>
      <c r="B1843" s="9" t="s">
        <v>9</v>
      </c>
      <c r="C1843" s="9">
        <v>1927</v>
      </c>
      <c r="D1843" s="10">
        <v>45729</v>
      </c>
      <c r="E1843" s="11" t="str">
        <f>+HYPERLINK("http://trademark.i-assist.jp/data/china/image_1927th/82501475.pdf","82501475")</f>
        <v>82501475</v>
      </c>
      <c r="F1843" s="9" t="s">
        <v>5148</v>
      </c>
      <c r="G1843" s="9" t="s">
        <v>5149</v>
      </c>
      <c r="H1843" s="9" t="s">
        <v>5150</v>
      </c>
      <c r="I1843" s="10">
        <v>45638</v>
      </c>
    </row>
    <row r="1844" spans="1:9" x14ac:dyDescent="0.15">
      <c r="A1844" s="9">
        <v>1843</v>
      </c>
      <c r="B1844" s="9" t="s">
        <v>9</v>
      </c>
      <c r="C1844" s="9">
        <v>1927</v>
      </c>
      <c r="D1844" s="10">
        <v>45729</v>
      </c>
      <c r="E1844" s="11" t="str">
        <f>+HYPERLINK("http://trademark.i-assist.jp/data/china/image_1927th/82501768.pdf","82501768")</f>
        <v>82501768</v>
      </c>
      <c r="F1844" s="9" t="s">
        <v>5151</v>
      </c>
      <c r="G1844" s="9" t="s">
        <v>5152</v>
      </c>
      <c r="H1844" s="9" t="s">
        <v>5153</v>
      </c>
      <c r="I1844" s="10">
        <v>45638</v>
      </c>
    </row>
    <row r="1845" spans="1:9" x14ac:dyDescent="0.15">
      <c r="A1845" s="9">
        <v>1844</v>
      </c>
      <c r="B1845" s="9" t="s">
        <v>9</v>
      </c>
      <c r="C1845" s="9">
        <v>1927</v>
      </c>
      <c r="D1845" s="10">
        <v>45729</v>
      </c>
      <c r="E1845" s="11" t="str">
        <f>+HYPERLINK("http://trademark.i-assist.jp/data/china/image_1927th/82502133.pdf","82502133")</f>
        <v>82502133</v>
      </c>
      <c r="F1845" s="9" t="s">
        <v>5154</v>
      </c>
      <c r="G1845" s="9" t="s">
        <v>5155</v>
      </c>
      <c r="H1845" s="9" t="s">
        <v>5156</v>
      </c>
      <c r="I1845" s="10">
        <v>45638</v>
      </c>
    </row>
    <row r="1846" spans="1:9" x14ac:dyDescent="0.15">
      <c r="A1846" s="9">
        <v>1845</v>
      </c>
      <c r="B1846" s="9" t="s">
        <v>9</v>
      </c>
      <c r="C1846" s="9">
        <v>1927</v>
      </c>
      <c r="D1846" s="10">
        <v>45729</v>
      </c>
      <c r="E1846" s="11" t="str">
        <f>+HYPERLINK("http://trademark.i-assist.jp/data/china/image_1927th/82502383.pdf","82502383")</f>
        <v>82502383</v>
      </c>
      <c r="F1846" s="12" t="s">
        <v>5157</v>
      </c>
      <c r="G1846" s="12" t="s">
        <v>5158</v>
      </c>
      <c r="H1846" s="9" t="s">
        <v>5159</v>
      </c>
      <c r="I1846" s="10">
        <v>45638</v>
      </c>
    </row>
    <row r="1847" spans="1:9" x14ac:dyDescent="0.15">
      <c r="A1847" s="9">
        <v>1846</v>
      </c>
      <c r="B1847" s="9" t="s">
        <v>9</v>
      </c>
      <c r="C1847" s="9">
        <v>1927</v>
      </c>
      <c r="D1847" s="10">
        <v>45729</v>
      </c>
      <c r="E1847" s="11" t="str">
        <f>+HYPERLINK("http://trademark.i-assist.jp/data/china/image_1927th/82502843.pdf","82502843")</f>
        <v>82502843</v>
      </c>
      <c r="F1847" s="9" t="s">
        <v>5160</v>
      </c>
      <c r="G1847" s="9" t="s">
        <v>5161</v>
      </c>
      <c r="H1847" s="9" t="s">
        <v>5162</v>
      </c>
      <c r="I1847" s="10">
        <v>45638</v>
      </c>
    </row>
    <row r="1848" spans="1:9" x14ac:dyDescent="0.15">
      <c r="A1848" s="9">
        <v>1847</v>
      </c>
      <c r="B1848" s="9" t="s">
        <v>9</v>
      </c>
      <c r="C1848" s="9">
        <v>1927</v>
      </c>
      <c r="D1848" s="10">
        <v>45729</v>
      </c>
      <c r="E1848" s="11" t="str">
        <f>+HYPERLINK("http://trademark.i-assist.jp/data/china/image_1927th/82502878.pdf","82502878")</f>
        <v>82502878</v>
      </c>
      <c r="F1848" s="9" t="s">
        <v>5163</v>
      </c>
      <c r="G1848" s="9" t="s">
        <v>1384</v>
      </c>
      <c r="H1848" s="9" t="s">
        <v>5164</v>
      </c>
      <c r="I1848" s="10">
        <v>45638</v>
      </c>
    </row>
    <row r="1849" spans="1:9" x14ac:dyDescent="0.15">
      <c r="A1849" s="9">
        <v>1848</v>
      </c>
      <c r="B1849" s="9" t="s">
        <v>9</v>
      </c>
      <c r="C1849" s="9">
        <v>1927</v>
      </c>
      <c r="D1849" s="10">
        <v>45729</v>
      </c>
      <c r="E1849" s="11" t="str">
        <f>+HYPERLINK("http://trademark.i-assist.jp/data/china/image_1927th/82503241.pdf","82503241")</f>
        <v>82503241</v>
      </c>
      <c r="F1849" s="9" t="s">
        <v>5165</v>
      </c>
      <c r="G1849" s="9" t="s">
        <v>217</v>
      </c>
      <c r="H1849" s="9" t="s">
        <v>5166</v>
      </c>
      <c r="I1849" s="10">
        <v>45638</v>
      </c>
    </row>
    <row r="1850" spans="1:9" x14ac:dyDescent="0.15">
      <c r="A1850" s="9">
        <v>1849</v>
      </c>
      <c r="B1850" s="9" t="s">
        <v>9</v>
      </c>
      <c r="C1850" s="9">
        <v>1927</v>
      </c>
      <c r="D1850" s="10">
        <v>45729</v>
      </c>
      <c r="E1850" s="11" t="str">
        <f>+HYPERLINK("http://trademark.i-assist.jp/data/china/image_1927th/82503388.pdf","82503388")</f>
        <v>82503388</v>
      </c>
      <c r="F1850" s="9" t="s">
        <v>5167</v>
      </c>
      <c r="G1850" s="9" t="s">
        <v>5168</v>
      </c>
      <c r="H1850" s="9" t="s">
        <v>5169</v>
      </c>
      <c r="I1850" s="10">
        <v>45638</v>
      </c>
    </row>
    <row r="1851" spans="1:9" x14ac:dyDescent="0.15">
      <c r="A1851" s="9">
        <v>1850</v>
      </c>
      <c r="B1851" s="9" t="s">
        <v>9</v>
      </c>
      <c r="C1851" s="9">
        <v>1927</v>
      </c>
      <c r="D1851" s="10">
        <v>45729</v>
      </c>
      <c r="E1851" s="11" t="str">
        <f>+HYPERLINK("http://trademark.i-assist.jp/data/china/image_1927th/82504080.pdf","82504080")</f>
        <v>82504080</v>
      </c>
      <c r="F1851" s="9" t="s">
        <v>5170</v>
      </c>
      <c r="G1851" s="9" t="s">
        <v>5171</v>
      </c>
      <c r="H1851" s="9" t="s">
        <v>5172</v>
      </c>
      <c r="I1851" s="10">
        <v>45638</v>
      </c>
    </row>
    <row r="1852" spans="1:9" x14ac:dyDescent="0.15">
      <c r="A1852" s="9">
        <v>1851</v>
      </c>
      <c r="B1852" s="9" t="s">
        <v>9</v>
      </c>
      <c r="C1852" s="9">
        <v>1927</v>
      </c>
      <c r="D1852" s="10">
        <v>45729</v>
      </c>
      <c r="E1852" s="11" t="str">
        <f>+HYPERLINK("http://trademark.i-assist.jp/data/china/image_1927th/82504451.pdf","82504451")</f>
        <v>82504451</v>
      </c>
      <c r="F1852" s="9" t="s">
        <v>5173</v>
      </c>
      <c r="G1852" s="9" t="s">
        <v>5174</v>
      </c>
      <c r="H1852" s="9" t="s">
        <v>5175</v>
      </c>
      <c r="I1852" s="10">
        <v>45638</v>
      </c>
    </row>
    <row r="1853" spans="1:9" x14ac:dyDescent="0.15">
      <c r="A1853" s="9">
        <v>1852</v>
      </c>
      <c r="B1853" s="9" t="s">
        <v>9</v>
      </c>
      <c r="C1853" s="9">
        <v>1927</v>
      </c>
      <c r="D1853" s="10">
        <v>45729</v>
      </c>
      <c r="E1853" s="11" t="str">
        <f>+HYPERLINK("http://trademark.i-assist.jp/data/china/image_1927th/82504665.pdf","82504665")</f>
        <v>82504665</v>
      </c>
      <c r="F1853" s="9" t="s">
        <v>5176</v>
      </c>
      <c r="G1853" s="12" t="s">
        <v>5177</v>
      </c>
      <c r="H1853" s="9" t="s">
        <v>5178</v>
      </c>
      <c r="I1853" s="10">
        <v>45638</v>
      </c>
    </row>
    <row r="1854" spans="1:9" x14ac:dyDescent="0.15">
      <c r="A1854" s="9">
        <v>1853</v>
      </c>
      <c r="B1854" s="9" t="s">
        <v>9</v>
      </c>
      <c r="C1854" s="9">
        <v>1927</v>
      </c>
      <c r="D1854" s="10">
        <v>45729</v>
      </c>
      <c r="E1854" s="11" t="str">
        <f>+HYPERLINK("http://trademark.i-assist.jp/data/china/image_1927th/82504916.pdf","82504916")</f>
        <v>82504916</v>
      </c>
      <c r="F1854" s="9" t="s">
        <v>5179</v>
      </c>
      <c r="G1854" s="9" t="s">
        <v>5180</v>
      </c>
      <c r="H1854" s="9" t="s">
        <v>5181</v>
      </c>
      <c r="I1854" s="10">
        <v>45638</v>
      </c>
    </row>
    <row r="1855" spans="1:9" x14ac:dyDescent="0.15">
      <c r="A1855" s="9">
        <v>1854</v>
      </c>
      <c r="B1855" s="9" t="s">
        <v>9</v>
      </c>
      <c r="C1855" s="9">
        <v>1927</v>
      </c>
      <c r="D1855" s="10">
        <v>45729</v>
      </c>
      <c r="E1855" s="11" t="str">
        <f>+HYPERLINK("http://trademark.i-assist.jp/data/china/image_1927th/82505042.pdf","82505042")</f>
        <v>82505042</v>
      </c>
      <c r="F1855" s="12" t="s">
        <v>5182</v>
      </c>
      <c r="G1855" s="12" t="s">
        <v>5183</v>
      </c>
      <c r="H1855" s="9" t="s">
        <v>5184</v>
      </c>
      <c r="I1855" s="10">
        <v>45638</v>
      </c>
    </row>
    <row r="1856" spans="1:9" x14ac:dyDescent="0.15">
      <c r="A1856" s="9">
        <v>1855</v>
      </c>
      <c r="B1856" s="9" t="s">
        <v>9</v>
      </c>
      <c r="C1856" s="9">
        <v>1927</v>
      </c>
      <c r="D1856" s="10">
        <v>45729</v>
      </c>
      <c r="E1856" s="11" t="str">
        <f>+HYPERLINK("http://trademark.i-assist.jp/data/china/image_1927th/82505187.pdf","82505187")</f>
        <v>82505187</v>
      </c>
      <c r="F1856" s="12" t="s">
        <v>5185</v>
      </c>
      <c r="G1856" s="12" t="s">
        <v>5186</v>
      </c>
      <c r="H1856" s="9" t="s">
        <v>5187</v>
      </c>
      <c r="I1856" s="10">
        <v>45638</v>
      </c>
    </row>
    <row r="1857" spans="1:9" x14ac:dyDescent="0.15">
      <c r="A1857" s="9">
        <v>1856</v>
      </c>
      <c r="B1857" s="9" t="s">
        <v>9</v>
      </c>
      <c r="C1857" s="9">
        <v>1927</v>
      </c>
      <c r="D1857" s="10">
        <v>45729</v>
      </c>
      <c r="E1857" s="11" t="str">
        <f>+HYPERLINK("http://trademark.i-assist.jp/data/china/image_1927th/82505232.pdf","82505232")</f>
        <v>82505232</v>
      </c>
      <c r="F1857" s="9" t="s">
        <v>5188</v>
      </c>
      <c r="G1857" s="12" t="s">
        <v>5186</v>
      </c>
      <c r="H1857" s="9" t="s">
        <v>5189</v>
      </c>
      <c r="I1857" s="10">
        <v>45638</v>
      </c>
    </row>
    <row r="1858" spans="1:9" x14ac:dyDescent="0.15">
      <c r="A1858" s="9">
        <v>1857</v>
      </c>
      <c r="B1858" s="9" t="s">
        <v>9</v>
      </c>
      <c r="C1858" s="9">
        <v>1927</v>
      </c>
      <c r="D1858" s="10">
        <v>45729</v>
      </c>
      <c r="E1858" s="11" t="str">
        <f>+HYPERLINK("http://trademark.i-assist.jp/data/china/image_1927th/82505340.pdf","82505340")</f>
        <v>82505340</v>
      </c>
      <c r="F1858" s="9" t="s">
        <v>5190</v>
      </c>
      <c r="G1858" s="9" t="s">
        <v>214</v>
      </c>
      <c r="H1858" s="9" t="s">
        <v>5191</v>
      </c>
      <c r="I1858" s="10">
        <v>45638</v>
      </c>
    </row>
    <row r="1859" spans="1:9" x14ac:dyDescent="0.15">
      <c r="A1859" s="9">
        <v>1858</v>
      </c>
      <c r="B1859" s="9" t="s">
        <v>9</v>
      </c>
      <c r="C1859" s="9">
        <v>1927</v>
      </c>
      <c r="D1859" s="10">
        <v>45729</v>
      </c>
      <c r="E1859" s="11" t="str">
        <f>+HYPERLINK("http://trademark.i-assist.jp/data/china/image_1927th/82505564.pdf","82505564")</f>
        <v>82505564</v>
      </c>
      <c r="F1859" s="9" t="s">
        <v>5192</v>
      </c>
      <c r="G1859" s="9" t="s">
        <v>5193</v>
      </c>
      <c r="H1859" s="9" t="s">
        <v>5194</v>
      </c>
      <c r="I1859" s="10">
        <v>45638</v>
      </c>
    </row>
    <row r="1860" spans="1:9" x14ac:dyDescent="0.15">
      <c r="A1860" s="9">
        <v>1859</v>
      </c>
      <c r="B1860" s="9" t="s">
        <v>9</v>
      </c>
      <c r="C1860" s="9">
        <v>1927</v>
      </c>
      <c r="D1860" s="10">
        <v>45729</v>
      </c>
      <c r="E1860" s="11" t="str">
        <f>+HYPERLINK("http://trademark.i-assist.jp/data/china/image_1927th/82505683.pdf","82505683")</f>
        <v>82505683</v>
      </c>
      <c r="F1860" s="9" t="s">
        <v>5195</v>
      </c>
      <c r="G1860" s="9" t="s">
        <v>5196</v>
      </c>
      <c r="H1860" s="9" t="s">
        <v>5197</v>
      </c>
      <c r="I1860" s="10">
        <v>45638</v>
      </c>
    </row>
    <row r="1861" spans="1:9" x14ac:dyDescent="0.15">
      <c r="A1861" s="9">
        <v>1860</v>
      </c>
      <c r="B1861" s="9" t="s">
        <v>9</v>
      </c>
      <c r="C1861" s="9">
        <v>1927</v>
      </c>
      <c r="D1861" s="10">
        <v>45729</v>
      </c>
      <c r="E1861" s="11" t="str">
        <f>+HYPERLINK("http://trademark.i-assist.jp/data/china/image_1927th/82505938.pdf","82505938")</f>
        <v>82505938</v>
      </c>
      <c r="F1861" s="9" t="s">
        <v>5198</v>
      </c>
      <c r="G1861" s="9" t="s">
        <v>5199</v>
      </c>
      <c r="H1861" s="9" t="s">
        <v>5200</v>
      </c>
      <c r="I1861" s="10">
        <v>45638</v>
      </c>
    </row>
    <row r="1862" spans="1:9" x14ac:dyDescent="0.15">
      <c r="A1862" s="9">
        <v>1861</v>
      </c>
      <c r="B1862" s="9" t="s">
        <v>9</v>
      </c>
      <c r="C1862" s="9">
        <v>1927</v>
      </c>
      <c r="D1862" s="10">
        <v>45729</v>
      </c>
      <c r="E1862" s="11" t="str">
        <f>+HYPERLINK("http://trademark.i-assist.jp/data/china/image_1927th/82506216.pdf","82506216")</f>
        <v>82506216</v>
      </c>
      <c r="F1862" s="9" t="s">
        <v>5201</v>
      </c>
      <c r="G1862" s="9" t="s">
        <v>5202</v>
      </c>
      <c r="H1862" s="9" t="s">
        <v>5203</v>
      </c>
      <c r="I1862" s="10">
        <v>45638</v>
      </c>
    </row>
    <row r="1863" spans="1:9" x14ac:dyDescent="0.15">
      <c r="A1863" s="9">
        <v>1862</v>
      </c>
      <c r="B1863" s="9" t="s">
        <v>9</v>
      </c>
      <c r="C1863" s="9">
        <v>1927</v>
      </c>
      <c r="D1863" s="10">
        <v>45729</v>
      </c>
      <c r="E1863" s="11" t="str">
        <f>+HYPERLINK("http://trademark.i-assist.jp/data/china/image_1927th/82506427.pdf","82506427")</f>
        <v>82506427</v>
      </c>
      <c r="F1863" s="12" t="s">
        <v>5204</v>
      </c>
      <c r="G1863" s="12" t="s">
        <v>5205</v>
      </c>
      <c r="H1863" s="9" t="s">
        <v>5206</v>
      </c>
      <c r="I1863" s="10">
        <v>45638</v>
      </c>
    </row>
    <row r="1864" spans="1:9" x14ac:dyDescent="0.15">
      <c r="A1864" s="9">
        <v>1863</v>
      </c>
      <c r="B1864" s="9" t="s">
        <v>9</v>
      </c>
      <c r="C1864" s="9">
        <v>1927</v>
      </c>
      <c r="D1864" s="10">
        <v>45729</v>
      </c>
      <c r="E1864" s="11" t="str">
        <f>+HYPERLINK("http://trademark.i-assist.jp/data/china/image_1927th/82507007.pdf","82507007")</f>
        <v>82507007</v>
      </c>
      <c r="F1864" s="12" t="s">
        <v>5207</v>
      </c>
      <c r="G1864" s="12" t="s">
        <v>1353</v>
      </c>
      <c r="H1864" s="9" t="s">
        <v>5208</v>
      </c>
      <c r="I1864" s="10">
        <v>45638</v>
      </c>
    </row>
    <row r="1865" spans="1:9" x14ac:dyDescent="0.15">
      <c r="A1865" s="9">
        <v>1864</v>
      </c>
      <c r="B1865" s="9" t="s">
        <v>9</v>
      </c>
      <c r="C1865" s="9">
        <v>1927</v>
      </c>
      <c r="D1865" s="10">
        <v>45729</v>
      </c>
      <c r="E1865" s="11" t="str">
        <f>+HYPERLINK("http://trademark.i-assist.jp/data/china/image_1927th/82507158.pdf","82507158")</f>
        <v>82507158</v>
      </c>
      <c r="F1865" s="9" t="s">
        <v>5209</v>
      </c>
      <c r="G1865" s="9" t="s">
        <v>5210</v>
      </c>
      <c r="H1865" s="9" t="s">
        <v>5211</v>
      </c>
      <c r="I1865" s="10">
        <v>45638</v>
      </c>
    </row>
    <row r="1866" spans="1:9" x14ac:dyDescent="0.15">
      <c r="A1866" s="9">
        <v>1865</v>
      </c>
      <c r="B1866" s="9" t="s">
        <v>9</v>
      </c>
      <c r="C1866" s="9">
        <v>1927</v>
      </c>
      <c r="D1866" s="10">
        <v>45729</v>
      </c>
      <c r="E1866" s="11" t="str">
        <f>+HYPERLINK("http://trademark.i-assist.jp/data/china/image_1927th/82507487.pdf","82507487")</f>
        <v>82507487</v>
      </c>
      <c r="F1866" s="12" t="s">
        <v>5212</v>
      </c>
      <c r="G1866" s="12" t="s">
        <v>5213</v>
      </c>
      <c r="H1866" s="9" t="s">
        <v>5214</v>
      </c>
      <c r="I1866" s="10">
        <v>45638</v>
      </c>
    </row>
    <row r="1867" spans="1:9" x14ac:dyDescent="0.15">
      <c r="A1867" s="9">
        <v>1866</v>
      </c>
      <c r="B1867" s="9" t="s">
        <v>9</v>
      </c>
      <c r="C1867" s="9">
        <v>1927</v>
      </c>
      <c r="D1867" s="10">
        <v>45729</v>
      </c>
      <c r="E1867" s="11" t="str">
        <f>+HYPERLINK("http://trademark.i-assist.jp/data/china/image_1927th/82507937.pdf","82507937")</f>
        <v>82507937</v>
      </c>
      <c r="F1867" s="9" t="s">
        <v>5215</v>
      </c>
      <c r="G1867" s="9" t="s">
        <v>5216</v>
      </c>
      <c r="H1867" s="9" t="s">
        <v>5217</v>
      </c>
      <c r="I1867" s="10">
        <v>45638</v>
      </c>
    </row>
    <row r="1868" spans="1:9" x14ac:dyDescent="0.15">
      <c r="A1868" s="9">
        <v>1867</v>
      </c>
      <c r="B1868" s="9" t="s">
        <v>9</v>
      </c>
      <c r="C1868" s="9">
        <v>1927</v>
      </c>
      <c r="D1868" s="10">
        <v>45729</v>
      </c>
      <c r="E1868" s="11" t="str">
        <f>+HYPERLINK("http://trademark.i-assist.jp/data/china/image_1927th/82508268.pdf","82508268")</f>
        <v>82508268</v>
      </c>
      <c r="F1868" s="12" t="s">
        <v>5218</v>
      </c>
      <c r="G1868" s="12" t="s">
        <v>5219</v>
      </c>
      <c r="H1868" s="9" t="s">
        <v>5220</v>
      </c>
      <c r="I1868" s="10">
        <v>45638</v>
      </c>
    </row>
    <row r="1869" spans="1:9" x14ac:dyDescent="0.15">
      <c r="A1869" s="9">
        <v>1868</v>
      </c>
      <c r="B1869" s="9" t="s">
        <v>9</v>
      </c>
      <c r="C1869" s="9">
        <v>1927</v>
      </c>
      <c r="D1869" s="10">
        <v>45729</v>
      </c>
      <c r="E1869" s="11" t="str">
        <f>+HYPERLINK("http://trademark.i-assist.jp/data/china/image_1927th/82508374.pdf","82508374")</f>
        <v>82508374</v>
      </c>
      <c r="F1869" s="12" t="s">
        <v>16</v>
      </c>
      <c r="G1869" s="9" t="s">
        <v>5221</v>
      </c>
      <c r="H1869" s="9" t="s">
        <v>5222</v>
      </c>
      <c r="I1869" s="10">
        <v>45638</v>
      </c>
    </row>
    <row r="1870" spans="1:9" x14ac:dyDescent="0.15">
      <c r="A1870" s="9">
        <v>1869</v>
      </c>
      <c r="B1870" s="9" t="s">
        <v>9</v>
      </c>
      <c r="C1870" s="9">
        <v>1927</v>
      </c>
      <c r="D1870" s="10">
        <v>45729</v>
      </c>
      <c r="E1870" s="11" t="str">
        <f>+HYPERLINK("http://trademark.i-assist.jp/data/china/image_1927th/82508600.pdf","82508600")</f>
        <v>82508600</v>
      </c>
      <c r="F1870" s="9" t="s">
        <v>5223</v>
      </c>
      <c r="G1870" s="9" t="s">
        <v>5224</v>
      </c>
      <c r="H1870" s="9" t="s">
        <v>5225</v>
      </c>
      <c r="I1870" s="10">
        <v>45638</v>
      </c>
    </row>
    <row r="1871" spans="1:9" x14ac:dyDescent="0.15">
      <c r="A1871" s="9">
        <v>1870</v>
      </c>
      <c r="B1871" s="9" t="s">
        <v>9</v>
      </c>
      <c r="C1871" s="9">
        <v>1927</v>
      </c>
      <c r="D1871" s="10">
        <v>45729</v>
      </c>
      <c r="E1871" s="11" t="str">
        <f>+HYPERLINK("http://trademark.i-assist.jp/data/china/image_1927th/82508836.pdf","82508836")</f>
        <v>82508836</v>
      </c>
      <c r="F1871" s="9" t="s">
        <v>5226</v>
      </c>
      <c r="G1871" s="12" t="s">
        <v>5227</v>
      </c>
      <c r="H1871" s="9" t="s">
        <v>5228</v>
      </c>
      <c r="I1871" s="10">
        <v>45638</v>
      </c>
    </row>
    <row r="1872" spans="1:9" x14ac:dyDescent="0.15">
      <c r="A1872" s="9">
        <v>1871</v>
      </c>
      <c r="B1872" s="9" t="s">
        <v>9</v>
      </c>
      <c r="C1872" s="9">
        <v>1927</v>
      </c>
      <c r="D1872" s="10">
        <v>45729</v>
      </c>
      <c r="E1872" s="11" t="str">
        <f>+HYPERLINK("http://trademark.i-assist.jp/data/china/image_1927th/82508954.pdf","82508954")</f>
        <v>82508954</v>
      </c>
      <c r="F1872" s="12" t="s">
        <v>16</v>
      </c>
      <c r="G1872" s="9" t="s">
        <v>5155</v>
      </c>
      <c r="H1872" s="9" t="s">
        <v>5229</v>
      </c>
      <c r="I1872" s="10">
        <v>45638</v>
      </c>
    </row>
    <row r="1873" spans="1:9" x14ac:dyDescent="0.15">
      <c r="A1873" s="9">
        <v>1872</v>
      </c>
      <c r="B1873" s="9" t="s">
        <v>9</v>
      </c>
      <c r="C1873" s="9">
        <v>1927</v>
      </c>
      <c r="D1873" s="10">
        <v>45729</v>
      </c>
      <c r="E1873" s="11" t="str">
        <f>+HYPERLINK("http://trademark.i-assist.jp/data/china/image_1927th/82508984.pdf","82508984")</f>
        <v>82508984</v>
      </c>
      <c r="F1873" s="12" t="s">
        <v>5230</v>
      </c>
      <c r="G1873" s="9" t="s">
        <v>5231</v>
      </c>
      <c r="H1873" s="9" t="s">
        <v>5232</v>
      </c>
      <c r="I1873" s="10">
        <v>45638</v>
      </c>
    </row>
    <row r="1874" spans="1:9" x14ac:dyDescent="0.15">
      <c r="A1874" s="9">
        <v>1873</v>
      </c>
      <c r="B1874" s="9" t="s">
        <v>9</v>
      </c>
      <c r="C1874" s="9">
        <v>1927</v>
      </c>
      <c r="D1874" s="10">
        <v>45729</v>
      </c>
      <c r="E1874" s="11" t="str">
        <f>+HYPERLINK("http://trademark.i-assist.jp/data/china/image_1927th/82509251.pdf","82509251")</f>
        <v>82509251</v>
      </c>
      <c r="F1874" s="12" t="s">
        <v>5233</v>
      </c>
      <c r="G1874" s="9" t="s">
        <v>5234</v>
      </c>
      <c r="H1874" s="9" t="s">
        <v>5235</v>
      </c>
      <c r="I1874" s="10">
        <v>45638</v>
      </c>
    </row>
    <row r="1875" spans="1:9" x14ac:dyDescent="0.15">
      <c r="A1875" s="9">
        <v>1874</v>
      </c>
      <c r="B1875" s="9" t="s">
        <v>9</v>
      </c>
      <c r="C1875" s="9">
        <v>1927</v>
      </c>
      <c r="D1875" s="10">
        <v>45729</v>
      </c>
      <c r="E1875" s="11" t="str">
        <f>+HYPERLINK("http://trademark.i-assist.jp/data/china/image_1927th/82509314.pdf","82509314")</f>
        <v>82509314</v>
      </c>
      <c r="F1875" s="9" t="s">
        <v>5236</v>
      </c>
      <c r="G1875" s="9" t="s">
        <v>5237</v>
      </c>
      <c r="H1875" s="9" t="s">
        <v>5238</v>
      </c>
      <c r="I1875" s="10">
        <v>45638</v>
      </c>
    </row>
    <row r="1876" spans="1:9" x14ac:dyDescent="0.15">
      <c r="A1876" s="9">
        <v>1875</v>
      </c>
      <c r="B1876" s="9" t="s">
        <v>9</v>
      </c>
      <c r="C1876" s="9">
        <v>1927</v>
      </c>
      <c r="D1876" s="10">
        <v>45729</v>
      </c>
      <c r="E1876" s="11" t="str">
        <f>+HYPERLINK("http://trademark.i-assist.jp/data/china/image_1927th/82509414.pdf","82509414")</f>
        <v>82509414</v>
      </c>
      <c r="F1876" s="12" t="s">
        <v>5239</v>
      </c>
      <c r="G1876" s="12" t="s">
        <v>5240</v>
      </c>
      <c r="H1876" s="9" t="s">
        <v>5241</v>
      </c>
      <c r="I1876" s="10">
        <v>45638</v>
      </c>
    </row>
    <row r="1877" spans="1:9" x14ac:dyDescent="0.15">
      <c r="A1877" s="9">
        <v>1876</v>
      </c>
      <c r="B1877" s="9" t="s">
        <v>9</v>
      </c>
      <c r="C1877" s="9">
        <v>1927</v>
      </c>
      <c r="D1877" s="10">
        <v>45729</v>
      </c>
      <c r="E1877" s="11" t="str">
        <f>+HYPERLINK("http://trademark.i-assist.jp/data/china/image_1927th/82509984.pdf","82509984")</f>
        <v>82509984</v>
      </c>
      <c r="F1877" s="9" t="s">
        <v>5242</v>
      </c>
      <c r="G1877" s="9" t="s">
        <v>5243</v>
      </c>
      <c r="H1877" s="9" t="s">
        <v>5244</v>
      </c>
      <c r="I1877" s="10">
        <v>45638</v>
      </c>
    </row>
    <row r="1878" spans="1:9" x14ac:dyDescent="0.15">
      <c r="A1878" s="9">
        <v>1877</v>
      </c>
      <c r="B1878" s="9" t="s">
        <v>9</v>
      </c>
      <c r="C1878" s="9">
        <v>1927</v>
      </c>
      <c r="D1878" s="10">
        <v>45729</v>
      </c>
      <c r="E1878" s="11" t="str">
        <f>+HYPERLINK("http://trademark.i-assist.jp/data/china/image_1927th/82510005.pdf","82510005")</f>
        <v>82510005</v>
      </c>
      <c r="F1878" s="12" t="s">
        <v>5245</v>
      </c>
      <c r="G1878" s="12" t="s">
        <v>5186</v>
      </c>
      <c r="H1878" s="12" t="s">
        <v>5246</v>
      </c>
      <c r="I1878" s="10">
        <v>45638</v>
      </c>
    </row>
    <row r="1879" spans="1:9" x14ac:dyDescent="0.15">
      <c r="A1879" s="9">
        <v>1878</v>
      </c>
      <c r="B1879" s="9" t="s">
        <v>9</v>
      </c>
      <c r="C1879" s="9">
        <v>1927</v>
      </c>
      <c r="D1879" s="10">
        <v>45729</v>
      </c>
      <c r="E1879" s="11" t="str">
        <f>+HYPERLINK("http://trademark.i-assist.jp/data/china/image_1927th/82510118.pdf","82510118")</f>
        <v>82510118</v>
      </c>
      <c r="F1879" s="9" t="s">
        <v>5247</v>
      </c>
      <c r="G1879" s="9" t="s">
        <v>5248</v>
      </c>
      <c r="H1879" s="9" t="s">
        <v>5249</v>
      </c>
      <c r="I1879" s="10">
        <v>45638</v>
      </c>
    </row>
    <row r="1880" spans="1:9" x14ac:dyDescent="0.15">
      <c r="A1880" s="9">
        <v>1879</v>
      </c>
      <c r="B1880" s="9" t="s">
        <v>9</v>
      </c>
      <c r="C1880" s="9">
        <v>1927</v>
      </c>
      <c r="D1880" s="10">
        <v>45729</v>
      </c>
      <c r="E1880" s="11" t="str">
        <f>+HYPERLINK("http://trademark.i-assist.jp/data/china/image_1927th/82510164.pdf","82510164")</f>
        <v>82510164</v>
      </c>
      <c r="F1880" s="9" t="s">
        <v>5250</v>
      </c>
      <c r="G1880" s="12" t="s">
        <v>5251</v>
      </c>
      <c r="H1880" s="9" t="s">
        <v>5252</v>
      </c>
      <c r="I1880" s="10">
        <v>45638</v>
      </c>
    </row>
    <row r="1881" spans="1:9" x14ac:dyDescent="0.15">
      <c r="A1881" s="9">
        <v>1880</v>
      </c>
      <c r="B1881" s="9" t="s">
        <v>9</v>
      </c>
      <c r="C1881" s="9">
        <v>1927</v>
      </c>
      <c r="D1881" s="10">
        <v>45729</v>
      </c>
      <c r="E1881" s="11" t="str">
        <f>+HYPERLINK("http://trademark.i-assist.jp/data/china/image_1927th/82510588.pdf","82510588")</f>
        <v>82510588</v>
      </c>
      <c r="F1881" s="12" t="s">
        <v>5253</v>
      </c>
      <c r="G1881" s="12" t="s">
        <v>1353</v>
      </c>
      <c r="H1881" s="9" t="s">
        <v>5254</v>
      </c>
      <c r="I1881" s="10">
        <v>45638</v>
      </c>
    </row>
    <row r="1882" spans="1:9" x14ac:dyDescent="0.15">
      <c r="A1882" s="9">
        <v>1881</v>
      </c>
      <c r="B1882" s="9" t="s">
        <v>9</v>
      </c>
      <c r="C1882" s="9">
        <v>1927</v>
      </c>
      <c r="D1882" s="10">
        <v>45729</v>
      </c>
      <c r="E1882" s="11" t="str">
        <f>+HYPERLINK("http://trademark.i-assist.jp/data/china/image_1927th/82510688.pdf","82510688")</f>
        <v>82510688</v>
      </c>
      <c r="F1882" s="9" t="s">
        <v>5255</v>
      </c>
      <c r="G1882" s="9" t="s">
        <v>5256</v>
      </c>
      <c r="H1882" s="9" t="s">
        <v>5257</v>
      </c>
      <c r="I1882" s="10">
        <v>45638</v>
      </c>
    </row>
    <row r="1883" spans="1:9" x14ac:dyDescent="0.15">
      <c r="A1883" s="9">
        <v>1882</v>
      </c>
      <c r="B1883" s="9" t="s">
        <v>9</v>
      </c>
      <c r="C1883" s="9">
        <v>1927</v>
      </c>
      <c r="D1883" s="10">
        <v>45729</v>
      </c>
      <c r="E1883" s="11" t="str">
        <f>+HYPERLINK("http://trademark.i-assist.jp/data/china/image_1927th/82510774.pdf","82510774")</f>
        <v>82510774</v>
      </c>
      <c r="F1883" s="9" t="s">
        <v>5258</v>
      </c>
      <c r="G1883" s="9" t="s">
        <v>207</v>
      </c>
      <c r="H1883" s="9" t="s">
        <v>5259</v>
      </c>
      <c r="I1883" s="10">
        <v>45638</v>
      </c>
    </row>
    <row r="1884" spans="1:9" x14ac:dyDescent="0.15">
      <c r="A1884" s="9">
        <v>1883</v>
      </c>
      <c r="B1884" s="9" t="s">
        <v>9</v>
      </c>
      <c r="C1884" s="9">
        <v>1927</v>
      </c>
      <c r="D1884" s="10">
        <v>45729</v>
      </c>
      <c r="E1884" s="11" t="str">
        <f>+HYPERLINK("http://trademark.i-assist.jp/data/china/image_1927th/82511137.pdf","82511137")</f>
        <v>82511137</v>
      </c>
      <c r="F1884" s="9" t="s">
        <v>5260</v>
      </c>
      <c r="G1884" s="12" t="s">
        <v>231</v>
      </c>
      <c r="H1884" s="9" t="s">
        <v>5261</v>
      </c>
      <c r="I1884" s="10">
        <v>45638</v>
      </c>
    </row>
    <row r="1885" spans="1:9" x14ac:dyDescent="0.15">
      <c r="A1885" s="9">
        <v>1884</v>
      </c>
      <c r="B1885" s="9" t="s">
        <v>9</v>
      </c>
      <c r="C1885" s="9">
        <v>1927</v>
      </c>
      <c r="D1885" s="10">
        <v>45729</v>
      </c>
      <c r="E1885" s="11" t="str">
        <f>+HYPERLINK("http://trademark.i-assist.jp/data/china/image_1927th/82511489.pdf","82511489")</f>
        <v>82511489</v>
      </c>
      <c r="F1885" s="9" t="s">
        <v>5262</v>
      </c>
      <c r="G1885" s="12" t="s">
        <v>52</v>
      </c>
      <c r="H1885" s="9" t="s">
        <v>5263</v>
      </c>
      <c r="I1885" s="10">
        <v>45638</v>
      </c>
    </row>
    <row r="1886" spans="1:9" x14ac:dyDescent="0.15">
      <c r="A1886" s="9">
        <v>1885</v>
      </c>
      <c r="B1886" s="9" t="s">
        <v>9</v>
      </c>
      <c r="C1886" s="9">
        <v>1927</v>
      </c>
      <c r="D1886" s="10">
        <v>45729</v>
      </c>
      <c r="E1886" s="11" t="str">
        <f>+HYPERLINK("http://trademark.i-assist.jp/data/china/image_1927th/82512012.pdf","82512012")</f>
        <v>82512012</v>
      </c>
      <c r="F1886" s="12" t="s">
        <v>5264</v>
      </c>
      <c r="G1886" s="9" t="s">
        <v>5265</v>
      </c>
      <c r="H1886" s="9" t="s">
        <v>5266</v>
      </c>
      <c r="I1886" s="10">
        <v>45638</v>
      </c>
    </row>
    <row r="1887" spans="1:9" x14ac:dyDescent="0.15">
      <c r="A1887" s="9">
        <v>1886</v>
      </c>
      <c r="B1887" s="9" t="s">
        <v>9</v>
      </c>
      <c r="C1887" s="9">
        <v>1927</v>
      </c>
      <c r="D1887" s="10">
        <v>45729</v>
      </c>
      <c r="E1887" s="11" t="str">
        <f>+HYPERLINK("http://trademark.i-assist.jp/data/china/image_1927th/82512163.pdf","82512163")</f>
        <v>82512163</v>
      </c>
      <c r="F1887" s="9" t="s">
        <v>5267</v>
      </c>
      <c r="G1887" s="9" t="s">
        <v>5268</v>
      </c>
      <c r="H1887" s="9" t="s">
        <v>5269</v>
      </c>
      <c r="I1887" s="10">
        <v>45638</v>
      </c>
    </row>
    <row r="1888" spans="1:9" x14ac:dyDescent="0.15">
      <c r="A1888" s="9">
        <v>1887</v>
      </c>
      <c r="B1888" s="9" t="s">
        <v>9</v>
      </c>
      <c r="C1888" s="9">
        <v>1927</v>
      </c>
      <c r="D1888" s="10">
        <v>45729</v>
      </c>
      <c r="E1888" s="11" t="str">
        <f>+HYPERLINK("http://trademark.i-assist.jp/data/china/image_1927th/82512804.pdf","82512804")</f>
        <v>82512804</v>
      </c>
      <c r="F1888" s="12" t="s">
        <v>16</v>
      </c>
      <c r="G1888" s="9" t="s">
        <v>5270</v>
      </c>
      <c r="H1888" s="9" t="s">
        <v>5271</v>
      </c>
      <c r="I1888" s="10">
        <v>45638</v>
      </c>
    </row>
    <row r="1889" spans="1:9" x14ac:dyDescent="0.15">
      <c r="A1889" s="9">
        <v>1888</v>
      </c>
      <c r="B1889" s="9" t="s">
        <v>9</v>
      </c>
      <c r="C1889" s="9">
        <v>1927</v>
      </c>
      <c r="D1889" s="10">
        <v>45729</v>
      </c>
      <c r="E1889" s="11" t="str">
        <f>+HYPERLINK("http://trademark.i-assist.jp/data/china/image_1927th/82512953.pdf","82512953")</f>
        <v>82512953</v>
      </c>
      <c r="F1889" s="9" t="s">
        <v>5272</v>
      </c>
      <c r="G1889" s="9" t="s">
        <v>5273</v>
      </c>
      <c r="H1889" s="9" t="s">
        <v>5274</v>
      </c>
      <c r="I1889" s="10">
        <v>45638</v>
      </c>
    </row>
    <row r="1890" spans="1:9" x14ac:dyDescent="0.15">
      <c r="A1890" s="9">
        <v>1889</v>
      </c>
      <c r="B1890" s="9" t="s">
        <v>9</v>
      </c>
      <c r="C1890" s="9">
        <v>1927</v>
      </c>
      <c r="D1890" s="10">
        <v>45729</v>
      </c>
      <c r="E1890" s="11" t="str">
        <f>+HYPERLINK("http://trademark.i-assist.jp/data/china/image_1927th/82513002.pdf","82513002")</f>
        <v>82513002</v>
      </c>
      <c r="F1890" s="9" t="s">
        <v>5275</v>
      </c>
      <c r="G1890" s="12" t="s">
        <v>5276</v>
      </c>
      <c r="H1890" s="9" t="s">
        <v>5277</v>
      </c>
      <c r="I1890" s="10">
        <v>45638</v>
      </c>
    </row>
    <row r="1891" spans="1:9" x14ac:dyDescent="0.15">
      <c r="A1891" s="9">
        <v>1890</v>
      </c>
      <c r="B1891" s="9" t="s">
        <v>9</v>
      </c>
      <c r="C1891" s="9">
        <v>1927</v>
      </c>
      <c r="D1891" s="10">
        <v>45729</v>
      </c>
      <c r="E1891" s="11" t="str">
        <f>+HYPERLINK("http://trademark.i-assist.jp/data/china/image_1927th/82513064.pdf","82513064")</f>
        <v>82513064</v>
      </c>
      <c r="F1891" s="9" t="s">
        <v>5278</v>
      </c>
      <c r="G1891" s="9" t="s">
        <v>5279</v>
      </c>
      <c r="H1891" s="12" t="s">
        <v>5280</v>
      </c>
      <c r="I1891" s="10">
        <v>45638</v>
      </c>
    </row>
    <row r="1892" spans="1:9" x14ac:dyDescent="0.15">
      <c r="A1892" s="9">
        <v>1891</v>
      </c>
      <c r="B1892" s="9" t="s">
        <v>9</v>
      </c>
      <c r="C1892" s="9">
        <v>1927</v>
      </c>
      <c r="D1892" s="10">
        <v>45729</v>
      </c>
      <c r="E1892" s="11" t="str">
        <f>+HYPERLINK("http://trademark.i-assist.jp/data/china/image_1927th/82513172.pdf","82513172")</f>
        <v>82513172</v>
      </c>
      <c r="F1892" s="9" t="s">
        <v>5281</v>
      </c>
      <c r="G1892" s="9" t="s">
        <v>5282</v>
      </c>
      <c r="H1892" s="9" t="s">
        <v>5283</v>
      </c>
      <c r="I1892" s="10">
        <v>45638</v>
      </c>
    </row>
    <row r="1893" spans="1:9" x14ac:dyDescent="0.15">
      <c r="A1893" s="9">
        <v>1892</v>
      </c>
      <c r="B1893" s="9" t="s">
        <v>9</v>
      </c>
      <c r="C1893" s="9">
        <v>1927</v>
      </c>
      <c r="D1893" s="10">
        <v>45729</v>
      </c>
      <c r="E1893" s="11" t="str">
        <f>+HYPERLINK("http://trademark.i-assist.jp/data/china/image_1927th/82513623.pdf","82513623")</f>
        <v>82513623</v>
      </c>
      <c r="F1893" s="9" t="s">
        <v>5284</v>
      </c>
      <c r="G1893" s="12" t="s">
        <v>5285</v>
      </c>
      <c r="H1893" s="9" t="s">
        <v>5286</v>
      </c>
      <c r="I1893" s="10">
        <v>45638</v>
      </c>
    </row>
    <row r="1894" spans="1:9" x14ac:dyDescent="0.15">
      <c r="A1894" s="9">
        <v>1893</v>
      </c>
      <c r="B1894" s="9" t="s">
        <v>9</v>
      </c>
      <c r="C1894" s="9">
        <v>1927</v>
      </c>
      <c r="D1894" s="10">
        <v>45729</v>
      </c>
      <c r="E1894" s="11" t="str">
        <f>+HYPERLINK("http://trademark.i-assist.jp/data/china/image_1927th/82513821.pdf","82513821")</f>
        <v>82513821</v>
      </c>
      <c r="F1894" s="9" t="s">
        <v>5287</v>
      </c>
      <c r="G1894" s="9" t="s">
        <v>132</v>
      </c>
      <c r="H1894" s="9" t="s">
        <v>5288</v>
      </c>
      <c r="I1894" s="10">
        <v>45638</v>
      </c>
    </row>
    <row r="1895" spans="1:9" x14ac:dyDescent="0.15">
      <c r="A1895" s="9">
        <v>1894</v>
      </c>
      <c r="B1895" s="9" t="s">
        <v>9</v>
      </c>
      <c r="C1895" s="9">
        <v>1927</v>
      </c>
      <c r="D1895" s="10">
        <v>45729</v>
      </c>
      <c r="E1895" s="11" t="str">
        <f>+HYPERLINK("http://trademark.i-assist.jp/data/china/image_1927th/82513964.pdf","82513964")</f>
        <v>82513964</v>
      </c>
      <c r="F1895" s="12" t="s">
        <v>5289</v>
      </c>
      <c r="G1895" s="9" t="s">
        <v>32</v>
      </c>
      <c r="H1895" s="9" t="s">
        <v>5290</v>
      </c>
      <c r="I1895" s="10">
        <v>45638</v>
      </c>
    </row>
    <row r="1896" spans="1:9" x14ac:dyDescent="0.15">
      <c r="A1896" s="9">
        <v>1895</v>
      </c>
      <c r="B1896" s="9" t="s">
        <v>9</v>
      </c>
      <c r="C1896" s="9">
        <v>1927</v>
      </c>
      <c r="D1896" s="10">
        <v>45729</v>
      </c>
      <c r="E1896" s="11" t="str">
        <f>+HYPERLINK("http://trademark.i-assist.jp/data/china/image_1927th/82514275.pdf","82514275")</f>
        <v>82514275</v>
      </c>
      <c r="F1896" s="9" t="s">
        <v>5291</v>
      </c>
      <c r="G1896" s="12" t="s">
        <v>5292</v>
      </c>
      <c r="H1896" s="9" t="s">
        <v>5293</v>
      </c>
      <c r="I1896" s="10">
        <v>45638</v>
      </c>
    </row>
    <row r="1897" spans="1:9" x14ac:dyDescent="0.15">
      <c r="A1897" s="9">
        <v>1896</v>
      </c>
      <c r="B1897" s="9" t="s">
        <v>9</v>
      </c>
      <c r="C1897" s="9">
        <v>1927</v>
      </c>
      <c r="D1897" s="10">
        <v>45729</v>
      </c>
      <c r="E1897" s="11" t="str">
        <f>+HYPERLINK("http://trademark.i-assist.jp/data/china/image_1927th/82514701.pdf","82514701")</f>
        <v>82514701</v>
      </c>
      <c r="F1897" s="9" t="s">
        <v>5294</v>
      </c>
      <c r="G1897" s="9" t="s">
        <v>5155</v>
      </c>
      <c r="H1897" s="9" t="s">
        <v>5295</v>
      </c>
      <c r="I1897" s="10">
        <v>45638</v>
      </c>
    </row>
    <row r="1898" spans="1:9" x14ac:dyDescent="0.15">
      <c r="A1898" s="9">
        <v>1897</v>
      </c>
      <c r="B1898" s="9" t="s">
        <v>9</v>
      </c>
      <c r="C1898" s="9">
        <v>1927</v>
      </c>
      <c r="D1898" s="10">
        <v>45729</v>
      </c>
      <c r="E1898" s="11" t="str">
        <f>+HYPERLINK("http://trademark.i-assist.jp/data/china/image_1927th/82515051.pdf","82515051")</f>
        <v>82515051</v>
      </c>
      <c r="F1898" s="12" t="s">
        <v>16</v>
      </c>
      <c r="G1898" s="12" t="s">
        <v>213</v>
      </c>
      <c r="H1898" s="9" t="s">
        <v>5296</v>
      </c>
      <c r="I1898" s="10">
        <v>45638</v>
      </c>
    </row>
    <row r="1899" spans="1:9" x14ac:dyDescent="0.15">
      <c r="A1899" s="9">
        <v>1898</v>
      </c>
      <c r="B1899" s="9" t="s">
        <v>9</v>
      </c>
      <c r="C1899" s="9">
        <v>1927</v>
      </c>
      <c r="D1899" s="10">
        <v>45729</v>
      </c>
      <c r="E1899" s="11" t="str">
        <f>+HYPERLINK("http://trademark.i-assist.jp/data/china/image_1927th/82515155.pdf","82515155")</f>
        <v>82515155</v>
      </c>
      <c r="F1899" s="9" t="s">
        <v>5297</v>
      </c>
      <c r="G1899" s="9" t="s">
        <v>5298</v>
      </c>
      <c r="H1899" s="9" t="s">
        <v>5299</v>
      </c>
      <c r="I1899" s="10">
        <v>45638</v>
      </c>
    </row>
    <row r="1900" spans="1:9" x14ac:dyDescent="0.15">
      <c r="A1900" s="9">
        <v>1899</v>
      </c>
      <c r="B1900" s="9" t="s">
        <v>9</v>
      </c>
      <c r="C1900" s="9">
        <v>1927</v>
      </c>
      <c r="D1900" s="10">
        <v>45729</v>
      </c>
      <c r="E1900" s="11" t="str">
        <f>+HYPERLINK("http://trademark.i-assist.jp/data/china/image_1927th/82515157.pdf","82515157")</f>
        <v>82515157</v>
      </c>
      <c r="F1900" s="9" t="s">
        <v>5300</v>
      </c>
      <c r="G1900" s="9" t="s">
        <v>5301</v>
      </c>
      <c r="H1900" s="9" t="s">
        <v>5302</v>
      </c>
      <c r="I1900" s="10">
        <v>45638</v>
      </c>
    </row>
    <row r="1901" spans="1:9" x14ac:dyDescent="0.15">
      <c r="A1901" s="9">
        <v>1900</v>
      </c>
      <c r="B1901" s="9" t="s">
        <v>9</v>
      </c>
      <c r="C1901" s="9">
        <v>1927</v>
      </c>
      <c r="D1901" s="10">
        <v>45729</v>
      </c>
      <c r="E1901" s="11" t="str">
        <f>+HYPERLINK("http://trademark.i-assist.jp/data/china/image_1927th/82515187.pdf","82515187")</f>
        <v>82515187</v>
      </c>
      <c r="F1901" s="9" t="s">
        <v>5303</v>
      </c>
      <c r="G1901" s="9" t="s">
        <v>5304</v>
      </c>
      <c r="H1901" s="9" t="s">
        <v>5305</v>
      </c>
      <c r="I1901" s="10">
        <v>45638</v>
      </c>
    </row>
    <row r="1902" spans="1:9" x14ac:dyDescent="0.15">
      <c r="A1902" s="9">
        <v>1901</v>
      </c>
      <c r="B1902" s="9" t="s">
        <v>9</v>
      </c>
      <c r="C1902" s="9">
        <v>1927</v>
      </c>
      <c r="D1902" s="10">
        <v>45729</v>
      </c>
      <c r="E1902" s="11" t="str">
        <f>+HYPERLINK("http://trademark.i-assist.jp/data/china/image_1927th/82515420.pdf","82515420")</f>
        <v>82515420</v>
      </c>
      <c r="F1902" s="12" t="s">
        <v>5306</v>
      </c>
      <c r="G1902" s="9" t="s">
        <v>5202</v>
      </c>
      <c r="H1902" s="9" t="s">
        <v>5307</v>
      </c>
      <c r="I1902" s="10">
        <v>45638</v>
      </c>
    </row>
    <row r="1903" spans="1:9" x14ac:dyDescent="0.15">
      <c r="A1903" s="9">
        <v>1902</v>
      </c>
      <c r="B1903" s="9" t="s">
        <v>9</v>
      </c>
      <c r="C1903" s="9">
        <v>1927</v>
      </c>
      <c r="D1903" s="10">
        <v>45729</v>
      </c>
      <c r="E1903" s="11" t="str">
        <f>+HYPERLINK("http://trademark.i-assist.jp/data/china/image_1927th/82515593.pdf","82515593")</f>
        <v>82515593</v>
      </c>
      <c r="F1903" s="12" t="s">
        <v>5308</v>
      </c>
      <c r="G1903" s="9" t="s">
        <v>5309</v>
      </c>
      <c r="H1903" s="9" t="s">
        <v>5310</v>
      </c>
      <c r="I1903" s="10">
        <v>45638</v>
      </c>
    </row>
    <row r="1904" spans="1:9" x14ac:dyDescent="0.15">
      <c r="A1904" s="9">
        <v>1903</v>
      </c>
      <c r="B1904" s="9" t="s">
        <v>9</v>
      </c>
      <c r="C1904" s="9">
        <v>1927</v>
      </c>
      <c r="D1904" s="10">
        <v>45729</v>
      </c>
      <c r="E1904" s="11" t="str">
        <f>+HYPERLINK("http://trademark.i-assist.jp/data/china/image_1927th/82515669.pdf","82515669")</f>
        <v>82515669</v>
      </c>
      <c r="F1904" s="12" t="s">
        <v>5311</v>
      </c>
      <c r="G1904" s="12" t="s">
        <v>5276</v>
      </c>
      <c r="H1904" s="9" t="s">
        <v>5312</v>
      </c>
      <c r="I1904" s="10">
        <v>45638</v>
      </c>
    </row>
    <row r="1905" spans="1:9" x14ac:dyDescent="0.15">
      <c r="A1905" s="9">
        <v>1904</v>
      </c>
      <c r="B1905" s="9" t="s">
        <v>9</v>
      </c>
      <c r="C1905" s="9">
        <v>1927</v>
      </c>
      <c r="D1905" s="10">
        <v>45729</v>
      </c>
      <c r="E1905" s="11" t="str">
        <f>+HYPERLINK("http://trademark.i-assist.jp/data/china/image_1927th/82515682.pdf","82515682")</f>
        <v>82515682</v>
      </c>
      <c r="F1905" s="9" t="s">
        <v>5313</v>
      </c>
      <c r="G1905" s="9" t="s">
        <v>5268</v>
      </c>
      <c r="H1905" s="9" t="s">
        <v>5314</v>
      </c>
      <c r="I1905" s="10">
        <v>45638</v>
      </c>
    </row>
    <row r="1906" spans="1:9" x14ac:dyDescent="0.15">
      <c r="A1906" s="9">
        <v>1905</v>
      </c>
      <c r="B1906" s="9" t="s">
        <v>9</v>
      </c>
      <c r="C1906" s="9">
        <v>1927</v>
      </c>
      <c r="D1906" s="10">
        <v>45729</v>
      </c>
      <c r="E1906" s="11" t="str">
        <f>+HYPERLINK("http://trademark.i-assist.jp/data/china/image_1927th/82515789.pdf","82515789")</f>
        <v>82515789</v>
      </c>
      <c r="F1906" s="9" t="s">
        <v>5315</v>
      </c>
      <c r="G1906" s="12" t="s">
        <v>5316</v>
      </c>
      <c r="H1906" s="9" t="s">
        <v>5317</v>
      </c>
      <c r="I1906" s="10">
        <v>45638</v>
      </c>
    </row>
    <row r="1907" spans="1:9" x14ac:dyDescent="0.15">
      <c r="A1907" s="9">
        <v>1906</v>
      </c>
      <c r="B1907" s="9" t="s">
        <v>9</v>
      </c>
      <c r="C1907" s="9">
        <v>1927</v>
      </c>
      <c r="D1907" s="10">
        <v>45729</v>
      </c>
      <c r="E1907" s="11" t="str">
        <f>+HYPERLINK("http://trademark.i-assist.jp/data/china/image_1927th/82515838.pdf","82515838")</f>
        <v>82515838</v>
      </c>
      <c r="F1907" s="9" t="s">
        <v>5318</v>
      </c>
      <c r="G1907" s="9" t="s">
        <v>5319</v>
      </c>
      <c r="H1907" s="9" t="s">
        <v>5320</v>
      </c>
      <c r="I1907" s="10">
        <v>45638</v>
      </c>
    </row>
    <row r="1908" spans="1:9" x14ac:dyDescent="0.15">
      <c r="A1908" s="9">
        <v>1907</v>
      </c>
      <c r="B1908" s="9" t="s">
        <v>9</v>
      </c>
      <c r="C1908" s="9">
        <v>1927</v>
      </c>
      <c r="D1908" s="10">
        <v>45729</v>
      </c>
      <c r="E1908" s="11" t="str">
        <f>+HYPERLINK("http://trademark.i-assist.jp/data/china/image_1927th/82516013.pdf","82516013")</f>
        <v>82516013</v>
      </c>
      <c r="F1908" s="9" t="s">
        <v>5321</v>
      </c>
      <c r="G1908" s="9" t="s">
        <v>5322</v>
      </c>
      <c r="H1908" s="12" t="s">
        <v>5323</v>
      </c>
      <c r="I1908" s="10">
        <v>45638</v>
      </c>
    </row>
    <row r="1909" spans="1:9" x14ac:dyDescent="0.15">
      <c r="A1909" s="9">
        <v>1908</v>
      </c>
      <c r="B1909" s="9" t="s">
        <v>9</v>
      </c>
      <c r="C1909" s="9">
        <v>1927</v>
      </c>
      <c r="D1909" s="10">
        <v>45729</v>
      </c>
      <c r="E1909" s="11" t="str">
        <f>+HYPERLINK("http://trademark.i-assist.jp/data/china/image_1927th/82516028.pdf","82516028")</f>
        <v>82516028</v>
      </c>
      <c r="F1909" s="12" t="s">
        <v>5324</v>
      </c>
      <c r="G1909" s="12" t="s">
        <v>5325</v>
      </c>
      <c r="H1909" s="9" t="s">
        <v>5326</v>
      </c>
      <c r="I1909" s="10">
        <v>45638</v>
      </c>
    </row>
    <row r="1910" spans="1:9" x14ac:dyDescent="0.15">
      <c r="A1910" s="9">
        <v>1909</v>
      </c>
      <c r="B1910" s="9" t="s">
        <v>9</v>
      </c>
      <c r="C1910" s="9">
        <v>1927</v>
      </c>
      <c r="D1910" s="10">
        <v>45729</v>
      </c>
      <c r="E1910" s="11" t="str">
        <f>+HYPERLINK("http://trademark.i-assist.jp/data/china/image_1927th/82516533.pdf","82516533")</f>
        <v>82516533</v>
      </c>
      <c r="F1910" s="12" t="s">
        <v>5327</v>
      </c>
      <c r="G1910" s="9" t="s">
        <v>5328</v>
      </c>
      <c r="H1910" s="9" t="s">
        <v>5329</v>
      </c>
      <c r="I1910" s="10">
        <v>45638</v>
      </c>
    </row>
    <row r="1911" spans="1:9" x14ac:dyDescent="0.15">
      <c r="A1911" s="9">
        <v>1910</v>
      </c>
      <c r="B1911" s="9" t="s">
        <v>9</v>
      </c>
      <c r="C1911" s="9">
        <v>1927</v>
      </c>
      <c r="D1911" s="10">
        <v>45729</v>
      </c>
      <c r="E1911" s="11" t="str">
        <f>+HYPERLINK("http://trademark.i-assist.jp/data/china/image_1927th/82516667.pdf","82516667")</f>
        <v>82516667</v>
      </c>
      <c r="F1911" s="12" t="s">
        <v>16</v>
      </c>
      <c r="G1911" s="9" t="s">
        <v>5330</v>
      </c>
      <c r="H1911" s="9" t="s">
        <v>5331</v>
      </c>
      <c r="I1911" s="10">
        <v>45638</v>
      </c>
    </row>
    <row r="1912" spans="1:9" x14ac:dyDescent="0.15">
      <c r="A1912" s="9">
        <v>1911</v>
      </c>
      <c r="B1912" s="9" t="s">
        <v>9</v>
      </c>
      <c r="C1912" s="9">
        <v>1927</v>
      </c>
      <c r="D1912" s="10">
        <v>45729</v>
      </c>
      <c r="E1912" s="11" t="str">
        <f>+HYPERLINK("http://trademark.i-assist.jp/data/china/image_1927th/82516762.pdf","82516762")</f>
        <v>82516762</v>
      </c>
      <c r="F1912" s="9" t="s">
        <v>5332</v>
      </c>
      <c r="G1912" s="9" t="s">
        <v>5333</v>
      </c>
      <c r="H1912" s="9" t="s">
        <v>5334</v>
      </c>
      <c r="I1912" s="10">
        <v>45638</v>
      </c>
    </row>
    <row r="1913" spans="1:9" x14ac:dyDescent="0.15">
      <c r="A1913" s="9">
        <v>1912</v>
      </c>
      <c r="B1913" s="9" t="s">
        <v>9</v>
      </c>
      <c r="C1913" s="9">
        <v>1927</v>
      </c>
      <c r="D1913" s="10">
        <v>45729</v>
      </c>
      <c r="E1913" s="11" t="str">
        <f>+HYPERLINK("http://trademark.i-assist.jp/data/china/image_1927th/82516981.pdf","82516981")</f>
        <v>82516981</v>
      </c>
      <c r="F1913" s="9" t="s">
        <v>5335</v>
      </c>
      <c r="G1913" s="12" t="s">
        <v>5336</v>
      </c>
      <c r="H1913" s="9" t="s">
        <v>5337</v>
      </c>
      <c r="I1913" s="10">
        <v>45638</v>
      </c>
    </row>
    <row r="1914" spans="1:9" x14ac:dyDescent="0.15">
      <c r="A1914" s="9">
        <v>1913</v>
      </c>
      <c r="B1914" s="9" t="s">
        <v>9</v>
      </c>
      <c r="C1914" s="9">
        <v>1927</v>
      </c>
      <c r="D1914" s="10">
        <v>45729</v>
      </c>
      <c r="E1914" s="11" t="str">
        <f>+HYPERLINK("http://trademark.i-assist.jp/data/china/image_1927th/82517075.pdf","82517075")</f>
        <v>82517075</v>
      </c>
      <c r="F1914" s="9" t="s">
        <v>5338</v>
      </c>
      <c r="G1914" s="9" t="s">
        <v>154</v>
      </c>
      <c r="H1914" s="9" t="s">
        <v>5339</v>
      </c>
      <c r="I1914" s="10">
        <v>45638</v>
      </c>
    </row>
    <row r="1915" spans="1:9" x14ac:dyDescent="0.15">
      <c r="A1915" s="9">
        <v>1914</v>
      </c>
      <c r="B1915" s="9" t="s">
        <v>9</v>
      </c>
      <c r="C1915" s="9">
        <v>1927</v>
      </c>
      <c r="D1915" s="10">
        <v>45729</v>
      </c>
      <c r="E1915" s="11" t="str">
        <f>+HYPERLINK("http://trademark.i-assist.jp/data/china/image_1927th/82517160.pdf","82517160")</f>
        <v>82517160</v>
      </c>
      <c r="F1915" s="12" t="s">
        <v>5340</v>
      </c>
      <c r="G1915" s="9" t="s">
        <v>5341</v>
      </c>
      <c r="H1915" s="9" t="s">
        <v>5342</v>
      </c>
      <c r="I1915" s="10">
        <v>45638</v>
      </c>
    </row>
    <row r="1916" spans="1:9" x14ac:dyDescent="0.15">
      <c r="A1916" s="9">
        <v>1915</v>
      </c>
      <c r="B1916" s="9" t="s">
        <v>9</v>
      </c>
      <c r="C1916" s="9">
        <v>1927</v>
      </c>
      <c r="D1916" s="10">
        <v>45729</v>
      </c>
      <c r="E1916" s="11" t="str">
        <f>+HYPERLINK("http://trademark.i-assist.jp/data/china/image_1927th/82517671.pdf","82517671")</f>
        <v>82517671</v>
      </c>
      <c r="F1916" s="9" t="s">
        <v>5343</v>
      </c>
      <c r="G1916" s="9" t="s">
        <v>5344</v>
      </c>
      <c r="H1916" s="9" t="s">
        <v>5345</v>
      </c>
      <c r="I1916" s="10">
        <v>45638</v>
      </c>
    </row>
    <row r="1917" spans="1:9" x14ac:dyDescent="0.15">
      <c r="A1917" s="9">
        <v>1916</v>
      </c>
      <c r="B1917" s="9" t="s">
        <v>9</v>
      </c>
      <c r="C1917" s="9">
        <v>1927</v>
      </c>
      <c r="D1917" s="10">
        <v>45729</v>
      </c>
      <c r="E1917" s="11" t="str">
        <f>+HYPERLINK("http://trademark.i-assist.jp/data/china/image_1927th/82517682.pdf","82517682")</f>
        <v>82517682</v>
      </c>
      <c r="F1917" s="12" t="s">
        <v>5346</v>
      </c>
      <c r="G1917" s="12" t="s">
        <v>5205</v>
      </c>
      <c r="H1917" s="9" t="s">
        <v>5347</v>
      </c>
      <c r="I1917" s="10">
        <v>45638</v>
      </c>
    </row>
    <row r="1918" spans="1:9" x14ac:dyDescent="0.15">
      <c r="A1918" s="9">
        <v>1917</v>
      </c>
      <c r="B1918" s="9" t="s">
        <v>9</v>
      </c>
      <c r="C1918" s="9">
        <v>1927</v>
      </c>
      <c r="D1918" s="10">
        <v>45729</v>
      </c>
      <c r="E1918" s="11" t="str">
        <f>+HYPERLINK("http://trademark.i-assist.jp/data/china/image_1927th/82517844.pdf","82517844")</f>
        <v>82517844</v>
      </c>
      <c r="F1918" s="9" t="s">
        <v>5348</v>
      </c>
      <c r="G1918" s="12" t="s">
        <v>5349</v>
      </c>
      <c r="H1918" s="9" t="s">
        <v>5350</v>
      </c>
      <c r="I1918" s="10">
        <v>45638</v>
      </c>
    </row>
    <row r="1919" spans="1:9" x14ac:dyDescent="0.15">
      <c r="A1919" s="9">
        <v>1918</v>
      </c>
      <c r="B1919" s="9" t="s">
        <v>9</v>
      </c>
      <c r="C1919" s="9">
        <v>1927</v>
      </c>
      <c r="D1919" s="10">
        <v>45729</v>
      </c>
      <c r="E1919" s="11" t="str">
        <f>+HYPERLINK("http://trademark.i-assist.jp/data/china/image_1927th/82518062.pdf","82518062")</f>
        <v>82518062</v>
      </c>
      <c r="F1919" s="9" t="s">
        <v>5351</v>
      </c>
      <c r="G1919" s="9" t="s">
        <v>5352</v>
      </c>
      <c r="H1919" s="9" t="s">
        <v>5353</v>
      </c>
      <c r="I1919" s="10">
        <v>45638</v>
      </c>
    </row>
    <row r="1920" spans="1:9" x14ac:dyDescent="0.15">
      <c r="A1920" s="9">
        <v>1919</v>
      </c>
      <c r="B1920" s="9" t="s">
        <v>9</v>
      </c>
      <c r="C1920" s="9">
        <v>1927</v>
      </c>
      <c r="D1920" s="10">
        <v>45729</v>
      </c>
      <c r="E1920" s="11" t="str">
        <f>+HYPERLINK("http://trademark.i-assist.jp/data/china/image_1927th/82518075.pdf","82518075")</f>
        <v>82518075</v>
      </c>
      <c r="F1920" s="9" t="s">
        <v>5354</v>
      </c>
      <c r="G1920" s="9" t="s">
        <v>5355</v>
      </c>
      <c r="H1920" s="9" t="s">
        <v>5356</v>
      </c>
      <c r="I1920" s="10">
        <v>45638</v>
      </c>
    </row>
    <row r="1921" spans="1:9" x14ac:dyDescent="0.15">
      <c r="A1921" s="9">
        <v>1920</v>
      </c>
      <c r="B1921" s="9" t="s">
        <v>9</v>
      </c>
      <c r="C1921" s="9">
        <v>1927</v>
      </c>
      <c r="D1921" s="10">
        <v>45729</v>
      </c>
      <c r="E1921" s="11" t="str">
        <f>+HYPERLINK("http://trademark.i-assist.jp/data/china/image_1927th/82518083.pdf","82518083")</f>
        <v>82518083</v>
      </c>
      <c r="F1921" s="9" t="s">
        <v>5142</v>
      </c>
      <c r="G1921" s="12" t="s">
        <v>5143</v>
      </c>
      <c r="H1921" s="9" t="s">
        <v>5357</v>
      </c>
      <c r="I1921" s="10">
        <v>45638</v>
      </c>
    </row>
    <row r="1922" spans="1:9" x14ac:dyDescent="0.15">
      <c r="A1922" s="9">
        <v>1921</v>
      </c>
      <c r="B1922" s="9" t="s">
        <v>9</v>
      </c>
      <c r="C1922" s="9">
        <v>1927</v>
      </c>
      <c r="D1922" s="10">
        <v>45729</v>
      </c>
      <c r="E1922" s="11" t="str">
        <f>+HYPERLINK("http://trademark.i-assist.jp/data/china/image_1927th/82518129.pdf","82518129")</f>
        <v>82518129</v>
      </c>
      <c r="F1922" s="9" t="s">
        <v>5358</v>
      </c>
      <c r="G1922" s="9" t="s">
        <v>5359</v>
      </c>
      <c r="H1922" s="9" t="s">
        <v>5360</v>
      </c>
      <c r="I1922" s="10">
        <v>45638</v>
      </c>
    </row>
    <row r="1923" spans="1:9" x14ac:dyDescent="0.15">
      <c r="A1923" s="9">
        <v>1922</v>
      </c>
      <c r="B1923" s="9" t="s">
        <v>9</v>
      </c>
      <c r="C1923" s="9">
        <v>1927</v>
      </c>
      <c r="D1923" s="10">
        <v>45729</v>
      </c>
      <c r="E1923" s="11" t="str">
        <f>+HYPERLINK("http://trademark.i-assist.jp/data/china/image_1927th/82518492.pdf","82518492")</f>
        <v>82518492</v>
      </c>
      <c r="F1923" s="9" t="s">
        <v>5361</v>
      </c>
      <c r="G1923" s="9" t="s">
        <v>5282</v>
      </c>
      <c r="H1923" s="9" t="s">
        <v>5362</v>
      </c>
      <c r="I1923" s="10">
        <v>45638</v>
      </c>
    </row>
    <row r="1924" spans="1:9" x14ac:dyDescent="0.15">
      <c r="A1924" s="9">
        <v>1923</v>
      </c>
      <c r="B1924" s="9" t="s">
        <v>9</v>
      </c>
      <c r="C1924" s="9">
        <v>1927</v>
      </c>
      <c r="D1924" s="10">
        <v>45729</v>
      </c>
      <c r="E1924" s="11" t="str">
        <f>+HYPERLINK("http://trademark.i-assist.jp/data/china/image_1927th/82518634.pdf","82518634")</f>
        <v>82518634</v>
      </c>
      <c r="F1924" s="12" t="s">
        <v>5363</v>
      </c>
      <c r="G1924" s="9" t="s">
        <v>5364</v>
      </c>
      <c r="H1924" s="9" t="s">
        <v>5365</v>
      </c>
      <c r="I1924" s="10">
        <v>45638</v>
      </c>
    </row>
    <row r="1925" spans="1:9" x14ac:dyDescent="0.15">
      <c r="A1925" s="9">
        <v>1924</v>
      </c>
      <c r="B1925" s="9" t="s">
        <v>9</v>
      </c>
      <c r="C1925" s="9">
        <v>1927</v>
      </c>
      <c r="D1925" s="10">
        <v>45729</v>
      </c>
      <c r="E1925" s="11" t="str">
        <f>+HYPERLINK("http://trademark.i-assist.jp/data/china/image_1927th/82518636.pdf","82518636")</f>
        <v>82518636</v>
      </c>
      <c r="F1925" s="9" t="s">
        <v>5366</v>
      </c>
      <c r="G1925" s="9" t="s">
        <v>5367</v>
      </c>
      <c r="H1925" s="9" t="s">
        <v>5368</v>
      </c>
      <c r="I1925" s="10">
        <v>45638</v>
      </c>
    </row>
    <row r="1926" spans="1:9" x14ac:dyDescent="0.15">
      <c r="A1926" s="9">
        <v>1925</v>
      </c>
      <c r="B1926" s="9" t="s">
        <v>9</v>
      </c>
      <c r="C1926" s="9">
        <v>1927</v>
      </c>
      <c r="D1926" s="10">
        <v>45729</v>
      </c>
      <c r="E1926" s="11" t="str">
        <f>+HYPERLINK("http://trademark.i-assist.jp/data/china/image_1927th/82519551.pdf","82519551")</f>
        <v>82519551</v>
      </c>
      <c r="F1926" s="9" t="s">
        <v>5369</v>
      </c>
      <c r="G1926" s="9" t="s">
        <v>5370</v>
      </c>
      <c r="H1926" s="9" t="s">
        <v>5371</v>
      </c>
      <c r="I1926" s="10">
        <v>45638</v>
      </c>
    </row>
    <row r="1927" spans="1:9" x14ac:dyDescent="0.15">
      <c r="A1927" s="9">
        <v>1926</v>
      </c>
      <c r="B1927" s="9" t="s">
        <v>9</v>
      </c>
      <c r="C1927" s="9">
        <v>1927</v>
      </c>
      <c r="D1927" s="10">
        <v>45729</v>
      </c>
      <c r="E1927" s="11" t="str">
        <f>+HYPERLINK("http://trademark.i-assist.jp/data/china/image_1927th/82519560.pdf","82519560")</f>
        <v>82519560</v>
      </c>
      <c r="F1927" s="9" t="s">
        <v>5372</v>
      </c>
      <c r="G1927" s="9" t="s">
        <v>5373</v>
      </c>
      <c r="H1927" s="12" t="s">
        <v>5374</v>
      </c>
      <c r="I1927" s="10">
        <v>45638</v>
      </c>
    </row>
    <row r="1928" spans="1:9" x14ac:dyDescent="0.15">
      <c r="A1928" s="9">
        <v>1927</v>
      </c>
      <c r="B1928" s="9" t="s">
        <v>9</v>
      </c>
      <c r="C1928" s="9">
        <v>1927</v>
      </c>
      <c r="D1928" s="10">
        <v>45729</v>
      </c>
      <c r="E1928" s="11" t="str">
        <f>+HYPERLINK("http://trademark.i-assist.jp/data/china/image_1927th/82519757.pdf","82519757")</f>
        <v>82519757</v>
      </c>
      <c r="F1928" s="9" t="s">
        <v>5375</v>
      </c>
      <c r="G1928" s="12" t="s">
        <v>5376</v>
      </c>
      <c r="H1928" s="9" t="s">
        <v>5377</v>
      </c>
      <c r="I1928" s="10">
        <v>45638</v>
      </c>
    </row>
    <row r="1929" spans="1:9" x14ac:dyDescent="0.15">
      <c r="A1929" s="9">
        <v>1928</v>
      </c>
      <c r="B1929" s="9" t="s">
        <v>9</v>
      </c>
      <c r="C1929" s="9">
        <v>1927</v>
      </c>
      <c r="D1929" s="10">
        <v>45729</v>
      </c>
      <c r="E1929" s="11" t="str">
        <f>+HYPERLINK("http://trademark.i-assist.jp/data/china/image_1927th/82519956.pdf","82519956")</f>
        <v>82519956</v>
      </c>
      <c r="F1929" s="12" t="s">
        <v>5378</v>
      </c>
      <c r="G1929" s="9" t="s">
        <v>5379</v>
      </c>
      <c r="H1929" s="12" t="s">
        <v>5380</v>
      </c>
      <c r="I1929" s="10">
        <v>45638</v>
      </c>
    </row>
    <row r="1930" spans="1:9" x14ac:dyDescent="0.15">
      <c r="A1930" s="9">
        <v>1929</v>
      </c>
      <c r="B1930" s="9" t="s">
        <v>9</v>
      </c>
      <c r="C1930" s="9">
        <v>1927</v>
      </c>
      <c r="D1930" s="10">
        <v>45729</v>
      </c>
      <c r="E1930" s="11" t="str">
        <f>+HYPERLINK("http://trademark.i-assist.jp/data/china/image_1927th/82520119.pdf","82520119")</f>
        <v>82520119</v>
      </c>
      <c r="F1930" s="9" t="s">
        <v>5381</v>
      </c>
      <c r="G1930" s="12" t="s">
        <v>5205</v>
      </c>
      <c r="H1930" s="9" t="s">
        <v>5382</v>
      </c>
      <c r="I1930" s="10">
        <v>45638</v>
      </c>
    </row>
    <row r="1931" spans="1:9" x14ac:dyDescent="0.15">
      <c r="A1931" s="9">
        <v>1930</v>
      </c>
      <c r="B1931" s="9" t="s">
        <v>9</v>
      </c>
      <c r="C1931" s="9">
        <v>1927</v>
      </c>
      <c r="D1931" s="10">
        <v>45729</v>
      </c>
      <c r="E1931" s="11" t="str">
        <f>+HYPERLINK("http://trademark.i-assist.jp/data/china/image_1927th/82520191.pdf","82520191")</f>
        <v>82520191</v>
      </c>
      <c r="F1931" s="9" t="s">
        <v>5383</v>
      </c>
      <c r="G1931" s="12" t="s">
        <v>5384</v>
      </c>
      <c r="H1931" s="9" t="s">
        <v>5385</v>
      </c>
      <c r="I1931" s="10">
        <v>45638</v>
      </c>
    </row>
    <row r="1932" spans="1:9" x14ac:dyDescent="0.15">
      <c r="A1932" s="9">
        <v>1931</v>
      </c>
      <c r="B1932" s="9" t="s">
        <v>9</v>
      </c>
      <c r="C1932" s="9">
        <v>1927</v>
      </c>
      <c r="D1932" s="10">
        <v>45729</v>
      </c>
      <c r="E1932" s="11" t="str">
        <f>+HYPERLINK("http://trademark.i-assist.jp/data/china/image_1927th/82520669.pdf","82520669")</f>
        <v>82520669</v>
      </c>
      <c r="F1932" s="9" t="s">
        <v>5386</v>
      </c>
      <c r="G1932" s="12" t="s">
        <v>5205</v>
      </c>
      <c r="H1932" s="9" t="s">
        <v>5387</v>
      </c>
      <c r="I1932" s="10">
        <v>45638</v>
      </c>
    </row>
    <row r="1933" spans="1:9" x14ac:dyDescent="0.15">
      <c r="A1933" s="9">
        <v>1932</v>
      </c>
      <c r="B1933" s="9" t="s">
        <v>9</v>
      </c>
      <c r="C1933" s="9">
        <v>1927</v>
      </c>
      <c r="D1933" s="10">
        <v>45729</v>
      </c>
      <c r="E1933" s="11" t="str">
        <f>+HYPERLINK("http://trademark.i-assist.jp/data/china/image_1927th/82520671.pdf","82520671")</f>
        <v>82520671</v>
      </c>
      <c r="F1933" s="9" t="s">
        <v>2946</v>
      </c>
      <c r="G1933" s="12" t="s">
        <v>213</v>
      </c>
      <c r="H1933" s="9" t="s">
        <v>5388</v>
      </c>
      <c r="I1933" s="10">
        <v>45638</v>
      </c>
    </row>
    <row r="1934" spans="1:9" x14ac:dyDescent="0.15">
      <c r="A1934" s="9">
        <v>1933</v>
      </c>
      <c r="B1934" s="9" t="s">
        <v>9</v>
      </c>
      <c r="C1934" s="9">
        <v>1927</v>
      </c>
      <c r="D1934" s="10">
        <v>45729</v>
      </c>
      <c r="E1934" s="11" t="str">
        <f>+HYPERLINK("http://trademark.i-assist.jp/data/china/image_1927th/82520698.pdf","82520698")</f>
        <v>82520698</v>
      </c>
      <c r="F1934" s="9" t="s">
        <v>5389</v>
      </c>
      <c r="G1934" s="12" t="s">
        <v>1353</v>
      </c>
      <c r="H1934" s="9" t="s">
        <v>5390</v>
      </c>
      <c r="I1934" s="10">
        <v>45638</v>
      </c>
    </row>
    <row r="1935" spans="1:9" x14ac:dyDescent="0.15">
      <c r="A1935" s="9">
        <v>1934</v>
      </c>
      <c r="B1935" s="9" t="s">
        <v>9</v>
      </c>
      <c r="C1935" s="9">
        <v>1927</v>
      </c>
      <c r="D1935" s="10">
        <v>45729</v>
      </c>
      <c r="E1935" s="11" t="str">
        <f>+HYPERLINK("http://trademark.i-assist.jp/data/china/image_1927th/82520880.pdf","82520880")</f>
        <v>82520880</v>
      </c>
      <c r="F1935" s="9" t="s">
        <v>5391</v>
      </c>
      <c r="G1935" s="9" t="s">
        <v>183</v>
      </c>
      <c r="H1935" s="9" t="s">
        <v>5392</v>
      </c>
      <c r="I1935" s="10">
        <v>45638</v>
      </c>
    </row>
    <row r="1936" spans="1:9" x14ac:dyDescent="0.15">
      <c r="A1936" s="9">
        <v>1935</v>
      </c>
      <c r="B1936" s="9" t="s">
        <v>9</v>
      </c>
      <c r="C1936" s="9">
        <v>1927</v>
      </c>
      <c r="D1936" s="10">
        <v>45729</v>
      </c>
      <c r="E1936" s="11" t="str">
        <f>+HYPERLINK("http://trademark.i-assist.jp/data/china/image_1927th/82520918.pdf","82520918")</f>
        <v>82520918</v>
      </c>
      <c r="F1936" s="9" t="s">
        <v>5393</v>
      </c>
      <c r="G1936" s="12" t="s">
        <v>5394</v>
      </c>
      <c r="H1936" s="9" t="s">
        <v>5395</v>
      </c>
      <c r="I1936" s="10">
        <v>45638</v>
      </c>
    </row>
    <row r="1937" spans="1:9" x14ac:dyDescent="0.15">
      <c r="A1937" s="9">
        <v>1936</v>
      </c>
      <c r="B1937" s="9" t="s">
        <v>9</v>
      </c>
      <c r="C1937" s="9">
        <v>1927</v>
      </c>
      <c r="D1937" s="10">
        <v>45729</v>
      </c>
      <c r="E1937" s="11" t="str">
        <f>+HYPERLINK("http://trademark.i-assist.jp/data/china/image_1927th/82521034.pdf","82521034")</f>
        <v>82521034</v>
      </c>
      <c r="F1937" s="9" t="s">
        <v>5396</v>
      </c>
      <c r="G1937" s="9" t="s">
        <v>5397</v>
      </c>
      <c r="H1937" s="9" t="s">
        <v>5398</v>
      </c>
      <c r="I1937" s="10">
        <v>45638</v>
      </c>
    </row>
    <row r="1938" spans="1:9" x14ac:dyDescent="0.15">
      <c r="A1938" s="9">
        <v>1937</v>
      </c>
      <c r="B1938" s="9" t="s">
        <v>9</v>
      </c>
      <c r="C1938" s="9">
        <v>1927</v>
      </c>
      <c r="D1938" s="10">
        <v>45729</v>
      </c>
      <c r="E1938" s="11" t="str">
        <f>+HYPERLINK("http://trademark.i-assist.jp/data/china/image_1927th/82521099.pdf","82521099")</f>
        <v>82521099</v>
      </c>
      <c r="F1938" s="9" t="s">
        <v>5148</v>
      </c>
      <c r="G1938" s="9" t="s">
        <v>5149</v>
      </c>
      <c r="H1938" s="9" t="s">
        <v>5399</v>
      </c>
      <c r="I1938" s="10">
        <v>45638</v>
      </c>
    </row>
    <row r="1939" spans="1:9" x14ac:dyDescent="0.15">
      <c r="A1939" s="9">
        <v>1938</v>
      </c>
      <c r="B1939" s="9" t="s">
        <v>9</v>
      </c>
      <c r="C1939" s="9">
        <v>1927</v>
      </c>
      <c r="D1939" s="10">
        <v>45729</v>
      </c>
      <c r="E1939" s="11" t="str">
        <f>+HYPERLINK("http://trademark.i-assist.jp/data/china/image_1927th/82521256.pdf","82521256")</f>
        <v>82521256</v>
      </c>
      <c r="F1939" s="9" t="s">
        <v>5400</v>
      </c>
      <c r="G1939" s="12" t="s">
        <v>5401</v>
      </c>
      <c r="H1939" s="9" t="s">
        <v>5402</v>
      </c>
      <c r="I1939" s="10">
        <v>45638</v>
      </c>
    </row>
    <row r="1940" spans="1:9" x14ac:dyDescent="0.15">
      <c r="A1940" s="9">
        <v>1939</v>
      </c>
      <c r="B1940" s="9" t="s">
        <v>9</v>
      </c>
      <c r="C1940" s="9">
        <v>1927</v>
      </c>
      <c r="D1940" s="10">
        <v>45729</v>
      </c>
      <c r="E1940" s="11" t="str">
        <f>+HYPERLINK("http://trademark.i-assist.jp/data/china/image_1927th/82521325.pdf","82521325")</f>
        <v>82521325</v>
      </c>
      <c r="F1940" s="12" t="s">
        <v>5403</v>
      </c>
      <c r="G1940" s="9" t="s">
        <v>5404</v>
      </c>
      <c r="H1940" s="9" t="s">
        <v>5405</v>
      </c>
      <c r="I1940" s="10">
        <v>45638</v>
      </c>
    </row>
    <row r="1941" spans="1:9" x14ac:dyDescent="0.15">
      <c r="A1941" s="9">
        <v>1940</v>
      </c>
      <c r="B1941" s="9" t="s">
        <v>9</v>
      </c>
      <c r="C1941" s="9">
        <v>1927</v>
      </c>
      <c r="D1941" s="10">
        <v>45729</v>
      </c>
      <c r="E1941" s="11" t="str">
        <f>+HYPERLINK("http://trademark.i-assist.jp/data/china/image_1927th/82521339.pdf","82521339")</f>
        <v>82521339</v>
      </c>
      <c r="F1941" s="12" t="s">
        <v>5406</v>
      </c>
      <c r="G1941" s="9" t="s">
        <v>5407</v>
      </c>
      <c r="H1941" s="9" t="s">
        <v>5408</v>
      </c>
      <c r="I1941" s="10">
        <v>45638</v>
      </c>
    </row>
    <row r="1942" spans="1:9" x14ac:dyDescent="0.15">
      <c r="A1942" s="9">
        <v>1941</v>
      </c>
      <c r="B1942" s="9" t="s">
        <v>9</v>
      </c>
      <c r="C1942" s="9">
        <v>1927</v>
      </c>
      <c r="D1942" s="10">
        <v>45729</v>
      </c>
      <c r="E1942" s="11" t="str">
        <f>+HYPERLINK("http://trademark.i-assist.jp/data/china/image_1927th/82521342.pdf","82521342")</f>
        <v>82521342</v>
      </c>
      <c r="F1942" s="12" t="s">
        <v>5409</v>
      </c>
      <c r="G1942" s="9" t="s">
        <v>5410</v>
      </c>
      <c r="H1942" s="9" t="s">
        <v>5411</v>
      </c>
      <c r="I1942" s="10">
        <v>45638</v>
      </c>
    </row>
    <row r="1943" spans="1:9" x14ac:dyDescent="0.15">
      <c r="A1943" s="9">
        <v>1942</v>
      </c>
      <c r="B1943" s="9" t="s">
        <v>9</v>
      </c>
      <c r="C1943" s="9">
        <v>1927</v>
      </c>
      <c r="D1943" s="10">
        <v>45729</v>
      </c>
      <c r="E1943" s="11" t="str">
        <f>+HYPERLINK("http://trademark.i-assist.jp/data/china/image_1927th/82521586.pdf","82521586")</f>
        <v>82521586</v>
      </c>
      <c r="F1943" s="9" t="s">
        <v>5412</v>
      </c>
      <c r="G1943" s="9" t="s">
        <v>207</v>
      </c>
      <c r="H1943" s="9" t="s">
        <v>5413</v>
      </c>
      <c r="I1943" s="10">
        <v>45638</v>
      </c>
    </row>
    <row r="1944" spans="1:9" x14ac:dyDescent="0.15">
      <c r="A1944" s="9">
        <v>1943</v>
      </c>
      <c r="B1944" s="9" t="s">
        <v>9</v>
      </c>
      <c r="C1944" s="9">
        <v>1927</v>
      </c>
      <c r="D1944" s="10">
        <v>45729</v>
      </c>
      <c r="E1944" s="11" t="str">
        <f>+HYPERLINK("http://trademark.i-assist.jp/data/china/image_1927th/82522189.pdf","82522189")</f>
        <v>82522189</v>
      </c>
      <c r="F1944" s="9" t="s">
        <v>5414</v>
      </c>
      <c r="G1944" s="9" t="s">
        <v>5415</v>
      </c>
      <c r="H1944" s="9" t="s">
        <v>5416</v>
      </c>
      <c r="I1944" s="10">
        <v>45638</v>
      </c>
    </row>
    <row r="1945" spans="1:9" x14ac:dyDescent="0.15">
      <c r="A1945" s="9">
        <v>1944</v>
      </c>
      <c r="B1945" s="9" t="s">
        <v>9</v>
      </c>
      <c r="C1945" s="9">
        <v>1927</v>
      </c>
      <c r="D1945" s="10">
        <v>45729</v>
      </c>
      <c r="E1945" s="11" t="str">
        <f>+HYPERLINK("http://trademark.i-assist.jp/data/china/image_1927th/82522228.pdf","82522228")</f>
        <v>82522228</v>
      </c>
      <c r="F1945" s="9" t="s">
        <v>5417</v>
      </c>
      <c r="G1945" s="9" t="s">
        <v>132</v>
      </c>
      <c r="H1945" s="12" t="s">
        <v>5418</v>
      </c>
      <c r="I1945" s="10">
        <v>45638</v>
      </c>
    </row>
    <row r="1946" spans="1:9" x14ac:dyDescent="0.15">
      <c r="A1946" s="9">
        <v>1945</v>
      </c>
      <c r="B1946" s="9" t="s">
        <v>9</v>
      </c>
      <c r="C1946" s="9">
        <v>1927</v>
      </c>
      <c r="D1946" s="10">
        <v>45729</v>
      </c>
      <c r="E1946" s="11" t="str">
        <f>+HYPERLINK("http://trademark.i-assist.jp/data/china/image_1927th/82522288.pdf","82522288")</f>
        <v>82522288</v>
      </c>
      <c r="F1946" s="12" t="s">
        <v>5419</v>
      </c>
      <c r="G1946" s="12" t="s">
        <v>5186</v>
      </c>
      <c r="H1946" s="9" t="s">
        <v>5420</v>
      </c>
      <c r="I1946" s="10">
        <v>45638</v>
      </c>
    </row>
    <row r="1947" spans="1:9" x14ac:dyDescent="0.15">
      <c r="A1947" s="9">
        <v>1946</v>
      </c>
      <c r="B1947" s="9" t="s">
        <v>9</v>
      </c>
      <c r="C1947" s="9">
        <v>1927</v>
      </c>
      <c r="D1947" s="10">
        <v>45729</v>
      </c>
      <c r="E1947" s="11" t="str">
        <f>+HYPERLINK("http://trademark.i-assist.jp/data/china/image_1927th/82522415.pdf","82522415")</f>
        <v>82522415</v>
      </c>
      <c r="F1947" s="9" t="s">
        <v>5421</v>
      </c>
      <c r="G1947" s="9" t="s">
        <v>214</v>
      </c>
      <c r="H1947" s="9" t="s">
        <v>5422</v>
      </c>
      <c r="I1947" s="10">
        <v>45638</v>
      </c>
    </row>
    <row r="1948" spans="1:9" x14ac:dyDescent="0.15">
      <c r="A1948" s="9">
        <v>1947</v>
      </c>
      <c r="B1948" s="9" t="s">
        <v>9</v>
      </c>
      <c r="C1948" s="9">
        <v>1927</v>
      </c>
      <c r="D1948" s="10">
        <v>45729</v>
      </c>
      <c r="E1948" s="11" t="str">
        <f>+HYPERLINK("http://trademark.i-assist.jp/data/china/image_1927th/82522418.pdf","82522418")</f>
        <v>82522418</v>
      </c>
      <c r="F1948" s="9" t="s">
        <v>5423</v>
      </c>
      <c r="G1948" s="9" t="s">
        <v>5155</v>
      </c>
      <c r="H1948" s="9" t="s">
        <v>5424</v>
      </c>
      <c r="I1948" s="10">
        <v>45638</v>
      </c>
    </row>
    <row r="1949" spans="1:9" x14ac:dyDescent="0.15">
      <c r="A1949" s="9">
        <v>1948</v>
      </c>
      <c r="B1949" s="9" t="s">
        <v>9</v>
      </c>
      <c r="C1949" s="9">
        <v>1927</v>
      </c>
      <c r="D1949" s="10">
        <v>45729</v>
      </c>
      <c r="E1949" s="11" t="str">
        <f>+HYPERLINK("http://trademark.i-assist.jp/data/china/image_1927th/82522423.pdf","82522423")</f>
        <v>82522423</v>
      </c>
      <c r="F1949" s="9" t="s">
        <v>5425</v>
      </c>
      <c r="G1949" s="9" t="s">
        <v>5426</v>
      </c>
      <c r="H1949" s="9" t="s">
        <v>5427</v>
      </c>
      <c r="I1949" s="10">
        <v>45638</v>
      </c>
    </row>
    <row r="1950" spans="1:9" x14ac:dyDescent="0.15">
      <c r="A1950" s="9">
        <v>1949</v>
      </c>
      <c r="B1950" s="9" t="s">
        <v>9</v>
      </c>
      <c r="C1950" s="9">
        <v>1927</v>
      </c>
      <c r="D1950" s="10">
        <v>45729</v>
      </c>
      <c r="E1950" s="11" t="str">
        <f>+HYPERLINK("http://trademark.i-assist.jp/data/china/image_1927th/82522441.pdf","82522441")</f>
        <v>82522441</v>
      </c>
      <c r="F1950" s="9" t="s">
        <v>5428</v>
      </c>
      <c r="G1950" s="9" t="s">
        <v>5429</v>
      </c>
      <c r="H1950" s="9" t="s">
        <v>5430</v>
      </c>
      <c r="I1950" s="10">
        <v>45638</v>
      </c>
    </row>
    <row r="1951" spans="1:9" x14ac:dyDescent="0.15">
      <c r="A1951" s="9">
        <v>1950</v>
      </c>
      <c r="B1951" s="9" t="s">
        <v>9</v>
      </c>
      <c r="C1951" s="9">
        <v>1927</v>
      </c>
      <c r="D1951" s="10">
        <v>45729</v>
      </c>
      <c r="E1951" s="11" t="str">
        <f>+HYPERLINK("http://trademark.i-assist.jp/data/china/image_1927th/82522703.pdf","82522703")</f>
        <v>82522703</v>
      </c>
      <c r="F1951" s="12" t="s">
        <v>196</v>
      </c>
      <c r="G1951" s="9" t="s">
        <v>197</v>
      </c>
      <c r="H1951" s="9" t="s">
        <v>5431</v>
      </c>
      <c r="I1951" s="10">
        <v>45638</v>
      </c>
    </row>
    <row r="1952" spans="1:9" x14ac:dyDescent="0.15">
      <c r="A1952" s="9">
        <v>1951</v>
      </c>
      <c r="B1952" s="9" t="s">
        <v>9</v>
      </c>
      <c r="C1952" s="9">
        <v>1927</v>
      </c>
      <c r="D1952" s="10">
        <v>45729</v>
      </c>
      <c r="E1952" s="11" t="str">
        <f>+HYPERLINK("http://trademark.i-assist.jp/data/china/image_1927th/82522968.pdf","82522968")</f>
        <v>82522968</v>
      </c>
      <c r="F1952" s="9" t="s">
        <v>5432</v>
      </c>
      <c r="G1952" s="12" t="s">
        <v>5433</v>
      </c>
      <c r="H1952" s="9" t="s">
        <v>5434</v>
      </c>
      <c r="I1952" s="10">
        <v>45638</v>
      </c>
    </row>
    <row r="1953" spans="1:9" x14ac:dyDescent="0.15">
      <c r="A1953" s="9">
        <v>1952</v>
      </c>
      <c r="B1953" s="9" t="s">
        <v>9</v>
      </c>
      <c r="C1953" s="9">
        <v>1927</v>
      </c>
      <c r="D1953" s="10">
        <v>45729</v>
      </c>
      <c r="E1953" s="11" t="str">
        <f>+HYPERLINK("http://trademark.i-assist.jp/data/china/image_1927th/82523033.pdf","82523033")</f>
        <v>82523033</v>
      </c>
      <c r="F1953" s="9" t="s">
        <v>5435</v>
      </c>
      <c r="G1953" s="9" t="s">
        <v>5436</v>
      </c>
      <c r="H1953" s="9" t="s">
        <v>5437</v>
      </c>
      <c r="I1953" s="10">
        <v>45638</v>
      </c>
    </row>
    <row r="1954" spans="1:9" x14ac:dyDescent="0.15">
      <c r="A1954" s="9">
        <v>1953</v>
      </c>
      <c r="B1954" s="9" t="s">
        <v>9</v>
      </c>
      <c r="C1954" s="9">
        <v>1927</v>
      </c>
      <c r="D1954" s="10">
        <v>45729</v>
      </c>
      <c r="E1954" s="11" t="str">
        <f>+HYPERLINK("http://trademark.i-assist.jp/data/china/image_1927th/82523060.pdf","82523060")</f>
        <v>82523060</v>
      </c>
      <c r="F1954" s="9" t="s">
        <v>5438</v>
      </c>
      <c r="G1954" s="9" t="s">
        <v>5439</v>
      </c>
      <c r="H1954" s="9" t="s">
        <v>5440</v>
      </c>
      <c r="I1954" s="10">
        <v>45638</v>
      </c>
    </row>
    <row r="1955" spans="1:9" x14ac:dyDescent="0.15">
      <c r="A1955" s="9">
        <v>1954</v>
      </c>
      <c r="B1955" s="9" t="s">
        <v>9</v>
      </c>
      <c r="C1955" s="9">
        <v>1927</v>
      </c>
      <c r="D1955" s="10">
        <v>45729</v>
      </c>
      <c r="E1955" s="11" t="str">
        <f>+HYPERLINK("http://trademark.i-assist.jp/data/china/image_1927th/82523378.pdf","82523378")</f>
        <v>82523378</v>
      </c>
      <c r="F1955" s="9" t="s">
        <v>5441</v>
      </c>
      <c r="G1955" s="12" t="s">
        <v>5442</v>
      </c>
      <c r="H1955" s="9" t="s">
        <v>5443</v>
      </c>
      <c r="I1955" s="10">
        <v>45638</v>
      </c>
    </row>
    <row r="1956" spans="1:9" x14ac:dyDescent="0.15">
      <c r="A1956" s="9">
        <v>1955</v>
      </c>
      <c r="B1956" s="9" t="s">
        <v>9</v>
      </c>
      <c r="C1956" s="9">
        <v>1927</v>
      </c>
      <c r="D1956" s="10">
        <v>45729</v>
      </c>
      <c r="E1956" s="11" t="str">
        <f>+HYPERLINK("http://trademark.i-assist.jp/data/china/image_1927th/82523397.pdf","82523397")</f>
        <v>82523397</v>
      </c>
      <c r="F1956" s="9" t="s">
        <v>5444</v>
      </c>
      <c r="G1956" s="9" t="s">
        <v>5445</v>
      </c>
      <c r="H1956" s="9" t="s">
        <v>5446</v>
      </c>
      <c r="I1956" s="10">
        <v>45638</v>
      </c>
    </row>
    <row r="1957" spans="1:9" x14ac:dyDescent="0.15">
      <c r="A1957" s="9">
        <v>1956</v>
      </c>
      <c r="B1957" s="9" t="s">
        <v>9</v>
      </c>
      <c r="C1957" s="9">
        <v>1927</v>
      </c>
      <c r="D1957" s="10">
        <v>45729</v>
      </c>
      <c r="E1957" s="11" t="str">
        <f>+HYPERLINK("http://trademark.i-assist.jp/data/china/image_1927th/82523566.pdf","82523566")</f>
        <v>82523566</v>
      </c>
      <c r="F1957" s="9" t="s">
        <v>5447</v>
      </c>
      <c r="G1957" s="9" t="s">
        <v>5448</v>
      </c>
      <c r="H1957" s="9" t="s">
        <v>5449</v>
      </c>
      <c r="I1957" s="10">
        <v>45638</v>
      </c>
    </row>
    <row r="1958" spans="1:9" x14ac:dyDescent="0.15">
      <c r="A1958" s="9">
        <v>1957</v>
      </c>
      <c r="B1958" s="9" t="s">
        <v>9</v>
      </c>
      <c r="C1958" s="9">
        <v>1927</v>
      </c>
      <c r="D1958" s="10">
        <v>45729</v>
      </c>
      <c r="E1958" s="11" t="str">
        <f>+HYPERLINK("http://trademark.i-assist.jp/data/china/image_1927th/82523630.pdf","82523630")</f>
        <v>82523630</v>
      </c>
      <c r="F1958" s="9" t="s">
        <v>5450</v>
      </c>
      <c r="G1958" s="12" t="s">
        <v>5205</v>
      </c>
      <c r="H1958" s="12" t="s">
        <v>5451</v>
      </c>
      <c r="I1958" s="10">
        <v>45638</v>
      </c>
    </row>
    <row r="1959" spans="1:9" x14ac:dyDescent="0.15">
      <c r="A1959" s="9">
        <v>1958</v>
      </c>
      <c r="B1959" s="9" t="s">
        <v>9</v>
      </c>
      <c r="C1959" s="9">
        <v>1927</v>
      </c>
      <c r="D1959" s="10">
        <v>45729</v>
      </c>
      <c r="E1959" s="11" t="str">
        <f>+HYPERLINK("http://trademark.i-assist.jp/data/china/image_1927th/82523921.pdf","82523921")</f>
        <v>82523921</v>
      </c>
      <c r="F1959" s="9" t="s">
        <v>5452</v>
      </c>
      <c r="G1959" s="9" t="s">
        <v>5453</v>
      </c>
      <c r="H1959" s="9" t="s">
        <v>5454</v>
      </c>
      <c r="I1959" s="10">
        <v>45638</v>
      </c>
    </row>
    <row r="1960" spans="1:9" x14ac:dyDescent="0.15">
      <c r="A1960" s="9">
        <v>1959</v>
      </c>
      <c r="B1960" s="9" t="s">
        <v>9</v>
      </c>
      <c r="C1960" s="9">
        <v>1927</v>
      </c>
      <c r="D1960" s="10">
        <v>45729</v>
      </c>
      <c r="E1960" s="11" t="str">
        <f>+HYPERLINK("http://trademark.i-assist.jp/data/china/image_1927th/82523989.pdf","82523989")</f>
        <v>82523989</v>
      </c>
      <c r="F1960" s="12" t="s">
        <v>5455</v>
      </c>
      <c r="G1960" s="12" t="s">
        <v>216</v>
      </c>
      <c r="H1960" s="9" t="s">
        <v>5456</v>
      </c>
      <c r="I1960" s="10">
        <v>45638</v>
      </c>
    </row>
    <row r="1961" spans="1:9" x14ac:dyDescent="0.15">
      <c r="A1961" s="9">
        <v>1960</v>
      </c>
      <c r="B1961" s="9" t="s">
        <v>9</v>
      </c>
      <c r="C1961" s="9">
        <v>1927</v>
      </c>
      <c r="D1961" s="10">
        <v>45729</v>
      </c>
      <c r="E1961" s="11" t="str">
        <f>+HYPERLINK("http://trademark.i-assist.jp/data/china/image_1927th/82524100.pdf","82524100")</f>
        <v>82524100</v>
      </c>
      <c r="F1961" s="9" t="s">
        <v>5457</v>
      </c>
      <c r="G1961" s="12" t="s">
        <v>5276</v>
      </c>
      <c r="H1961" s="9" t="s">
        <v>5458</v>
      </c>
      <c r="I1961" s="10">
        <v>45638</v>
      </c>
    </row>
    <row r="1962" spans="1:9" x14ac:dyDescent="0.15">
      <c r="A1962" s="9">
        <v>1961</v>
      </c>
      <c r="B1962" s="9" t="s">
        <v>9</v>
      </c>
      <c r="C1962" s="9">
        <v>1927</v>
      </c>
      <c r="D1962" s="10">
        <v>45729</v>
      </c>
      <c r="E1962" s="11" t="str">
        <f>+HYPERLINK("http://trademark.i-assist.jp/data/china/image_1927th/82524124.pdf","82524124")</f>
        <v>82524124</v>
      </c>
      <c r="F1962" s="9" t="s">
        <v>5459</v>
      </c>
      <c r="G1962" s="9" t="s">
        <v>5379</v>
      </c>
      <c r="H1962" s="9" t="s">
        <v>5460</v>
      </c>
      <c r="I1962" s="10">
        <v>45638</v>
      </c>
    </row>
    <row r="1963" spans="1:9" x14ac:dyDescent="0.15">
      <c r="A1963" s="9">
        <v>1962</v>
      </c>
      <c r="B1963" s="9" t="s">
        <v>9</v>
      </c>
      <c r="C1963" s="9">
        <v>1927</v>
      </c>
      <c r="D1963" s="10">
        <v>45729</v>
      </c>
      <c r="E1963" s="11" t="str">
        <f>+HYPERLINK("http://trademark.i-assist.jp/data/china/image_1927th/82524284.pdf","82524284")</f>
        <v>82524284</v>
      </c>
      <c r="F1963" s="12" t="s">
        <v>5461</v>
      </c>
      <c r="G1963" s="9" t="s">
        <v>5462</v>
      </c>
      <c r="H1963" s="9" t="s">
        <v>5463</v>
      </c>
      <c r="I1963" s="10">
        <v>45638</v>
      </c>
    </row>
    <row r="1964" spans="1:9" x14ac:dyDescent="0.15">
      <c r="A1964" s="9">
        <v>1963</v>
      </c>
      <c r="B1964" s="9" t="s">
        <v>9</v>
      </c>
      <c r="C1964" s="9">
        <v>1927</v>
      </c>
      <c r="D1964" s="10">
        <v>45729</v>
      </c>
      <c r="E1964" s="11" t="str">
        <f>+HYPERLINK("http://trademark.i-assist.jp/data/china/image_1927th/82524393.pdf","82524393")</f>
        <v>82524393</v>
      </c>
      <c r="F1964" s="9" t="s">
        <v>5464</v>
      </c>
      <c r="G1964" s="12" t="s">
        <v>5205</v>
      </c>
      <c r="H1964" s="9" t="s">
        <v>5465</v>
      </c>
      <c r="I1964" s="10">
        <v>45638</v>
      </c>
    </row>
    <row r="1965" spans="1:9" x14ac:dyDescent="0.15">
      <c r="A1965" s="9">
        <v>1964</v>
      </c>
      <c r="B1965" s="9" t="s">
        <v>9</v>
      </c>
      <c r="C1965" s="9">
        <v>1927</v>
      </c>
      <c r="D1965" s="10">
        <v>45729</v>
      </c>
      <c r="E1965" s="11" t="str">
        <f>+HYPERLINK("http://trademark.i-assist.jp/data/china/image_1927th/82524771.pdf","82524771")</f>
        <v>82524771</v>
      </c>
      <c r="F1965" s="9" t="s">
        <v>5466</v>
      </c>
      <c r="G1965" s="9" t="s">
        <v>5155</v>
      </c>
      <c r="H1965" s="9" t="s">
        <v>5467</v>
      </c>
      <c r="I1965" s="10">
        <v>45638</v>
      </c>
    </row>
    <row r="1966" spans="1:9" x14ac:dyDescent="0.15">
      <c r="A1966" s="9">
        <v>1965</v>
      </c>
      <c r="B1966" s="9" t="s">
        <v>9</v>
      </c>
      <c r="C1966" s="9">
        <v>1927</v>
      </c>
      <c r="D1966" s="10">
        <v>45729</v>
      </c>
      <c r="E1966" s="11" t="str">
        <f>+HYPERLINK("http://trademark.i-assist.jp/data/china/image_1927th/82525046.pdf","82525046")</f>
        <v>82525046</v>
      </c>
      <c r="F1966" s="9" t="s">
        <v>5468</v>
      </c>
      <c r="G1966" s="9" t="s">
        <v>5469</v>
      </c>
      <c r="H1966" s="9" t="s">
        <v>5470</v>
      </c>
      <c r="I1966" s="10">
        <v>45638</v>
      </c>
    </row>
    <row r="1967" spans="1:9" x14ac:dyDescent="0.15">
      <c r="A1967" s="9">
        <v>1966</v>
      </c>
      <c r="B1967" s="9" t="s">
        <v>9</v>
      </c>
      <c r="C1967" s="9">
        <v>1927</v>
      </c>
      <c r="D1967" s="10">
        <v>45729</v>
      </c>
      <c r="E1967" s="11" t="str">
        <f>+HYPERLINK("http://trademark.i-assist.jp/data/china/image_1927th/82525167.pdf","82525167")</f>
        <v>82525167</v>
      </c>
      <c r="F1967" s="9" t="s">
        <v>5471</v>
      </c>
      <c r="G1967" s="9" t="s">
        <v>5472</v>
      </c>
      <c r="H1967" s="9" t="s">
        <v>5473</v>
      </c>
      <c r="I1967" s="10">
        <v>45638</v>
      </c>
    </row>
    <row r="1968" spans="1:9" x14ac:dyDescent="0.15">
      <c r="A1968" s="9">
        <v>1967</v>
      </c>
      <c r="B1968" s="9" t="s">
        <v>9</v>
      </c>
      <c r="C1968" s="9">
        <v>1927</v>
      </c>
      <c r="D1968" s="10">
        <v>45729</v>
      </c>
      <c r="E1968" s="11" t="str">
        <f>+HYPERLINK("http://trademark.i-assist.jp/data/china/image_1927th/82525252.pdf","82525252")</f>
        <v>82525252</v>
      </c>
      <c r="F1968" s="12" t="s">
        <v>5474</v>
      </c>
      <c r="G1968" s="9" t="s">
        <v>5475</v>
      </c>
      <c r="H1968" s="12" t="s">
        <v>5476</v>
      </c>
      <c r="I1968" s="10">
        <v>45638</v>
      </c>
    </row>
    <row r="1969" spans="1:9" x14ac:dyDescent="0.15">
      <c r="A1969" s="9">
        <v>1968</v>
      </c>
      <c r="B1969" s="9" t="s">
        <v>9</v>
      </c>
      <c r="C1969" s="9">
        <v>1927</v>
      </c>
      <c r="D1969" s="10">
        <v>45729</v>
      </c>
      <c r="E1969" s="11" t="str">
        <f>+HYPERLINK("http://trademark.i-assist.jp/data/china/image_1927th/82525745.pdf","82525745")</f>
        <v>82525745</v>
      </c>
      <c r="F1969" s="9" t="s">
        <v>5477</v>
      </c>
      <c r="G1969" s="9" t="s">
        <v>5478</v>
      </c>
      <c r="H1969" s="9" t="s">
        <v>5479</v>
      </c>
      <c r="I1969" s="10">
        <v>45639</v>
      </c>
    </row>
    <row r="1970" spans="1:9" x14ac:dyDescent="0.15">
      <c r="A1970" s="9">
        <v>1969</v>
      </c>
      <c r="B1970" s="9" t="s">
        <v>9</v>
      </c>
      <c r="C1970" s="9">
        <v>1927</v>
      </c>
      <c r="D1970" s="10">
        <v>45729</v>
      </c>
      <c r="E1970" s="11" t="str">
        <f>+HYPERLINK("http://trademark.i-assist.jp/data/china/image_1927th/82525802.pdf","82525802")</f>
        <v>82525802</v>
      </c>
      <c r="F1970" s="9" t="s">
        <v>5480</v>
      </c>
      <c r="G1970" s="9" t="s">
        <v>5481</v>
      </c>
      <c r="H1970" s="9" t="s">
        <v>5482</v>
      </c>
      <c r="I1970" s="10">
        <v>45639</v>
      </c>
    </row>
    <row r="1971" spans="1:9" x14ac:dyDescent="0.15">
      <c r="A1971" s="9">
        <v>1970</v>
      </c>
      <c r="B1971" s="9" t="s">
        <v>9</v>
      </c>
      <c r="C1971" s="9">
        <v>1927</v>
      </c>
      <c r="D1971" s="10">
        <v>45729</v>
      </c>
      <c r="E1971" s="11" t="str">
        <f>+HYPERLINK("http://trademark.i-assist.jp/data/china/image_1927th/82525816.pdf","82525816")</f>
        <v>82525816</v>
      </c>
      <c r="F1971" s="12" t="s">
        <v>5483</v>
      </c>
      <c r="G1971" s="12" t="s">
        <v>5484</v>
      </c>
      <c r="H1971" s="9" t="s">
        <v>5485</v>
      </c>
      <c r="I1971" s="10">
        <v>45639</v>
      </c>
    </row>
    <row r="1972" spans="1:9" x14ac:dyDescent="0.15">
      <c r="A1972" s="9">
        <v>1971</v>
      </c>
      <c r="B1972" s="9" t="s">
        <v>9</v>
      </c>
      <c r="C1972" s="9">
        <v>1927</v>
      </c>
      <c r="D1972" s="10">
        <v>45729</v>
      </c>
      <c r="E1972" s="11" t="str">
        <f>+HYPERLINK("http://trademark.i-assist.jp/data/china/image_1927th/82526052.pdf","82526052")</f>
        <v>82526052</v>
      </c>
      <c r="F1972" s="12" t="s">
        <v>5486</v>
      </c>
      <c r="G1972" s="9" t="s">
        <v>5487</v>
      </c>
      <c r="H1972" s="9" t="s">
        <v>5488</v>
      </c>
      <c r="I1972" s="10">
        <v>45639</v>
      </c>
    </row>
    <row r="1973" spans="1:9" x14ac:dyDescent="0.15">
      <c r="A1973" s="9">
        <v>1972</v>
      </c>
      <c r="B1973" s="9" t="s">
        <v>9</v>
      </c>
      <c r="C1973" s="9">
        <v>1927</v>
      </c>
      <c r="D1973" s="10">
        <v>45729</v>
      </c>
      <c r="E1973" s="11" t="str">
        <f>+HYPERLINK("http://trademark.i-assist.jp/data/china/image_1927th/82526067.pdf","82526067")</f>
        <v>82526067</v>
      </c>
      <c r="F1973" s="9" t="s">
        <v>5489</v>
      </c>
      <c r="G1973" s="12" t="s">
        <v>5490</v>
      </c>
      <c r="H1973" s="9" t="s">
        <v>5491</v>
      </c>
      <c r="I1973" s="10">
        <v>45639</v>
      </c>
    </row>
    <row r="1974" spans="1:9" x14ac:dyDescent="0.15">
      <c r="A1974" s="9">
        <v>1973</v>
      </c>
      <c r="B1974" s="9" t="s">
        <v>9</v>
      </c>
      <c r="C1974" s="9">
        <v>1927</v>
      </c>
      <c r="D1974" s="10">
        <v>45729</v>
      </c>
      <c r="E1974" s="11" t="str">
        <f>+HYPERLINK("http://trademark.i-assist.jp/data/china/image_1927th/82526094.pdf","82526094")</f>
        <v>82526094</v>
      </c>
      <c r="F1974" s="12" t="s">
        <v>5492</v>
      </c>
      <c r="G1974" s="9" t="s">
        <v>5493</v>
      </c>
      <c r="H1974" s="9" t="s">
        <v>5494</v>
      </c>
      <c r="I1974" s="10">
        <v>45639</v>
      </c>
    </row>
    <row r="1975" spans="1:9" x14ac:dyDescent="0.15">
      <c r="A1975" s="9">
        <v>1974</v>
      </c>
      <c r="B1975" s="9" t="s">
        <v>9</v>
      </c>
      <c r="C1975" s="9">
        <v>1927</v>
      </c>
      <c r="D1975" s="10">
        <v>45729</v>
      </c>
      <c r="E1975" s="11" t="str">
        <f>+HYPERLINK("http://trademark.i-assist.jp/data/china/image_1927th/82526229.pdf","82526229")</f>
        <v>82526229</v>
      </c>
      <c r="F1975" s="9" t="s">
        <v>5495</v>
      </c>
      <c r="G1975" s="12" t="s">
        <v>5496</v>
      </c>
      <c r="H1975" s="9" t="s">
        <v>5497</v>
      </c>
      <c r="I1975" s="10">
        <v>45639</v>
      </c>
    </row>
    <row r="1976" spans="1:9" x14ac:dyDescent="0.15">
      <c r="A1976" s="9">
        <v>1975</v>
      </c>
      <c r="B1976" s="9" t="s">
        <v>9</v>
      </c>
      <c r="C1976" s="9">
        <v>1927</v>
      </c>
      <c r="D1976" s="10">
        <v>45729</v>
      </c>
      <c r="E1976" s="11" t="str">
        <f>+HYPERLINK("http://trademark.i-assist.jp/data/china/image_1927th/82526240.pdf","82526240")</f>
        <v>82526240</v>
      </c>
      <c r="F1976" s="9" t="s">
        <v>5498</v>
      </c>
      <c r="G1976" s="9" t="s">
        <v>5499</v>
      </c>
      <c r="H1976" s="9" t="s">
        <v>5500</v>
      </c>
      <c r="I1976" s="10">
        <v>45639</v>
      </c>
    </row>
    <row r="1977" spans="1:9" x14ac:dyDescent="0.15">
      <c r="A1977" s="9">
        <v>1976</v>
      </c>
      <c r="B1977" s="9" t="s">
        <v>9</v>
      </c>
      <c r="C1977" s="9">
        <v>1927</v>
      </c>
      <c r="D1977" s="10">
        <v>45729</v>
      </c>
      <c r="E1977" s="11" t="str">
        <f>+HYPERLINK("http://trademark.i-assist.jp/data/china/image_1927th/82526246.pdf","82526246")</f>
        <v>82526246</v>
      </c>
      <c r="F1977" s="12" t="s">
        <v>5501</v>
      </c>
      <c r="G1977" s="9" t="s">
        <v>5502</v>
      </c>
      <c r="H1977" s="9" t="s">
        <v>5503</v>
      </c>
      <c r="I1977" s="10">
        <v>45639</v>
      </c>
    </row>
    <row r="1978" spans="1:9" x14ac:dyDescent="0.15">
      <c r="A1978" s="9">
        <v>1977</v>
      </c>
      <c r="B1978" s="9" t="s">
        <v>9</v>
      </c>
      <c r="C1978" s="9">
        <v>1927</v>
      </c>
      <c r="D1978" s="10">
        <v>45729</v>
      </c>
      <c r="E1978" s="11" t="str">
        <f>+HYPERLINK("http://trademark.i-assist.jp/data/china/image_1927th/82526494.pdf","82526494")</f>
        <v>82526494</v>
      </c>
      <c r="F1978" s="12" t="s">
        <v>5504</v>
      </c>
      <c r="G1978" s="9" t="s">
        <v>5505</v>
      </c>
      <c r="H1978" s="9" t="s">
        <v>5506</v>
      </c>
      <c r="I1978" s="10">
        <v>45639</v>
      </c>
    </row>
    <row r="1979" spans="1:9" x14ac:dyDescent="0.15">
      <c r="A1979" s="9">
        <v>1978</v>
      </c>
      <c r="B1979" s="9" t="s">
        <v>9</v>
      </c>
      <c r="C1979" s="9">
        <v>1927</v>
      </c>
      <c r="D1979" s="10">
        <v>45729</v>
      </c>
      <c r="E1979" s="11" t="str">
        <f>+HYPERLINK("http://trademark.i-assist.jp/data/china/image_1927th/82526527.pdf","82526527")</f>
        <v>82526527</v>
      </c>
      <c r="F1979" s="9" t="s">
        <v>5507</v>
      </c>
      <c r="G1979" s="9" t="s">
        <v>5505</v>
      </c>
      <c r="H1979" s="9" t="s">
        <v>5508</v>
      </c>
      <c r="I1979" s="10">
        <v>45639</v>
      </c>
    </row>
    <row r="1980" spans="1:9" x14ac:dyDescent="0.15">
      <c r="A1980" s="9">
        <v>1979</v>
      </c>
      <c r="B1980" s="9" t="s">
        <v>9</v>
      </c>
      <c r="C1980" s="9">
        <v>1927</v>
      </c>
      <c r="D1980" s="10">
        <v>45729</v>
      </c>
      <c r="E1980" s="11" t="str">
        <f>+HYPERLINK("http://trademark.i-assist.jp/data/china/image_1927th/82526712.pdf","82526712")</f>
        <v>82526712</v>
      </c>
      <c r="F1980" s="12" t="s">
        <v>5509</v>
      </c>
      <c r="G1980" s="9" t="s">
        <v>5510</v>
      </c>
      <c r="H1980" s="9" t="s">
        <v>5511</v>
      </c>
      <c r="I1980" s="10">
        <v>45639</v>
      </c>
    </row>
    <row r="1981" spans="1:9" x14ac:dyDescent="0.15">
      <c r="A1981" s="9">
        <v>1980</v>
      </c>
      <c r="B1981" s="9" t="s">
        <v>9</v>
      </c>
      <c r="C1981" s="9">
        <v>1927</v>
      </c>
      <c r="D1981" s="10">
        <v>45729</v>
      </c>
      <c r="E1981" s="11" t="str">
        <f>+HYPERLINK("http://trademark.i-assist.jp/data/china/image_1927th/82526824.pdf","82526824")</f>
        <v>82526824</v>
      </c>
      <c r="F1981" s="9" t="s">
        <v>5512</v>
      </c>
      <c r="G1981" s="9" t="s">
        <v>5513</v>
      </c>
      <c r="H1981" s="9" t="s">
        <v>5514</v>
      </c>
      <c r="I1981" s="10">
        <v>45639</v>
      </c>
    </row>
    <row r="1982" spans="1:9" x14ac:dyDescent="0.15">
      <c r="A1982" s="9">
        <v>1981</v>
      </c>
      <c r="B1982" s="9" t="s">
        <v>9</v>
      </c>
      <c r="C1982" s="9">
        <v>1927</v>
      </c>
      <c r="D1982" s="10">
        <v>45729</v>
      </c>
      <c r="E1982" s="11" t="str">
        <f>+HYPERLINK("http://trademark.i-assist.jp/data/china/image_1927th/82526836.pdf","82526836")</f>
        <v>82526836</v>
      </c>
      <c r="F1982" s="9" t="s">
        <v>5515</v>
      </c>
      <c r="G1982" s="12" t="s">
        <v>5516</v>
      </c>
      <c r="H1982" s="9" t="s">
        <v>5517</v>
      </c>
      <c r="I1982" s="10">
        <v>45639</v>
      </c>
    </row>
    <row r="1983" spans="1:9" x14ac:dyDescent="0.15">
      <c r="A1983" s="9">
        <v>1982</v>
      </c>
      <c r="B1983" s="9" t="s">
        <v>9</v>
      </c>
      <c r="C1983" s="9">
        <v>1927</v>
      </c>
      <c r="D1983" s="10">
        <v>45729</v>
      </c>
      <c r="E1983" s="11" t="str">
        <f>+HYPERLINK("http://trademark.i-assist.jp/data/china/image_1927th/82526961.pdf","82526961")</f>
        <v>82526961</v>
      </c>
      <c r="F1983" s="12" t="s">
        <v>5518</v>
      </c>
      <c r="G1983" s="12" t="s">
        <v>5519</v>
      </c>
      <c r="H1983" s="9" t="s">
        <v>5520</v>
      </c>
      <c r="I1983" s="10">
        <v>45639</v>
      </c>
    </row>
    <row r="1984" spans="1:9" x14ac:dyDescent="0.15">
      <c r="A1984" s="9">
        <v>1983</v>
      </c>
      <c r="B1984" s="9" t="s">
        <v>9</v>
      </c>
      <c r="C1984" s="9">
        <v>1927</v>
      </c>
      <c r="D1984" s="10">
        <v>45729</v>
      </c>
      <c r="E1984" s="11" t="str">
        <f>+HYPERLINK("http://trademark.i-assist.jp/data/china/image_1927th/82527119.pdf","82527119")</f>
        <v>82527119</v>
      </c>
      <c r="F1984" s="9" t="s">
        <v>5521</v>
      </c>
      <c r="G1984" s="9" t="s">
        <v>5522</v>
      </c>
      <c r="H1984" s="9" t="s">
        <v>5523</v>
      </c>
      <c r="I1984" s="10">
        <v>45639</v>
      </c>
    </row>
    <row r="1985" spans="1:9" x14ac:dyDescent="0.15">
      <c r="A1985" s="9">
        <v>1984</v>
      </c>
      <c r="B1985" s="9" t="s">
        <v>9</v>
      </c>
      <c r="C1985" s="9">
        <v>1927</v>
      </c>
      <c r="D1985" s="10">
        <v>45729</v>
      </c>
      <c r="E1985" s="11" t="str">
        <f>+HYPERLINK("http://trademark.i-assist.jp/data/china/image_1927th/82527154.pdf","82527154")</f>
        <v>82527154</v>
      </c>
      <c r="F1985" s="9" t="s">
        <v>5524</v>
      </c>
      <c r="G1985" s="9" t="s">
        <v>49</v>
      </c>
      <c r="H1985" s="9" t="s">
        <v>5525</v>
      </c>
      <c r="I1985" s="10">
        <v>45639</v>
      </c>
    </row>
    <row r="1986" spans="1:9" x14ac:dyDescent="0.15">
      <c r="A1986" s="9">
        <v>1985</v>
      </c>
      <c r="B1986" s="9" t="s">
        <v>9</v>
      </c>
      <c r="C1986" s="9">
        <v>1927</v>
      </c>
      <c r="D1986" s="10">
        <v>45729</v>
      </c>
      <c r="E1986" s="11" t="str">
        <f>+HYPERLINK("http://trademark.i-assist.jp/data/china/image_1927th/82527612.pdf","82527612")</f>
        <v>82527612</v>
      </c>
      <c r="F1986" s="9" t="s">
        <v>5526</v>
      </c>
      <c r="G1986" s="9" t="s">
        <v>5527</v>
      </c>
      <c r="H1986" s="9" t="s">
        <v>5528</v>
      </c>
      <c r="I1986" s="10">
        <v>45639</v>
      </c>
    </row>
    <row r="1987" spans="1:9" x14ac:dyDescent="0.15">
      <c r="A1987" s="9">
        <v>1986</v>
      </c>
      <c r="B1987" s="9" t="s">
        <v>9</v>
      </c>
      <c r="C1987" s="9">
        <v>1927</v>
      </c>
      <c r="D1987" s="10">
        <v>45729</v>
      </c>
      <c r="E1987" s="11" t="str">
        <f>+HYPERLINK("http://trademark.i-assist.jp/data/china/image_1927th/82527653.pdf","82527653")</f>
        <v>82527653</v>
      </c>
      <c r="F1987" s="9" t="s">
        <v>5529</v>
      </c>
      <c r="G1987" s="9" t="s">
        <v>2506</v>
      </c>
      <c r="H1987" s="9" t="s">
        <v>5530</v>
      </c>
      <c r="I1987" s="10">
        <v>45639</v>
      </c>
    </row>
    <row r="1988" spans="1:9" x14ac:dyDescent="0.15">
      <c r="A1988" s="9">
        <v>1987</v>
      </c>
      <c r="B1988" s="9" t="s">
        <v>9</v>
      </c>
      <c r="C1988" s="9">
        <v>1927</v>
      </c>
      <c r="D1988" s="10">
        <v>45729</v>
      </c>
      <c r="E1988" s="11" t="str">
        <f>+HYPERLINK("http://trademark.i-assist.jp/data/china/image_1927th/82527688.pdf","82527688")</f>
        <v>82527688</v>
      </c>
      <c r="F1988" s="9" t="s">
        <v>5531</v>
      </c>
      <c r="G1988" s="9" t="s">
        <v>5532</v>
      </c>
      <c r="H1988" s="12" t="s">
        <v>5533</v>
      </c>
      <c r="I1988" s="10">
        <v>45639</v>
      </c>
    </row>
    <row r="1989" spans="1:9" x14ac:dyDescent="0.15">
      <c r="A1989" s="9">
        <v>1988</v>
      </c>
      <c r="B1989" s="9" t="s">
        <v>9</v>
      </c>
      <c r="C1989" s="9">
        <v>1927</v>
      </c>
      <c r="D1989" s="10">
        <v>45729</v>
      </c>
      <c r="E1989" s="11" t="str">
        <f>+HYPERLINK("http://trademark.i-assist.jp/data/china/image_1927th/82527771.pdf","82527771")</f>
        <v>82527771</v>
      </c>
      <c r="F1989" s="9" t="s">
        <v>5534</v>
      </c>
      <c r="G1989" s="12" t="s">
        <v>5535</v>
      </c>
      <c r="H1989" s="9" t="s">
        <v>5536</v>
      </c>
      <c r="I1989" s="10">
        <v>45639</v>
      </c>
    </row>
    <row r="1990" spans="1:9" x14ac:dyDescent="0.15">
      <c r="A1990" s="9">
        <v>1989</v>
      </c>
      <c r="B1990" s="9" t="s">
        <v>9</v>
      </c>
      <c r="C1990" s="9">
        <v>1927</v>
      </c>
      <c r="D1990" s="10">
        <v>45729</v>
      </c>
      <c r="E1990" s="11" t="str">
        <f>+HYPERLINK("http://trademark.i-assist.jp/data/china/image_1927th/82527777.pdf","82527777")</f>
        <v>82527777</v>
      </c>
      <c r="F1990" s="9" t="s">
        <v>5537</v>
      </c>
      <c r="G1990" s="12" t="s">
        <v>5538</v>
      </c>
      <c r="H1990" s="9" t="s">
        <v>5539</v>
      </c>
      <c r="I1990" s="10">
        <v>45639</v>
      </c>
    </row>
    <row r="1991" spans="1:9" x14ac:dyDescent="0.15">
      <c r="A1991" s="9">
        <v>1990</v>
      </c>
      <c r="B1991" s="9" t="s">
        <v>9</v>
      </c>
      <c r="C1991" s="9">
        <v>1927</v>
      </c>
      <c r="D1991" s="10">
        <v>45729</v>
      </c>
      <c r="E1991" s="11" t="str">
        <f>+HYPERLINK("http://trademark.i-assist.jp/data/china/image_1927th/82527813.pdf","82527813")</f>
        <v>82527813</v>
      </c>
      <c r="F1991" s="9" t="s">
        <v>5540</v>
      </c>
      <c r="G1991" s="12" t="s">
        <v>5541</v>
      </c>
      <c r="H1991" s="9" t="s">
        <v>5542</v>
      </c>
      <c r="I1991" s="10">
        <v>45639</v>
      </c>
    </row>
    <row r="1992" spans="1:9" x14ac:dyDescent="0.15">
      <c r="A1992" s="9">
        <v>1991</v>
      </c>
      <c r="B1992" s="9" t="s">
        <v>9</v>
      </c>
      <c r="C1992" s="9">
        <v>1927</v>
      </c>
      <c r="D1992" s="10">
        <v>45729</v>
      </c>
      <c r="E1992" s="11" t="str">
        <f>+HYPERLINK("http://trademark.i-assist.jp/data/china/image_1927th/82527842.pdf","82527842")</f>
        <v>82527842</v>
      </c>
      <c r="F1992" s="9" t="s">
        <v>5543</v>
      </c>
      <c r="G1992" s="9" t="s">
        <v>5544</v>
      </c>
      <c r="H1992" s="9" t="s">
        <v>5545</v>
      </c>
      <c r="I1992" s="10">
        <v>45639</v>
      </c>
    </row>
    <row r="1993" spans="1:9" x14ac:dyDescent="0.15">
      <c r="A1993" s="9">
        <v>1992</v>
      </c>
      <c r="B1993" s="9" t="s">
        <v>9</v>
      </c>
      <c r="C1993" s="9">
        <v>1927</v>
      </c>
      <c r="D1993" s="10">
        <v>45729</v>
      </c>
      <c r="E1993" s="11" t="str">
        <f>+HYPERLINK("http://trademark.i-assist.jp/data/china/image_1927th/82527883.pdf","82527883")</f>
        <v>82527883</v>
      </c>
      <c r="F1993" s="12" t="s">
        <v>5546</v>
      </c>
      <c r="G1993" s="9" t="s">
        <v>5547</v>
      </c>
      <c r="H1993" s="9" t="s">
        <v>5548</v>
      </c>
      <c r="I1993" s="10">
        <v>45639</v>
      </c>
    </row>
    <row r="1994" spans="1:9" x14ac:dyDescent="0.15">
      <c r="A1994" s="9">
        <v>1993</v>
      </c>
      <c r="B1994" s="9" t="s">
        <v>9</v>
      </c>
      <c r="C1994" s="9">
        <v>1927</v>
      </c>
      <c r="D1994" s="10">
        <v>45729</v>
      </c>
      <c r="E1994" s="11" t="str">
        <f>+HYPERLINK("http://trademark.i-assist.jp/data/china/image_1927th/82528144.pdf","82528144")</f>
        <v>82528144</v>
      </c>
      <c r="F1994" s="9" t="s">
        <v>5549</v>
      </c>
      <c r="G1994" s="9" t="s">
        <v>5550</v>
      </c>
      <c r="H1994" s="9" t="s">
        <v>5551</v>
      </c>
      <c r="I1994" s="10">
        <v>45639</v>
      </c>
    </row>
    <row r="1995" spans="1:9" x14ac:dyDescent="0.15">
      <c r="A1995" s="9">
        <v>1994</v>
      </c>
      <c r="B1995" s="9" t="s">
        <v>9</v>
      </c>
      <c r="C1995" s="9">
        <v>1927</v>
      </c>
      <c r="D1995" s="10">
        <v>45729</v>
      </c>
      <c r="E1995" s="11" t="str">
        <f>+HYPERLINK("http://trademark.i-assist.jp/data/china/image_1927th/82528165.pdf","82528165")</f>
        <v>82528165</v>
      </c>
      <c r="F1995" s="12" t="s">
        <v>5552</v>
      </c>
      <c r="G1995" s="12" t="s">
        <v>5553</v>
      </c>
      <c r="H1995" s="9" t="s">
        <v>5554</v>
      </c>
      <c r="I1995" s="10">
        <v>45639</v>
      </c>
    </row>
    <row r="1996" spans="1:9" x14ac:dyDescent="0.15">
      <c r="A1996" s="9">
        <v>1995</v>
      </c>
      <c r="B1996" s="9" t="s">
        <v>9</v>
      </c>
      <c r="C1996" s="9">
        <v>1927</v>
      </c>
      <c r="D1996" s="10">
        <v>45729</v>
      </c>
      <c r="E1996" s="11" t="str">
        <f>+HYPERLINK("http://trademark.i-assist.jp/data/china/image_1927th/82528359.pdf","82528359")</f>
        <v>82528359</v>
      </c>
      <c r="F1996" s="9" t="s">
        <v>5555</v>
      </c>
      <c r="G1996" s="9" t="s">
        <v>5556</v>
      </c>
      <c r="H1996" s="9" t="s">
        <v>5557</v>
      </c>
      <c r="I1996" s="10">
        <v>45639</v>
      </c>
    </row>
    <row r="1997" spans="1:9" x14ac:dyDescent="0.15">
      <c r="A1997" s="9">
        <v>1996</v>
      </c>
      <c r="B1997" s="9" t="s">
        <v>9</v>
      </c>
      <c r="C1997" s="9">
        <v>1927</v>
      </c>
      <c r="D1997" s="10">
        <v>45729</v>
      </c>
      <c r="E1997" s="11" t="str">
        <f>+HYPERLINK("http://trademark.i-assist.jp/data/china/image_1927th/82528478.pdf","82528478")</f>
        <v>82528478</v>
      </c>
      <c r="F1997" s="9" t="s">
        <v>5558</v>
      </c>
      <c r="G1997" s="12" t="s">
        <v>5559</v>
      </c>
      <c r="H1997" s="9" t="s">
        <v>5560</v>
      </c>
      <c r="I1997" s="10">
        <v>45639</v>
      </c>
    </row>
    <row r="1998" spans="1:9" x14ac:dyDescent="0.15">
      <c r="A1998" s="9">
        <v>1997</v>
      </c>
      <c r="B1998" s="9" t="s">
        <v>9</v>
      </c>
      <c r="C1998" s="9">
        <v>1927</v>
      </c>
      <c r="D1998" s="10">
        <v>45729</v>
      </c>
      <c r="E1998" s="11" t="str">
        <f>+HYPERLINK("http://trademark.i-assist.jp/data/china/image_1927th/82528512.pdf","82528512")</f>
        <v>82528512</v>
      </c>
      <c r="F1998" s="12" t="s">
        <v>5561</v>
      </c>
      <c r="G1998" s="12" t="s">
        <v>5535</v>
      </c>
      <c r="H1998" s="9" t="s">
        <v>5562</v>
      </c>
      <c r="I1998" s="10">
        <v>45639</v>
      </c>
    </row>
    <row r="1999" spans="1:9" x14ac:dyDescent="0.15">
      <c r="A1999" s="9">
        <v>1998</v>
      </c>
      <c r="B1999" s="9" t="s">
        <v>9</v>
      </c>
      <c r="C1999" s="9">
        <v>1927</v>
      </c>
      <c r="D1999" s="10">
        <v>45729</v>
      </c>
      <c r="E1999" s="11" t="str">
        <f>+HYPERLINK("http://trademark.i-assist.jp/data/china/image_1927th/82528517.pdf","82528517")</f>
        <v>82528517</v>
      </c>
      <c r="F1999" s="9" t="s">
        <v>5563</v>
      </c>
      <c r="G1999" s="9" t="s">
        <v>5564</v>
      </c>
      <c r="H1999" s="9" t="s">
        <v>5565</v>
      </c>
      <c r="I1999" s="10">
        <v>45639</v>
      </c>
    </row>
    <row r="2000" spans="1:9" x14ac:dyDescent="0.15">
      <c r="A2000" s="9">
        <v>1999</v>
      </c>
      <c r="B2000" s="9" t="s">
        <v>9</v>
      </c>
      <c r="C2000" s="9">
        <v>1927</v>
      </c>
      <c r="D2000" s="10">
        <v>45729</v>
      </c>
      <c r="E2000" s="11" t="str">
        <f>+HYPERLINK("http://trademark.i-assist.jp/data/china/image_1927th/82528657.pdf","82528657")</f>
        <v>82528657</v>
      </c>
      <c r="F2000" s="9" t="s">
        <v>5566</v>
      </c>
      <c r="G2000" s="9" t="s">
        <v>5567</v>
      </c>
      <c r="H2000" s="9" t="s">
        <v>5568</v>
      </c>
      <c r="I2000" s="10">
        <v>45639</v>
      </c>
    </row>
    <row r="2001" spans="1:9" x14ac:dyDescent="0.15">
      <c r="A2001" s="9">
        <v>2000</v>
      </c>
      <c r="B2001" s="9" t="s">
        <v>9</v>
      </c>
      <c r="C2001" s="9">
        <v>1927</v>
      </c>
      <c r="D2001" s="10">
        <v>45729</v>
      </c>
      <c r="E2001" s="11" t="str">
        <f>+HYPERLINK("http://trademark.i-assist.jp/data/china/image_1927th/82528668.pdf","82528668")</f>
        <v>82528668</v>
      </c>
      <c r="F2001" s="12" t="s">
        <v>5569</v>
      </c>
      <c r="G2001" s="9" t="s">
        <v>148</v>
      </c>
      <c r="H2001" s="9" t="s">
        <v>5570</v>
      </c>
      <c r="I2001" s="10">
        <v>45639</v>
      </c>
    </row>
    <row r="2002" spans="1:9" x14ac:dyDescent="0.15">
      <c r="A2002" s="9">
        <v>2001</v>
      </c>
      <c r="B2002" s="9" t="s">
        <v>9</v>
      </c>
      <c r="C2002" s="9">
        <v>1927</v>
      </c>
      <c r="D2002" s="10">
        <v>45729</v>
      </c>
      <c r="E2002" s="11" t="str">
        <f>+HYPERLINK("http://trademark.i-assist.jp/data/china/image_1927th/82528684.pdf","82528684")</f>
        <v>82528684</v>
      </c>
      <c r="F2002" s="9" t="s">
        <v>5571</v>
      </c>
      <c r="G2002" s="9" t="s">
        <v>195</v>
      </c>
      <c r="H2002" s="12" t="s">
        <v>5572</v>
      </c>
      <c r="I2002" s="10">
        <v>45639</v>
      </c>
    </row>
    <row r="2003" spans="1:9" x14ac:dyDescent="0.15">
      <c r="A2003" s="9">
        <v>2002</v>
      </c>
      <c r="B2003" s="9" t="s">
        <v>9</v>
      </c>
      <c r="C2003" s="9">
        <v>1927</v>
      </c>
      <c r="D2003" s="10">
        <v>45729</v>
      </c>
      <c r="E2003" s="11" t="str">
        <f>+HYPERLINK("http://trademark.i-assist.jp/data/china/image_1927th/82528788.pdf","82528788")</f>
        <v>82528788</v>
      </c>
      <c r="F2003" s="9" t="s">
        <v>5573</v>
      </c>
      <c r="G2003" s="9" t="s">
        <v>5574</v>
      </c>
      <c r="H2003" s="9" t="s">
        <v>5575</v>
      </c>
      <c r="I2003" s="10">
        <v>45639</v>
      </c>
    </row>
    <row r="2004" spans="1:9" x14ac:dyDescent="0.15">
      <c r="A2004" s="9">
        <v>2003</v>
      </c>
      <c r="B2004" s="9" t="s">
        <v>9</v>
      </c>
      <c r="C2004" s="9">
        <v>1927</v>
      </c>
      <c r="D2004" s="10">
        <v>45729</v>
      </c>
      <c r="E2004" s="11" t="str">
        <f>+HYPERLINK("http://trademark.i-assist.jp/data/china/image_1927th/82529006.pdf","82529006")</f>
        <v>82529006</v>
      </c>
      <c r="F2004" s="9" t="s">
        <v>5576</v>
      </c>
      <c r="G2004" s="12" t="s">
        <v>235</v>
      </c>
      <c r="H2004" s="9" t="s">
        <v>5577</v>
      </c>
      <c r="I2004" s="10">
        <v>45639</v>
      </c>
    </row>
    <row r="2005" spans="1:9" x14ac:dyDescent="0.15">
      <c r="A2005" s="9">
        <v>2004</v>
      </c>
      <c r="B2005" s="9" t="s">
        <v>9</v>
      </c>
      <c r="C2005" s="9">
        <v>1927</v>
      </c>
      <c r="D2005" s="10">
        <v>45729</v>
      </c>
      <c r="E2005" s="11" t="str">
        <f>+HYPERLINK("http://trademark.i-assist.jp/data/china/image_1927th/82529108.pdf","82529108")</f>
        <v>82529108</v>
      </c>
      <c r="F2005" s="9" t="s">
        <v>5578</v>
      </c>
      <c r="G2005" s="12" t="s">
        <v>5579</v>
      </c>
      <c r="H2005" s="9" t="s">
        <v>5580</v>
      </c>
      <c r="I2005" s="10">
        <v>45639</v>
      </c>
    </row>
    <row r="2006" spans="1:9" x14ac:dyDescent="0.15">
      <c r="A2006" s="9">
        <v>2005</v>
      </c>
      <c r="B2006" s="9" t="s">
        <v>9</v>
      </c>
      <c r="C2006" s="9">
        <v>1927</v>
      </c>
      <c r="D2006" s="10">
        <v>45729</v>
      </c>
      <c r="E2006" s="11" t="str">
        <f>+HYPERLINK("http://trademark.i-assist.jp/data/china/image_1927th/82529507.pdf","82529507")</f>
        <v>82529507</v>
      </c>
      <c r="F2006" s="9" t="s">
        <v>5581</v>
      </c>
      <c r="G2006" s="9" t="s">
        <v>5582</v>
      </c>
      <c r="H2006" s="9" t="s">
        <v>5583</v>
      </c>
      <c r="I2006" s="10">
        <v>45639</v>
      </c>
    </row>
    <row r="2007" spans="1:9" x14ac:dyDescent="0.15">
      <c r="A2007" s="9">
        <v>2006</v>
      </c>
      <c r="B2007" s="9" t="s">
        <v>9</v>
      </c>
      <c r="C2007" s="9">
        <v>1927</v>
      </c>
      <c r="D2007" s="10">
        <v>45729</v>
      </c>
      <c r="E2007" s="11" t="str">
        <f>+HYPERLINK("http://trademark.i-assist.jp/data/china/image_1927th/82529572.pdf","82529572")</f>
        <v>82529572</v>
      </c>
      <c r="F2007" s="12" t="s">
        <v>5584</v>
      </c>
      <c r="G2007" s="12" t="s">
        <v>223</v>
      </c>
      <c r="H2007" s="9" t="s">
        <v>5585</v>
      </c>
      <c r="I2007" s="10">
        <v>45639</v>
      </c>
    </row>
    <row r="2008" spans="1:9" x14ac:dyDescent="0.15">
      <c r="A2008" s="9">
        <v>2007</v>
      </c>
      <c r="B2008" s="9" t="s">
        <v>9</v>
      </c>
      <c r="C2008" s="9">
        <v>1927</v>
      </c>
      <c r="D2008" s="10">
        <v>45729</v>
      </c>
      <c r="E2008" s="11" t="str">
        <f>+HYPERLINK("http://trademark.i-assist.jp/data/china/image_1927th/82529648.pdf","82529648")</f>
        <v>82529648</v>
      </c>
      <c r="F2008" s="12" t="s">
        <v>5586</v>
      </c>
      <c r="G2008" s="9" t="s">
        <v>5587</v>
      </c>
      <c r="H2008" s="9" t="s">
        <v>5588</v>
      </c>
      <c r="I2008" s="10">
        <v>45639</v>
      </c>
    </row>
    <row r="2009" spans="1:9" x14ac:dyDescent="0.15">
      <c r="A2009" s="9">
        <v>2008</v>
      </c>
      <c r="B2009" s="9" t="s">
        <v>9</v>
      </c>
      <c r="C2009" s="9">
        <v>1927</v>
      </c>
      <c r="D2009" s="10">
        <v>45729</v>
      </c>
      <c r="E2009" s="11" t="str">
        <f>+HYPERLINK("http://trademark.i-assist.jp/data/china/image_1927th/82529677.pdf","82529677")</f>
        <v>82529677</v>
      </c>
      <c r="F2009" s="9" t="s">
        <v>5589</v>
      </c>
      <c r="G2009" s="9" t="s">
        <v>5590</v>
      </c>
      <c r="H2009" s="9" t="s">
        <v>5591</v>
      </c>
      <c r="I2009" s="10">
        <v>45639</v>
      </c>
    </row>
    <row r="2010" spans="1:9" x14ac:dyDescent="0.15">
      <c r="A2010" s="9">
        <v>2009</v>
      </c>
      <c r="B2010" s="9" t="s">
        <v>9</v>
      </c>
      <c r="C2010" s="9">
        <v>1927</v>
      </c>
      <c r="D2010" s="10">
        <v>45729</v>
      </c>
      <c r="E2010" s="11" t="str">
        <f>+HYPERLINK("http://trademark.i-assist.jp/data/china/image_1927th/82529692.pdf","82529692")</f>
        <v>82529692</v>
      </c>
      <c r="F2010" s="9" t="s">
        <v>5592</v>
      </c>
      <c r="G2010" s="12" t="s">
        <v>5593</v>
      </c>
      <c r="H2010" s="9" t="s">
        <v>5594</v>
      </c>
      <c r="I2010" s="10">
        <v>45639</v>
      </c>
    </row>
    <row r="2011" spans="1:9" x14ac:dyDescent="0.15">
      <c r="A2011" s="9">
        <v>2010</v>
      </c>
      <c r="B2011" s="9" t="s">
        <v>9</v>
      </c>
      <c r="C2011" s="9">
        <v>1927</v>
      </c>
      <c r="D2011" s="10">
        <v>45729</v>
      </c>
      <c r="E2011" s="11" t="str">
        <f>+HYPERLINK("http://trademark.i-assist.jp/data/china/image_1927th/82529724.pdf","82529724")</f>
        <v>82529724</v>
      </c>
      <c r="F2011" s="9" t="s">
        <v>5595</v>
      </c>
      <c r="G2011" s="12" t="s">
        <v>5596</v>
      </c>
      <c r="H2011" s="9" t="s">
        <v>5597</v>
      </c>
      <c r="I2011" s="10">
        <v>45639</v>
      </c>
    </row>
    <row r="2012" spans="1:9" x14ac:dyDescent="0.15">
      <c r="A2012" s="9">
        <v>2011</v>
      </c>
      <c r="B2012" s="9" t="s">
        <v>9</v>
      </c>
      <c r="C2012" s="9">
        <v>1927</v>
      </c>
      <c r="D2012" s="10">
        <v>45729</v>
      </c>
      <c r="E2012" s="11" t="str">
        <f>+HYPERLINK("http://trademark.i-assist.jp/data/china/image_1927th/82529758.pdf","82529758")</f>
        <v>82529758</v>
      </c>
      <c r="F2012" s="9" t="s">
        <v>5598</v>
      </c>
      <c r="G2012" s="12" t="s">
        <v>5599</v>
      </c>
      <c r="H2012" s="9" t="s">
        <v>5600</v>
      </c>
      <c r="I2012" s="10">
        <v>45639</v>
      </c>
    </row>
    <row r="2013" spans="1:9" x14ac:dyDescent="0.15">
      <c r="A2013" s="9">
        <v>2012</v>
      </c>
      <c r="B2013" s="9" t="s">
        <v>9</v>
      </c>
      <c r="C2013" s="9">
        <v>1927</v>
      </c>
      <c r="D2013" s="10">
        <v>45729</v>
      </c>
      <c r="E2013" s="11" t="str">
        <f>+HYPERLINK("http://trademark.i-assist.jp/data/china/image_1927th/82529822.pdf","82529822")</f>
        <v>82529822</v>
      </c>
      <c r="F2013" s="9" t="s">
        <v>5601</v>
      </c>
      <c r="G2013" s="9" t="s">
        <v>5602</v>
      </c>
      <c r="H2013" s="9" t="s">
        <v>5603</v>
      </c>
      <c r="I2013" s="10">
        <v>45639</v>
      </c>
    </row>
    <row r="2014" spans="1:9" x14ac:dyDescent="0.15">
      <c r="A2014" s="9">
        <v>2013</v>
      </c>
      <c r="B2014" s="9" t="s">
        <v>9</v>
      </c>
      <c r="C2014" s="9">
        <v>1927</v>
      </c>
      <c r="D2014" s="10">
        <v>45729</v>
      </c>
      <c r="E2014" s="11" t="str">
        <f>+HYPERLINK("http://trademark.i-assist.jp/data/china/image_1927th/82529931.pdf","82529931")</f>
        <v>82529931</v>
      </c>
      <c r="F2014" s="9" t="s">
        <v>5604</v>
      </c>
      <c r="G2014" s="9" t="s">
        <v>5605</v>
      </c>
      <c r="H2014" s="9" t="s">
        <v>5606</v>
      </c>
      <c r="I2014" s="10">
        <v>45639</v>
      </c>
    </row>
    <row r="2015" spans="1:9" x14ac:dyDescent="0.15">
      <c r="A2015" s="9">
        <v>2014</v>
      </c>
      <c r="B2015" s="9" t="s">
        <v>9</v>
      </c>
      <c r="C2015" s="9">
        <v>1927</v>
      </c>
      <c r="D2015" s="10">
        <v>45729</v>
      </c>
      <c r="E2015" s="11" t="str">
        <f>+HYPERLINK("http://trademark.i-assist.jp/data/china/image_1927th/82529993.pdf","82529993")</f>
        <v>82529993</v>
      </c>
      <c r="F2015" s="9" t="s">
        <v>5607</v>
      </c>
      <c r="G2015" s="12" t="s">
        <v>5484</v>
      </c>
      <c r="H2015" s="9" t="s">
        <v>5608</v>
      </c>
      <c r="I2015" s="10">
        <v>45639</v>
      </c>
    </row>
    <row r="2016" spans="1:9" x14ac:dyDescent="0.15">
      <c r="A2016" s="9">
        <v>2015</v>
      </c>
      <c r="B2016" s="9" t="s">
        <v>9</v>
      </c>
      <c r="C2016" s="9">
        <v>1927</v>
      </c>
      <c r="D2016" s="10">
        <v>45729</v>
      </c>
      <c r="E2016" s="11" t="str">
        <f>+HYPERLINK("http://trademark.i-assist.jp/data/china/image_1927th/82530147.pdf","82530147")</f>
        <v>82530147</v>
      </c>
      <c r="F2016" s="12" t="s">
        <v>16</v>
      </c>
      <c r="G2016" s="9" t="s">
        <v>5609</v>
      </c>
      <c r="H2016" s="9" t="s">
        <v>5610</v>
      </c>
      <c r="I2016" s="10">
        <v>45639</v>
      </c>
    </row>
    <row r="2017" spans="1:9" x14ac:dyDescent="0.15">
      <c r="A2017" s="9">
        <v>2016</v>
      </c>
      <c r="B2017" s="9" t="s">
        <v>9</v>
      </c>
      <c r="C2017" s="9">
        <v>1927</v>
      </c>
      <c r="D2017" s="10">
        <v>45729</v>
      </c>
      <c r="E2017" s="11" t="str">
        <f>+HYPERLINK("http://trademark.i-assist.jp/data/china/image_1927th/82530150.pdf","82530150")</f>
        <v>82530150</v>
      </c>
      <c r="F2017" s="12" t="s">
        <v>5611</v>
      </c>
      <c r="G2017" s="9" t="s">
        <v>22</v>
      </c>
      <c r="H2017" s="9" t="s">
        <v>5612</v>
      </c>
      <c r="I2017" s="10">
        <v>45639</v>
      </c>
    </row>
    <row r="2018" spans="1:9" x14ac:dyDescent="0.15">
      <c r="A2018" s="9">
        <v>2017</v>
      </c>
      <c r="B2018" s="9" t="s">
        <v>9</v>
      </c>
      <c r="C2018" s="9">
        <v>1927</v>
      </c>
      <c r="D2018" s="10">
        <v>45729</v>
      </c>
      <c r="E2018" s="11" t="str">
        <f>+HYPERLINK("http://trademark.i-assist.jp/data/china/image_1927th/82530514.pdf","82530514")</f>
        <v>82530514</v>
      </c>
      <c r="F2018" s="9" t="s">
        <v>5613</v>
      </c>
      <c r="G2018" s="9" t="s">
        <v>5614</v>
      </c>
      <c r="H2018" s="9" t="s">
        <v>5615</v>
      </c>
      <c r="I2018" s="10">
        <v>45639</v>
      </c>
    </row>
    <row r="2019" spans="1:9" x14ac:dyDescent="0.15">
      <c r="A2019" s="9">
        <v>2018</v>
      </c>
      <c r="B2019" s="9" t="s">
        <v>9</v>
      </c>
      <c r="C2019" s="9">
        <v>1927</v>
      </c>
      <c r="D2019" s="10">
        <v>45729</v>
      </c>
      <c r="E2019" s="11" t="str">
        <f>+HYPERLINK("http://trademark.i-assist.jp/data/china/image_1927th/82530549.pdf","82530549")</f>
        <v>82530549</v>
      </c>
      <c r="F2019" s="12" t="s">
        <v>16</v>
      </c>
      <c r="G2019" s="12" t="s">
        <v>5616</v>
      </c>
      <c r="H2019" s="9" t="s">
        <v>5617</v>
      </c>
      <c r="I2019" s="10">
        <v>45639</v>
      </c>
    </row>
    <row r="2020" spans="1:9" x14ac:dyDescent="0.15">
      <c r="A2020" s="9">
        <v>2019</v>
      </c>
      <c r="B2020" s="9" t="s">
        <v>9</v>
      </c>
      <c r="C2020" s="9">
        <v>1927</v>
      </c>
      <c r="D2020" s="10">
        <v>45729</v>
      </c>
      <c r="E2020" s="11" t="str">
        <f>+HYPERLINK("http://trademark.i-assist.jp/data/china/image_1927th/82530566.pdf","82530566")</f>
        <v>82530566</v>
      </c>
      <c r="F2020" s="9" t="s">
        <v>5618</v>
      </c>
      <c r="G2020" s="9" t="s">
        <v>5619</v>
      </c>
      <c r="H2020" s="9" t="s">
        <v>5620</v>
      </c>
      <c r="I2020" s="10">
        <v>45639</v>
      </c>
    </row>
    <row r="2021" spans="1:9" x14ac:dyDescent="0.15">
      <c r="A2021" s="9">
        <v>2020</v>
      </c>
      <c r="B2021" s="9" t="s">
        <v>9</v>
      </c>
      <c r="C2021" s="9">
        <v>1927</v>
      </c>
      <c r="D2021" s="10">
        <v>45729</v>
      </c>
      <c r="E2021" s="11" t="str">
        <f>+HYPERLINK("http://trademark.i-assist.jp/data/china/image_1927th/82530812.pdf","82530812")</f>
        <v>82530812</v>
      </c>
      <c r="F2021" s="9" t="s">
        <v>5621</v>
      </c>
      <c r="G2021" s="9" t="s">
        <v>5622</v>
      </c>
      <c r="H2021" s="9" t="s">
        <v>5623</v>
      </c>
      <c r="I2021" s="10">
        <v>45639</v>
      </c>
    </row>
    <row r="2022" spans="1:9" x14ac:dyDescent="0.15">
      <c r="A2022" s="9">
        <v>2021</v>
      </c>
      <c r="B2022" s="9" t="s">
        <v>9</v>
      </c>
      <c r="C2022" s="9">
        <v>1927</v>
      </c>
      <c r="D2022" s="10">
        <v>45729</v>
      </c>
      <c r="E2022" s="11" t="str">
        <f>+HYPERLINK("http://trademark.i-assist.jp/data/china/image_1927th/82531045.pdf","82531045")</f>
        <v>82531045</v>
      </c>
      <c r="F2022" s="12" t="s">
        <v>16</v>
      </c>
      <c r="G2022" s="12" t="s">
        <v>5624</v>
      </c>
      <c r="H2022" s="9" t="s">
        <v>5625</v>
      </c>
      <c r="I2022" s="10">
        <v>45639</v>
      </c>
    </row>
    <row r="2023" spans="1:9" x14ac:dyDescent="0.15">
      <c r="A2023" s="9">
        <v>2022</v>
      </c>
      <c r="B2023" s="9" t="s">
        <v>9</v>
      </c>
      <c r="C2023" s="9">
        <v>1927</v>
      </c>
      <c r="D2023" s="10">
        <v>45729</v>
      </c>
      <c r="E2023" s="11" t="str">
        <f>+HYPERLINK("http://trademark.i-assist.jp/data/china/image_1927th/82531171.pdf","82531171")</f>
        <v>82531171</v>
      </c>
      <c r="F2023" s="9" t="s">
        <v>5592</v>
      </c>
      <c r="G2023" s="12" t="s">
        <v>5593</v>
      </c>
      <c r="H2023" s="9" t="s">
        <v>5626</v>
      </c>
      <c r="I2023" s="10">
        <v>45639</v>
      </c>
    </row>
    <row r="2024" spans="1:9" x14ac:dyDescent="0.15">
      <c r="A2024" s="9">
        <v>2023</v>
      </c>
      <c r="B2024" s="9" t="s">
        <v>9</v>
      </c>
      <c r="C2024" s="9">
        <v>1927</v>
      </c>
      <c r="D2024" s="10">
        <v>45729</v>
      </c>
      <c r="E2024" s="11" t="str">
        <f>+HYPERLINK("http://trademark.i-assist.jp/data/china/image_1927th/82531313.pdf","82531313")</f>
        <v>82531313</v>
      </c>
      <c r="F2024" s="13" t="s">
        <v>5627</v>
      </c>
      <c r="G2024" s="12" t="s">
        <v>5516</v>
      </c>
      <c r="H2024" s="9" t="s">
        <v>5628</v>
      </c>
      <c r="I2024" s="10">
        <v>45639</v>
      </c>
    </row>
    <row r="2025" spans="1:9" x14ac:dyDescent="0.15">
      <c r="A2025" s="9">
        <v>2024</v>
      </c>
      <c r="B2025" s="9" t="s">
        <v>9</v>
      </c>
      <c r="C2025" s="9">
        <v>1927</v>
      </c>
      <c r="D2025" s="10">
        <v>45729</v>
      </c>
      <c r="E2025" s="11" t="str">
        <f>+HYPERLINK("http://trademark.i-assist.jp/data/china/image_1927th/82531349.pdf","82531349")</f>
        <v>82531349</v>
      </c>
      <c r="F2025" s="9" t="s">
        <v>5629</v>
      </c>
      <c r="G2025" s="12" t="s">
        <v>5630</v>
      </c>
      <c r="H2025" s="9" t="s">
        <v>5631</v>
      </c>
      <c r="I2025" s="10">
        <v>45639</v>
      </c>
    </row>
    <row r="2026" spans="1:9" x14ac:dyDescent="0.15">
      <c r="A2026" s="9">
        <v>2025</v>
      </c>
      <c r="B2026" s="9" t="s">
        <v>9</v>
      </c>
      <c r="C2026" s="9">
        <v>1927</v>
      </c>
      <c r="D2026" s="10">
        <v>45729</v>
      </c>
      <c r="E2026" s="11" t="str">
        <f>+HYPERLINK("http://trademark.i-assist.jp/data/china/image_1927th/82531352.pdf","82531352")</f>
        <v>82531352</v>
      </c>
      <c r="F2026" s="9" t="s">
        <v>5632</v>
      </c>
      <c r="G2026" s="12" t="s">
        <v>5633</v>
      </c>
      <c r="H2026" s="9" t="s">
        <v>5634</v>
      </c>
      <c r="I2026" s="10">
        <v>45639</v>
      </c>
    </row>
    <row r="2027" spans="1:9" x14ac:dyDescent="0.15">
      <c r="A2027" s="9">
        <v>2026</v>
      </c>
      <c r="B2027" s="9" t="s">
        <v>9</v>
      </c>
      <c r="C2027" s="9">
        <v>1927</v>
      </c>
      <c r="D2027" s="10">
        <v>45729</v>
      </c>
      <c r="E2027" s="11" t="str">
        <f>+HYPERLINK("http://trademark.i-assist.jp/data/china/image_1927th/82531494.pdf","82531494")</f>
        <v>82531494</v>
      </c>
      <c r="F2027" s="9" t="s">
        <v>5635</v>
      </c>
      <c r="G2027" s="9" t="s">
        <v>5636</v>
      </c>
      <c r="H2027" s="9" t="s">
        <v>5637</v>
      </c>
      <c r="I2027" s="10">
        <v>45639</v>
      </c>
    </row>
    <row r="2028" spans="1:9" x14ac:dyDescent="0.15">
      <c r="A2028" s="9">
        <v>2027</v>
      </c>
      <c r="B2028" s="9" t="s">
        <v>9</v>
      </c>
      <c r="C2028" s="9">
        <v>1927</v>
      </c>
      <c r="D2028" s="10">
        <v>45729</v>
      </c>
      <c r="E2028" s="11" t="str">
        <f>+HYPERLINK("http://trademark.i-assist.jp/data/china/image_1927th/82531525.pdf","82531525")</f>
        <v>82531525</v>
      </c>
      <c r="F2028" s="9" t="s">
        <v>5638</v>
      </c>
      <c r="G2028" s="9" t="s">
        <v>5639</v>
      </c>
      <c r="H2028" s="9" t="s">
        <v>5640</v>
      </c>
      <c r="I2028" s="10">
        <v>45639</v>
      </c>
    </row>
    <row r="2029" spans="1:9" x14ac:dyDescent="0.15">
      <c r="A2029" s="9">
        <v>2028</v>
      </c>
      <c r="B2029" s="9" t="s">
        <v>9</v>
      </c>
      <c r="C2029" s="9">
        <v>1927</v>
      </c>
      <c r="D2029" s="10">
        <v>45729</v>
      </c>
      <c r="E2029" s="11" t="str">
        <f>+HYPERLINK("http://trademark.i-assist.jp/data/china/image_1927th/82531619.pdf","82531619")</f>
        <v>82531619</v>
      </c>
      <c r="F2029" s="9" t="s">
        <v>5641</v>
      </c>
      <c r="G2029" s="9" t="s">
        <v>224</v>
      </c>
      <c r="H2029" s="9" t="s">
        <v>5642</v>
      </c>
      <c r="I2029" s="10">
        <v>45639</v>
      </c>
    </row>
    <row r="2030" spans="1:9" x14ac:dyDescent="0.15">
      <c r="A2030" s="9">
        <v>2029</v>
      </c>
      <c r="B2030" s="9" t="s">
        <v>9</v>
      </c>
      <c r="C2030" s="9">
        <v>1927</v>
      </c>
      <c r="D2030" s="10">
        <v>45729</v>
      </c>
      <c r="E2030" s="11" t="str">
        <f>+HYPERLINK("http://trademark.i-assist.jp/data/china/image_1927th/82531673.pdf","82531673")</f>
        <v>82531673</v>
      </c>
      <c r="F2030" s="9" t="s">
        <v>5643</v>
      </c>
      <c r="G2030" s="9" t="s">
        <v>5644</v>
      </c>
      <c r="H2030" s="9" t="s">
        <v>5645</v>
      </c>
      <c r="I2030" s="10">
        <v>45639</v>
      </c>
    </row>
    <row r="2031" spans="1:9" x14ac:dyDescent="0.15">
      <c r="A2031" s="9">
        <v>2030</v>
      </c>
      <c r="B2031" s="9" t="s">
        <v>9</v>
      </c>
      <c r="C2031" s="9">
        <v>1927</v>
      </c>
      <c r="D2031" s="10">
        <v>45729</v>
      </c>
      <c r="E2031" s="11" t="str">
        <f>+HYPERLINK("http://trademark.i-assist.jp/data/china/image_1927th/82531693.pdf","82531693")</f>
        <v>82531693</v>
      </c>
      <c r="F2031" s="9" t="s">
        <v>5646</v>
      </c>
      <c r="G2031" s="9" t="s">
        <v>4961</v>
      </c>
      <c r="H2031" s="9" t="s">
        <v>5647</v>
      </c>
      <c r="I2031" s="10">
        <v>45639</v>
      </c>
    </row>
    <row r="2032" spans="1:9" x14ac:dyDescent="0.15">
      <c r="A2032" s="9">
        <v>2031</v>
      </c>
      <c r="B2032" s="9" t="s">
        <v>9</v>
      </c>
      <c r="C2032" s="9">
        <v>1927</v>
      </c>
      <c r="D2032" s="10">
        <v>45729</v>
      </c>
      <c r="E2032" s="11" t="str">
        <f>+HYPERLINK("http://trademark.i-assist.jp/data/china/image_1927th/82531714.pdf","82531714")</f>
        <v>82531714</v>
      </c>
      <c r="F2032" s="9" t="s">
        <v>5648</v>
      </c>
      <c r="G2032" s="9" t="s">
        <v>5649</v>
      </c>
      <c r="H2032" s="9" t="s">
        <v>5650</v>
      </c>
      <c r="I2032" s="10">
        <v>45639</v>
      </c>
    </row>
    <row r="2033" spans="1:9" x14ac:dyDescent="0.15">
      <c r="A2033" s="9">
        <v>2032</v>
      </c>
      <c r="B2033" s="9" t="s">
        <v>9</v>
      </c>
      <c r="C2033" s="9">
        <v>1927</v>
      </c>
      <c r="D2033" s="10">
        <v>45729</v>
      </c>
      <c r="E2033" s="11" t="str">
        <f>+HYPERLINK("http://trademark.i-assist.jp/data/china/image_1927th/82531761.pdf","82531761")</f>
        <v>82531761</v>
      </c>
      <c r="F2033" s="9" t="s">
        <v>5651</v>
      </c>
      <c r="G2033" s="9" t="s">
        <v>5652</v>
      </c>
      <c r="H2033" s="9" t="s">
        <v>5653</v>
      </c>
      <c r="I2033" s="10">
        <v>45639</v>
      </c>
    </row>
    <row r="2034" spans="1:9" x14ac:dyDescent="0.15">
      <c r="A2034" s="9">
        <v>2033</v>
      </c>
      <c r="B2034" s="9" t="s">
        <v>9</v>
      </c>
      <c r="C2034" s="9">
        <v>1927</v>
      </c>
      <c r="D2034" s="10">
        <v>45729</v>
      </c>
      <c r="E2034" s="11" t="str">
        <f>+HYPERLINK("http://trademark.i-assist.jp/data/china/image_1927th/82531804.pdf","82531804")</f>
        <v>82531804</v>
      </c>
      <c r="F2034" s="9" t="s">
        <v>5654</v>
      </c>
      <c r="G2034" s="9" t="s">
        <v>5655</v>
      </c>
      <c r="H2034" s="9" t="s">
        <v>5656</v>
      </c>
      <c r="I2034" s="10">
        <v>45639</v>
      </c>
    </row>
    <row r="2035" spans="1:9" x14ac:dyDescent="0.15">
      <c r="A2035" s="9">
        <v>2034</v>
      </c>
      <c r="B2035" s="9" t="s">
        <v>9</v>
      </c>
      <c r="C2035" s="9">
        <v>1927</v>
      </c>
      <c r="D2035" s="10">
        <v>45729</v>
      </c>
      <c r="E2035" s="11" t="str">
        <f>+HYPERLINK("http://trademark.i-assist.jp/data/china/image_1927th/82532283.pdf","82532283")</f>
        <v>82532283</v>
      </c>
      <c r="F2035" s="9" t="s">
        <v>5657</v>
      </c>
      <c r="G2035" s="12" t="s">
        <v>5658</v>
      </c>
      <c r="H2035" s="9" t="s">
        <v>5659</v>
      </c>
      <c r="I2035" s="10">
        <v>45639</v>
      </c>
    </row>
    <row r="2036" spans="1:9" x14ac:dyDescent="0.15">
      <c r="A2036" s="9">
        <v>2035</v>
      </c>
      <c r="B2036" s="9" t="s">
        <v>9</v>
      </c>
      <c r="C2036" s="9">
        <v>1927</v>
      </c>
      <c r="D2036" s="10">
        <v>45729</v>
      </c>
      <c r="E2036" s="11" t="str">
        <f>+HYPERLINK("http://trademark.i-assist.jp/data/china/image_1927th/82532350.pdf","82532350")</f>
        <v>82532350</v>
      </c>
      <c r="F2036" s="9" t="s">
        <v>5660</v>
      </c>
      <c r="G2036" s="12" t="s">
        <v>5661</v>
      </c>
      <c r="H2036" s="12" t="s">
        <v>5662</v>
      </c>
      <c r="I2036" s="10">
        <v>45639</v>
      </c>
    </row>
    <row r="2037" spans="1:9" x14ac:dyDescent="0.15">
      <c r="A2037" s="9">
        <v>2036</v>
      </c>
      <c r="B2037" s="9" t="s">
        <v>9</v>
      </c>
      <c r="C2037" s="9">
        <v>1927</v>
      </c>
      <c r="D2037" s="10">
        <v>45729</v>
      </c>
      <c r="E2037" s="11" t="str">
        <f>+HYPERLINK("http://trademark.i-assist.jp/data/china/image_1927th/82532741.pdf","82532741")</f>
        <v>82532741</v>
      </c>
      <c r="F2037" s="9" t="s">
        <v>5663</v>
      </c>
      <c r="G2037" s="12" t="s">
        <v>4021</v>
      </c>
      <c r="H2037" s="9" t="s">
        <v>5664</v>
      </c>
      <c r="I2037" s="10">
        <v>45639</v>
      </c>
    </row>
    <row r="2038" spans="1:9" x14ac:dyDescent="0.15">
      <c r="A2038" s="9">
        <v>2037</v>
      </c>
      <c r="B2038" s="9" t="s">
        <v>9</v>
      </c>
      <c r="C2038" s="9">
        <v>1927</v>
      </c>
      <c r="D2038" s="10">
        <v>45729</v>
      </c>
      <c r="E2038" s="11" t="str">
        <f>+HYPERLINK("http://trademark.i-assist.jp/data/china/image_1927th/82532862.pdf","82532862")</f>
        <v>82532862</v>
      </c>
      <c r="F2038" s="9" t="s">
        <v>5665</v>
      </c>
      <c r="G2038" s="12" t="s">
        <v>5666</v>
      </c>
      <c r="H2038" s="9" t="s">
        <v>5667</v>
      </c>
      <c r="I2038" s="10">
        <v>45639</v>
      </c>
    </row>
    <row r="2039" spans="1:9" x14ac:dyDescent="0.15">
      <c r="A2039" s="9">
        <v>2038</v>
      </c>
      <c r="B2039" s="9" t="s">
        <v>9</v>
      </c>
      <c r="C2039" s="9">
        <v>1927</v>
      </c>
      <c r="D2039" s="10">
        <v>45729</v>
      </c>
      <c r="E2039" s="11" t="str">
        <f>+HYPERLINK("http://trademark.i-assist.jp/data/china/image_1927th/82532876.pdf","82532876")</f>
        <v>82532876</v>
      </c>
      <c r="F2039" s="9" t="s">
        <v>5668</v>
      </c>
      <c r="G2039" s="12" t="s">
        <v>5666</v>
      </c>
      <c r="H2039" s="9" t="s">
        <v>5669</v>
      </c>
      <c r="I2039" s="10">
        <v>45639</v>
      </c>
    </row>
    <row r="2040" spans="1:9" x14ac:dyDescent="0.15">
      <c r="A2040" s="9">
        <v>2039</v>
      </c>
      <c r="B2040" s="9" t="s">
        <v>9</v>
      </c>
      <c r="C2040" s="9">
        <v>1927</v>
      </c>
      <c r="D2040" s="10">
        <v>45729</v>
      </c>
      <c r="E2040" s="11" t="str">
        <f>+HYPERLINK("http://trademark.i-assist.jp/data/china/image_1927th/82532912.pdf","82532912")</f>
        <v>82532912</v>
      </c>
      <c r="F2040" s="9" t="s">
        <v>5670</v>
      </c>
      <c r="G2040" s="12" t="s">
        <v>5666</v>
      </c>
      <c r="H2040" s="9" t="s">
        <v>5671</v>
      </c>
      <c r="I2040" s="10">
        <v>45639</v>
      </c>
    </row>
    <row r="2041" spans="1:9" x14ac:dyDescent="0.15">
      <c r="A2041" s="9">
        <v>2040</v>
      </c>
      <c r="B2041" s="9" t="s">
        <v>9</v>
      </c>
      <c r="C2041" s="9">
        <v>1927</v>
      </c>
      <c r="D2041" s="10">
        <v>45729</v>
      </c>
      <c r="E2041" s="11" t="str">
        <f>+HYPERLINK("http://trademark.i-assist.jp/data/china/image_1927th/82532915.pdf","82532915")</f>
        <v>82532915</v>
      </c>
      <c r="F2041" s="9" t="s">
        <v>5672</v>
      </c>
      <c r="G2041" s="12" t="s">
        <v>5666</v>
      </c>
      <c r="H2041" s="9" t="s">
        <v>5673</v>
      </c>
      <c r="I2041" s="10">
        <v>45639</v>
      </c>
    </row>
    <row r="2042" spans="1:9" x14ac:dyDescent="0.15">
      <c r="A2042" s="9">
        <v>2041</v>
      </c>
      <c r="B2042" s="9" t="s">
        <v>9</v>
      </c>
      <c r="C2042" s="9">
        <v>1927</v>
      </c>
      <c r="D2042" s="10">
        <v>45729</v>
      </c>
      <c r="E2042" s="11" t="str">
        <f>+HYPERLINK("http://trademark.i-assist.jp/data/china/image_1927th/82532951.pdf","82532951")</f>
        <v>82532951</v>
      </c>
      <c r="F2042" s="9" t="s">
        <v>5674</v>
      </c>
      <c r="G2042" s="9" t="s">
        <v>5675</v>
      </c>
      <c r="H2042" s="9" t="s">
        <v>5676</v>
      </c>
      <c r="I2042" s="10">
        <v>45639</v>
      </c>
    </row>
    <row r="2043" spans="1:9" x14ac:dyDescent="0.15">
      <c r="A2043" s="9">
        <v>2042</v>
      </c>
      <c r="B2043" s="9" t="s">
        <v>9</v>
      </c>
      <c r="C2043" s="9">
        <v>1927</v>
      </c>
      <c r="D2043" s="10">
        <v>45729</v>
      </c>
      <c r="E2043" s="11" t="str">
        <f>+HYPERLINK("http://trademark.i-assist.jp/data/china/image_1927th/82533046.pdf","82533046")</f>
        <v>82533046</v>
      </c>
      <c r="F2043" s="9" t="s">
        <v>5677</v>
      </c>
      <c r="G2043" s="9" t="s">
        <v>5678</v>
      </c>
      <c r="H2043" s="9" t="s">
        <v>5679</v>
      </c>
      <c r="I2043" s="10">
        <v>45639</v>
      </c>
    </row>
    <row r="2044" spans="1:9" x14ac:dyDescent="0.15">
      <c r="A2044" s="9">
        <v>2043</v>
      </c>
      <c r="B2044" s="9" t="s">
        <v>9</v>
      </c>
      <c r="C2044" s="9">
        <v>1927</v>
      </c>
      <c r="D2044" s="10">
        <v>45729</v>
      </c>
      <c r="E2044" s="11" t="str">
        <f>+HYPERLINK("http://trademark.i-assist.jp/data/china/image_1927th/82533118.pdf","82533118")</f>
        <v>82533118</v>
      </c>
      <c r="F2044" s="9" t="s">
        <v>5680</v>
      </c>
      <c r="G2044" s="9" t="s">
        <v>5681</v>
      </c>
      <c r="H2044" s="9" t="s">
        <v>5682</v>
      </c>
      <c r="I2044" s="10">
        <v>45639</v>
      </c>
    </row>
    <row r="2045" spans="1:9" x14ac:dyDescent="0.15">
      <c r="A2045" s="9">
        <v>2044</v>
      </c>
      <c r="B2045" s="9" t="s">
        <v>9</v>
      </c>
      <c r="C2045" s="9">
        <v>1927</v>
      </c>
      <c r="D2045" s="10">
        <v>45729</v>
      </c>
      <c r="E2045" s="11" t="str">
        <f>+HYPERLINK("http://trademark.i-assist.jp/data/china/image_1927th/82533123.pdf","82533123")</f>
        <v>82533123</v>
      </c>
      <c r="F2045" s="9" t="s">
        <v>5683</v>
      </c>
      <c r="G2045" s="9" t="s">
        <v>5684</v>
      </c>
      <c r="H2045" s="9" t="s">
        <v>5685</v>
      </c>
      <c r="I2045" s="10">
        <v>45639</v>
      </c>
    </row>
    <row r="2046" spans="1:9" x14ac:dyDescent="0.15">
      <c r="A2046" s="9">
        <v>2045</v>
      </c>
      <c r="B2046" s="9" t="s">
        <v>9</v>
      </c>
      <c r="C2046" s="9">
        <v>1927</v>
      </c>
      <c r="D2046" s="10">
        <v>45729</v>
      </c>
      <c r="E2046" s="11" t="str">
        <f>+HYPERLINK("http://trademark.i-assist.jp/data/china/image_1927th/82533141.pdf","82533141")</f>
        <v>82533141</v>
      </c>
      <c r="F2046" s="9" t="s">
        <v>5686</v>
      </c>
      <c r="G2046" s="12" t="s">
        <v>5687</v>
      </c>
      <c r="H2046" s="9" t="s">
        <v>5688</v>
      </c>
      <c r="I2046" s="10">
        <v>45639</v>
      </c>
    </row>
    <row r="2047" spans="1:9" x14ac:dyDescent="0.15">
      <c r="A2047" s="9">
        <v>2046</v>
      </c>
      <c r="B2047" s="9" t="s">
        <v>9</v>
      </c>
      <c r="C2047" s="9">
        <v>1927</v>
      </c>
      <c r="D2047" s="10">
        <v>45729</v>
      </c>
      <c r="E2047" s="11" t="str">
        <f>+HYPERLINK("http://trademark.i-assist.jp/data/china/image_1927th/82533324.pdf","82533324")</f>
        <v>82533324</v>
      </c>
      <c r="F2047" s="9" t="s">
        <v>5689</v>
      </c>
      <c r="G2047" s="9" t="s">
        <v>5690</v>
      </c>
      <c r="H2047" s="9" t="s">
        <v>5691</v>
      </c>
      <c r="I2047" s="10">
        <v>45639</v>
      </c>
    </row>
    <row r="2048" spans="1:9" x14ac:dyDescent="0.15">
      <c r="A2048" s="9">
        <v>2047</v>
      </c>
      <c r="B2048" s="9" t="s">
        <v>9</v>
      </c>
      <c r="C2048" s="9">
        <v>1927</v>
      </c>
      <c r="D2048" s="10">
        <v>45729</v>
      </c>
      <c r="E2048" s="11" t="str">
        <f>+HYPERLINK("http://trademark.i-assist.jp/data/china/image_1927th/82533581.pdf","82533581")</f>
        <v>82533581</v>
      </c>
      <c r="F2048" s="9" t="s">
        <v>5692</v>
      </c>
      <c r="G2048" s="12" t="s">
        <v>5516</v>
      </c>
      <c r="H2048" s="9" t="s">
        <v>5693</v>
      </c>
      <c r="I2048" s="10">
        <v>45639</v>
      </c>
    </row>
    <row r="2049" spans="1:9" x14ac:dyDescent="0.15">
      <c r="A2049" s="9">
        <v>2048</v>
      </c>
      <c r="B2049" s="9" t="s">
        <v>9</v>
      </c>
      <c r="C2049" s="9">
        <v>1927</v>
      </c>
      <c r="D2049" s="10">
        <v>45729</v>
      </c>
      <c r="E2049" s="11" t="str">
        <f>+HYPERLINK("http://trademark.i-assist.jp/data/china/image_1927th/82533850.pdf","82533850")</f>
        <v>82533850</v>
      </c>
      <c r="F2049" s="9" t="s">
        <v>5694</v>
      </c>
      <c r="G2049" s="9" t="s">
        <v>225</v>
      </c>
      <c r="H2049" s="9" t="s">
        <v>5695</v>
      </c>
      <c r="I2049" s="10">
        <v>45639</v>
      </c>
    </row>
    <row r="2050" spans="1:9" x14ac:dyDescent="0.15">
      <c r="A2050" s="9">
        <v>2049</v>
      </c>
      <c r="B2050" s="9" t="s">
        <v>9</v>
      </c>
      <c r="C2050" s="9">
        <v>1927</v>
      </c>
      <c r="D2050" s="10">
        <v>45729</v>
      </c>
      <c r="E2050" s="11" t="str">
        <f>+HYPERLINK("http://trademark.i-assist.jp/data/china/image_1927th/82534108.pdf","82534108")</f>
        <v>82534108</v>
      </c>
      <c r="F2050" s="9" t="s">
        <v>5696</v>
      </c>
      <c r="G2050" s="9" t="s">
        <v>218</v>
      </c>
      <c r="H2050" s="9" t="s">
        <v>5697</v>
      </c>
      <c r="I2050" s="10">
        <v>45639</v>
      </c>
    </row>
    <row r="2051" spans="1:9" x14ac:dyDescent="0.15">
      <c r="A2051" s="9">
        <v>2050</v>
      </c>
      <c r="B2051" s="9" t="s">
        <v>9</v>
      </c>
      <c r="C2051" s="9">
        <v>1927</v>
      </c>
      <c r="D2051" s="10">
        <v>45729</v>
      </c>
      <c r="E2051" s="11" t="str">
        <f>+HYPERLINK("http://trademark.i-assist.jp/data/china/image_1927th/82534718.pdf","82534718")</f>
        <v>82534718</v>
      </c>
      <c r="F2051" s="9" t="s">
        <v>5698</v>
      </c>
      <c r="G2051" s="9" t="s">
        <v>5699</v>
      </c>
      <c r="H2051" s="9" t="s">
        <v>5700</v>
      </c>
      <c r="I2051" s="10">
        <v>45639</v>
      </c>
    </row>
    <row r="2052" spans="1:9" x14ac:dyDescent="0.15">
      <c r="A2052" s="9">
        <v>2051</v>
      </c>
      <c r="B2052" s="9" t="s">
        <v>9</v>
      </c>
      <c r="C2052" s="9">
        <v>1927</v>
      </c>
      <c r="D2052" s="10">
        <v>45729</v>
      </c>
      <c r="E2052" s="11" t="str">
        <f>+HYPERLINK("http://trademark.i-assist.jp/data/china/image_1927th/82534721.pdf","82534721")</f>
        <v>82534721</v>
      </c>
      <c r="F2052" s="9" t="s">
        <v>5701</v>
      </c>
      <c r="G2052" s="9" t="s">
        <v>5702</v>
      </c>
      <c r="H2052" s="9" t="s">
        <v>5703</v>
      </c>
      <c r="I2052" s="10">
        <v>45639</v>
      </c>
    </row>
    <row r="2053" spans="1:9" x14ac:dyDescent="0.15">
      <c r="A2053" s="9">
        <v>2052</v>
      </c>
      <c r="B2053" s="9" t="s">
        <v>9</v>
      </c>
      <c r="C2053" s="9">
        <v>1927</v>
      </c>
      <c r="D2053" s="10">
        <v>45729</v>
      </c>
      <c r="E2053" s="11" t="str">
        <f>+HYPERLINK("http://trademark.i-assist.jp/data/china/image_1927th/82534801.pdf","82534801")</f>
        <v>82534801</v>
      </c>
      <c r="F2053" s="9" t="s">
        <v>5704</v>
      </c>
      <c r="G2053" s="9" t="s">
        <v>5705</v>
      </c>
      <c r="H2053" s="9" t="s">
        <v>5706</v>
      </c>
      <c r="I2053" s="10">
        <v>45639</v>
      </c>
    </row>
    <row r="2054" spans="1:9" x14ac:dyDescent="0.15">
      <c r="A2054" s="9">
        <v>2053</v>
      </c>
      <c r="B2054" s="9" t="s">
        <v>9</v>
      </c>
      <c r="C2054" s="9">
        <v>1927</v>
      </c>
      <c r="D2054" s="10">
        <v>45729</v>
      </c>
      <c r="E2054" s="11" t="str">
        <f>+HYPERLINK("http://trademark.i-assist.jp/data/china/image_1927th/82534824.pdf","82534824")</f>
        <v>82534824</v>
      </c>
      <c r="F2054" s="9" t="s">
        <v>5707</v>
      </c>
      <c r="G2054" s="9" t="s">
        <v>5644</v>
      </c>
      <c r="H2054" s="9" t="s">
        <v>5708</v>
      </c>
      <c r="I2054" s="10">
        <v>45639</v>
      </c>
    </row>
    <row r="2055" spans="1:9" x14ac:dyDescent="0.15">
      <c r="A2055" s="9">
        <v>2054</v>
      </c>
      <c r="B2055" s="9" t="s">
        <v>9</v>
      </c>
      <c r="C2055" s="9">
        <v>1927</v>
      </c>
      <c r="D2055" s="10">
        <v>45729</v>
      </c>
      <c r="E2055" s="11" t="str">
        <f>+HYPERLINK("http://trademark.i-assist.jp/data/china/image_1927th/82535048.pdf","82535048")</f>
        <v>82535048</v>
      </c>
      <c r="F2055" s="9" t="s">
        <v>5709</v>
      </c>
      <c r="G2055" s="9" t="s">
        <v>5699</v>
      </c>
      <c r="H2055" s="9" t="s">
        <v>5710</v>
      </c>
      <c r="I2055" s="10">
        <v>45639</v>
      </c>
    </row>
    <row r="2056" spans="1:9" x14ac:dyDescent="0.15">
      <c r="A2056" s="9">
        <v>2055</v>
      </c>
      <c r="B2056" s="9" t="s">
        <v>9</v>
      </c>
      <c r="C2056" s="9">
        <v>1927</v>
      </c>
      <c r="D2056" s="10">
        <v>45729</v>
      </c>
      <c r="E2056" s="11" t="str">
        <f>+HYPERLINK("http://trademark.i-assist.jp/data/china/image_1927th/82535299.pdf","82535299")</f>
        <v>82535299</v>
      </c>
      <c r="F2056" s="9" t="s">
        <v>5711</v>
      </c>
      <c r="G2056" s="9" t="s">
        <v>5712</v>
      </c>
      <c r="H2056" s="9" t="s">
        <v>5713</v>
      </c>
      <c r="I2056" s="10">
        <v>45639</v>
      </c>
    </row>
    <row r="2057" spans="1:9" x14ac:dyDescent="0.15">
      <c r="A2057" s="9">
        <v>2056</v>
      </c>
      <c r="B2057" s="9" t="s">
        <v>9</v>
      </c>
      <c r="C2057" s="9">
        <v>1927</v>
      </c>
      <c r="D2057" s="10">
        <v>45729</v>
      </c>
      <c r="E2057" s="11" t="str">
        <f>+HYPERLINK("http://trademark.i-assist.jp/data/china/image_1927th/82535464.pdf","82535464")</f>
        <v>82535464</v>
      </c>
      <c r="F2057" s="9" t="s">
        <v>5714</v>
      </c>
      <c r="G2057" s="9" t="s">
        <v>5715</v>
      </c>
      <c r="H2057" s="9" t="s">
        <v>5716</v>
      </c>
      <c r="I2057" s="10">
        <v>45639</v>
      </c>
    </row>
    <row r="2058" spans="1:9" x14ac:dyDescent="0.15">
      <c r="A2058" s="9">
        <v>2057</v>
      </c>
      <c r="B2058" s="9" t="s">
        <v>9</v>
      </c>
      <c r="C2058" s="9">
        <v>1927</v>
      </c>
      <c r="D2058" s="10">
        <v>45729</v>
      </c>
      <c r="E2058" s="11" t="str">
        <f>+HYPERLINK("http://trademark.i-assist.jp/data/china/image_1927th/82535526.pdf","82535526")</f>
        <v>82535526</v>
      </c>
      <c r="F2058" s="9" t="s">
        <v>5717</v>
      </c>
      <c r="G2058" s="9" t="s">
        <v>5718</v>
      </c>
      <c r="H2058" s="9" t="s">
        <v>5719</v>
      </c>
      <c r="I2058" s="10">
        <v>45639</v>
      </c>
    </row>
    <row r="2059" spans="1:9" x14ac:dyDescent="0.15">
      <c r="A2059" s="9">
        <v>2058</v>
      </c>
      <c r="B2059" s="9" t="s">
        <v>9</v>
      </c>
      <c r="C2059" s="9">
        <v>1927</v>
      </c>
      <c r="D2059" s="10">
        <v>45729</v>
      </c>
      <c r="E2059" s="11" t="str">
        <f>+HYPERLINK("http://trademark.i-assist.jp/data/china/image_1927th/82535569.pdf","82535569")</f>
        <v>82535569</v>
      </c>
      <c r="F2059" s="12" t="s">
        <v>5720</v>
      </c>
      <c r="G2059" s="9" t="s">
        <v>5721</v>
      </c>
      <c r="H2059" s="9" t="s">
        <v>5722</v>
      </c>
      <c r="I2059" s="10">
        <v>45639</v>
      </c>
    </row>
    <row r="2060" spans="1:9" x14ac:dyDescent="0.15">
      <c r="A2060" s="9">
        <v>2059</v>
      </c>
      <c r="B2060" s="9" t="s">
        <v>9</v>
      </c>
      <c r="C2060" s="9">
        <v>1927</v>
      </c>
      <c r="D2060" s="10">
        <v>45729</v>
      </c>
      <c r="E2060" s="11" t="str">
        <f>+HYPERLINK("http://trademark.i-assist.jp/data/china/image_1927th/82535593.pdf","82535593")</f>
        <v>82535593</v>
      </c>
      <c r="F2060" s="9" t="s">
        <v>5723</v>
      </c>
      <c r="G2060" s="9" t="s">
        <v>5724</v>
      </c>
      <c r="H2060" s="9" t="s">
        <v>5725</v>
      </c>
      <c r="I2060" s="10">
        <v>45639</v>
      </c>
    </row>
    <row r="2061" spans="1:9" x14ac:dyDescent="0.15">
      <c r="A2061" s="9">
        <v>2060</v>
      </c>
      <c r="B2061" s="9" t="s">
        <v>9</v>
      </c>
      <c r="C2061" s="9">
        <v>1927</v>
      </c>
      <c r="D2061" s="10">
        <v>45729</v>
      </c>
      <c r="E2061" s="11" t="str">
        <f>+HYPERLINK("http://trademark.i-assist.jp/data/china/image_1927th/82535767.pdf","82535767")</f>
        <v>82535767</v>
      </c>
      <c r="F2061" s="9" t="s">
        <v>5726</v>
      </c>
      <c r="G2061" s="9" t="s">
        <v>5619</v>
      </c>
      <c r="H2061" s="9" t="s">
        <v>5727</v>
      </c>
      <c r="I2061" s="10">
        <v>45639</v>
      </c>
    </row>
    <row r="2062" spans="1:9" x14ac:dyDescent="0.15">
      <c r="A2062" s="9">
        <v>2061</v>
      </c>
      <c r="B2062" s="9" t="s">
        <v>9</v>
      </c>
      <c r="C2062" s="9">
        <v>1927</v>
      </c>
      <c r="D2062" s="10">
        <v>45729</v>
      </c>
      <c r="E2062" s="11" t="str">
        <f>+HYPERLINK("http://trademark.i-assist.jp/data/china/image_1927th/82535807.pdf","82535807")</f>
        <v>82535807</v>
      </c>
      <c r="F2062" s="9" t="s">
        <v>5728</v>
      </c>
      <c r="G2062" s="9" t="s">
        <v>5619</v>
      </c>
      <c r="H2062" s="9" t="s">
        <v>5729</v>
      </c>
      <c r="I2062" s="10">
        <v>45639</v>
      </c>
    </row>
    <row r="2063" spans="1:9" x14ac:dyDescent="0.15">
      <c r="A2063" s="9">
        <v>2062</v>
      </c>
      <c r="B2063" s="9" t="s">
        <v>9</v>
      </c>
      <c r="C2063" s="9">
        <v>1927</v>
      </c>
      <c r="D2063" s="10">
        <v>45729</v>
      </c>
      <c r="E2063" s="11" t="str">
        <f>+HYPERLINK("http://trademark.i-assist.jp/data/china/image_1927th/82535982.pdf","82535982")</f>
        <v>82535982</v>
      </c>
      <c r="F2063" s="9" t="s">
        <v>5730</v>
      </c>
      <c r="G2063" s="9" t="s">
        <v>5731</v>
      </c>
      <c r="H2063" s="9" t="s">
        <v>5732</v>
      </c>
      <c r="I2063" s="10">
        <v>45639</v>
      </c>
    </row>
    <row r="2064" spans="1:9" x14ac:dyDescent="0.15">
      <c r="A2064" s="9">
        <v>2063</v>
      </c>
      <c r="B2064" s="9" t="s">
        <v>9</v>
      </c>
      <c r="C2064" s="9">
        <v>1927</v>
      </c>
      <c r="D2064" s="10">
        <v>45729</v>
      </c>
      <c r="E2064" s="11" t="str">
        <f>+HYPERLINK("http://trademark.i-assist.jp/data/china/image_1927th/82536013.pdf","82536013")</f>
        <v>82536013</v>
      </c>
      <c r="F2064" s="9" t="s">
        <v>5733</v>
      </c>
      <c r="G2064" s="12" t="s">
        <v>5579</v>
      </c>
      <c r="H2064" s="9" t="s">
        <v>5734</v>
      </c>
      <c r="I2064" s="10">
        <v>45639</v>
      </c>
    </row>
    <row r="2065" spans="1:9" x14ac:dyDescent="0.15">
      <c r="A2065" s="9">
        <v>2064</v>
      </c>
      <c r="B2065" s="9" t="s">
        <v>9</v>
      </c>
      <c r="C2065" s="9">
        <v>1927</v>
      </c>
      <c r="D2065" s="10">
        <v>45729</v>
      </c>
      <c r="E2065" s="11" t="str">
        <f>+HYPERLINK("http://trademark.i-assist.jp/data/china/image_1927th/82536026.pdf","82536026")</f>
        <v>82536026</v>
      </c>
      <c r="F2065" s="9" t="s">
        <v>5735</v>
      </c>
      <c r="G2065" s="9" t="s">
        <v>5736</v>
      </c>
      <c r="H2065" s="9" t="s">
        <v>5737</v>
      </c>
      <c r="I2065" s="10">
        <v>45639</v>
      </c>
    </row>
    <row r="2066" spans="1:9" x14ac:dyDescent="0.15">
      <c r="A2066" s="9">
        <v>2065</v>
      </c>
      <c r="B2066" s="9" t="s">
        <v>9</v>
      </c>
      <c r="C2066" s="9">
        <v>1927</v>
      </c>
      <c r="D2066" s="10">
        <v>45729</v>
      </c>
      <c r="E2066" s="11" t="str">
        <f>+HYPERLINK("http://trademark.i-assist.jp/data/china/image_1927th/82536053.pdf","82536053")</f>
        <v>82536053</v>
      </c>
      <c r="F2066" s="9" t="s">
        <v>5738</v>
      </c>
      <c r="G2066" s="12" t="s">
        <v>5739</v>
      </c>
      <c r="H2066" s="9" t="s">
        <v>5740</v>
      </c>
      <c r="I2066" s="10">
        <v>45639</v>
      </c>
    </row>
    <row r="2067" spans="1:9" x14ac:dyDescent="0.15">
      <c r="A2067" s="9">
        <v>2066</v>
      </c>
      <c r="B2067" s="9" t="s">
        <v>9</v>
      </c>
      <c r="C2067" s="9">
        <v>1927</v>
      </c>
      <c r="D2067" s="10">
        <v>45729</v>
      </c>
      <c r="E2067" s="11" t="str">
        <f>+HYPERLINK("http://trademark.i-assist.jp/data/china/image_1927th/82536179.pdf","82536179")</f>
        <v>82536179</v>
      </c>
      <c r="F2067" s="12" t="s">
        <v>5741</v>
      </c>
      <c r="G2067" s="9" t="s">
        <v>5742</v>
      </c>
      <c r="H2067" s="9" t="s">
        <v>5743</v>
      </c>
      <c r="I2067" s="10">
        <v>45639</v>
      </c>
    </row>
    <row r="2068" spans="1:9" x14ac:dyDescent="0.15">
      <c r="A2068" s="9">
        <v>2067</v>
      </c>
      <c r="B2068" s="9" t="s">
        <v>9</v>
      </c>
      <c r="C2068" s="9">
        <v>1927</v>
      </c>
      <c r="D2068" s="10">
        <v>45729</v>
      </c>
      <c r="E2068" s="11" t="str">
        <f>+HYPERLINK("http://trademark.i-assist.jp/data/china/image_1927th/82536186.pdf","82536186")</f>
        <v>82536186</v>
      </c>
      <c r="F2068" s="9" t="s">
        <v>5744</v>
      </c>
      <c r="G2068" s="9" t="s">
        <v>5745</v>
      </c>
      <c r="H2068" s="9" t="s">
        <v>5746</v>
      </c>
      <c r="I2068" s="10">
        <v>45639</v>
      </c>
    </row>
    <row r="2069" spans="1:9" x14ac:dyDescent="0.15">
      <c r="A2069" s="9">
        <v>2068</v>
      </c>
      <c r="B2069" s="9" t="s">
        <v>9</v>
      </c>
      <c r="C2069" s="9">
        <v>1927</v>
      </c>
      <c r="D2069" s="10">
        <v>45729</v>
      </c>
      <c r="E2069" s="11" t="str">
        <f>+HYPERLINK("http://trademark.i-assist.jp/data/china/image_1927th/82536583.pdf","82536583")</f>
        <v>82536583</v>
      </c>
      <c r="F2069" s="12" t="s">
        <v>5747</v>
      </c>
      <c r="G2069" s="9" t="s">
        <v>5748</v>
      </c>
      <c r="H2069" s="9" t="s">
        <v>5749</v>
      </c>
      <c r="I2069" s="10">
        <v>45639</v>
      </c>
    </row>
    <row r="2070" spans="1:9" x14ac:dyDescent="0.15">
      <c r="A2070" s="9">
        <v>2069</v>
      </c>
      <c r="B2070" s="9" t="s">
        <v>9</v>
      </c>
      <c r="C2070" s="9">
        <v>1927</v>
      </c>
      <c r="D2070" s="10">
        <v>45729</v>
      </c>
      <c r="E2070" s="11" t="str">
        <f>+HYPERLINK("http://trademark.i-assist.jp/data/china/image_1927th/82536774.pdf","82536774")</f>
        <v>82536774</v>
      </c>
      <c r="F2070" s="9" t="s">
        <v>5750</v>
      </c>
      <c r="G2070" s="9" t="s">
        <v>228</v>
      </c>
      <c r="H2070" s="9" t="s">
        <v>5751</v>
      </c>
      <c r="I2070" s="10">
        <v>45639</v>
      </c>
    </row>
    <row r="2071" spans="1:9" x14ac:dyDescent="0.15">
      <c r="A2071" s="9">
        <v>2070</v>
      </c>
      <c r="B2071" s="9" t="s">
        <v>9</v>
      </c>
      <c r="C2071" s="9">
        <v>1927</v>
      </c>
      <c r="D2071" s="10">
        <v>45729</v>
      </c>
      <c r="E2071" s="11" t="str">
        <f>+HYPERLINK("http://trademark.i-assist.jp/data/china/image_1927th/82536819.pdf","82536819")</f>
        <v>82536819</v>
      </c>
      <c r="F2071" s="9" t="s">
        <v>5752</v>
      </c>
      <c r="G2071" s="12" t="s">
        <v>5753</v>
      </c>
      <c r="H2071" s="9" t="s">
        <v>5754</v>
      </c>
      <c r="I2071" s="10">
        <v>45639</v>
      </c>
    </row>
    <row r="2072" spans="1:9" x14ac:dyDescent="0.15">
      <c r="A2072" s="9">
        <v>2071</v>
      </c>
      <c r="B2072" s="9" t="s">
        <v>9</v>
      </c>
      <c r="C2072" s="9">
        <v>1927</v>
      </c>
      <c r="D2072" s="10">
        <v>45729</v>
      </c>
      <c r="E2072" s="11" t="str">
        <f>+HYPERLINK("http://trademark.i-assist.jp/data/china/image_1927th/82537144.pdf","82537144")</f>
        <v>82537144</v>
      </c>
      <c r="F2072" s="9" t="s">
        <v>5755</v>
      </c>
      <c r="G2072" s="9" t="s">
        <v>5756</v>
      </c>
      <c r="H2072" s="12" t="s">
        <v>5757</v>
      </c>
      <c r="I2072" s="10">
        <v>45639</v>
      </c>
    </row>
    <row r="2073" spans="1:9" x14ac:dyDescent="0.15">
      <c r="A2073" s="9">
        <v>2072</v>
      </c>
      <c r="B2073" s="9" t="s">
        <v>9</v>
      </c>
      <c r="C2073" s="9">
        <v>1927</v>
      </c>
      <c r="D2073" s="10">
        <v>45729</v>
      </c>
      <c r="E2073" s="11" t="str">
        <f>+HYPERLINK("http://trademark.i-assist.jp/data/china/image_1927th/82537818.pdf","82537818")</f>
        <v>82537818</v>
      </c>
      <c r="F2073" s="13" t="s">
        <v>5758</v>
      </c>
      <c r="G2073" s="9" t="s">
        <v>226</v>
      </c>
      <c r="H2073" s="9" t="s">
        <v>5759</v>
      </c>
      <c r="I2073" s="10">
        <v>45639</v>
      </c>
    </row>
    <row r="2074" spans="1:9" x14ac:dyDescent="0.15">
      <c r="A2074" s="9">
        <v>2073</v>
      </c>
      <c r="B2074" s="9" t="s">
        <v>9</v>
      </c>
      <c r="C2074" s="9">
        <v>1927</v>
      </c>
      <c r="D2074" s="10">
        <v>45729</v>
      </c>
      <c r="E2074" s="11" t="str">
        <f>+HYPERLINK("http://trademark.i-assist.jp/data/china/image_1927th/82538560.pdf","82538560")</f>
        <v>82538560</v>
      </c>
      <c r="F2074" s="9" t="s">
        <v>5760</v>
      </c>
      <c r="G2074" s="12" t="s">
        <v>5761</v>
      </c>
      <c r="H2074" s="9" t="s">
        <v>5762</v>
      </c>
      <c r="I2074" s="10">
        <v>45639</v>
      </c>
    </row>
    <row r="2075" spans="1:9" x14ac:dyDescent="0.15">
      <c r="A2075" s="9">
        <v>2074</v>
      </c>
      <c r="B2075" s="9" t="s">
        <v>9</v>
      </c>
      <c r="C2075" s="9">
        <v>1927</v>
      </c>
      <c r="D2075" s="10">
        <v>45729</v>
      </c>
      <c r="E2075" s="11" t="str">
        <f>+HYPERLINK("http://trademark.i-assist.jp/data/china/image_1927th/82538627.pdf","82538627")</f>
        <v>82538627</v>
      </c>
      <c r="F2075" s="12" t="s">
        <v>5763</v>
      </c>
      <c r="G2075" s="9" t="s">
        <v>227</v>
      </c>
      <c r="H2075" s="9" t="s">
        <v>5764</v>
      </c>
      <c r="I2075" s="10">
        <v>45639</v>
      </c>
    </row>
    <row r="2076" spans="1:9" x14ac:dyDescent="0.15">
      <c r="A2076" s="9">
        <v>2075</v>
      </c>
      <c r="B2076" s="9" t="s">
        <v>9</v>
      </c>
      <c r="C2076" s="9">
        <v>1927</v>
      </c>
      <c r="D2076" s="10">
        <v>45729</v>
      </c>
      <c r="E2076" s="11" t="str">
        <f>+HYPERLINK("http://trademark.i-assist.jp/data/china/image_1927th/82538726.pdf","82538726")</f>
        <v>82538726</v>
      </c>
      <c r="F2076" s="9" t="s">
        <v>5765</v>
      </c>
      <c r="G2076" s="9" t="s">
        <v>14</v>
      </c>
      <c r="H2076" s="9" t="s">
        <v>5766</v>
      </c>
      <c r="I2076" s="10">
        <v>45639</v>
      </c>
    </row>
    <row r="2077" spans="1:9" x14ac:dyDescent="0.15">
      <c r="A2077" s="9">
        <v>2076</v>
      </c>
      <c r="B2077" s="9" t="s">
        <v>9</v>
      </c>
      <c r="C2077" s="9">
        <v>1927</v>
      </c>
      <c r="D2077" s="10">
        <v>45729</v>
      </c>
      <c r="E2077" s="11" t="str">
        <f>+HYPERLINK("http://trademark.i-assist.jp/data/china/image_1927th/82538730.pdf","82538730")</f>
        <v>82538730</v>
      </c>
      <c r="F2077" s="12" t="s">
        <v>5767</v>
      </c>
      <c r="G2077" s="9" t="s">
        <v>5705</v>
      </c>
      <c r="H2077" s="9" t="s">
        <v>5768</v>
      </c>
      <c r="I2077" s="10">
        <v>45639</v>
      </c>
    </row>
    <row r="2078" spans="1:9" x14ac:dyDescent="0.15">
      <c r="A2078" s="9">
        <v>2077</v>
      </c>
      <c r="B2078" s="9" t="s">
        <v>9</v>
      </c>
      <c r="C2078" s="9">
        <v>1927</v>
      </c>
      <c r="D2078" s="10">
        <v>45729</v>
      </c>
      <c r="E2078" s="11" t="str">
        <f>+HYPERLINK("http://trademark.i-assist.jp/data/china/image_1927th/82538796.pdf","82538796")</f>
        <v>82538796</v>
      </c>
      <c r="F2078" s="9" t="s">
        <v>5769</v>
      </c>
      <c r="G2078" s="12" t="s">
        <v>5770</v>
      </c>
      <c r="H2078" s="9" t="s">
        <v>5771</v>
      </c>
      <c r="I2078" s="10">
        <v>45639</v>
      </c>
    </row>
    <row r="2079" spans="1:9" x14ac:dyDescent="0.15">
      <c r="A2079" s="9">
        <v>2078</v>
      </c>
      <c r="B2079" s="9" t="s">
        <v>9</v>
      </c>
      <c r="C2079" s="9">
        <v>1927</v>
      </c>
      <c r="D2079" s="10">
        <v>45729</v>
      </c>
      <c r="E2079" s="11" t="str">
        <f>+HYPERLINK("http://trademark.i-assist.jp/data/china/image_1927th/82538811.pdf","82538811")</f>
        <v>82538811</v>
      </c>
      <c r="F2079" s="9" t="s">
        <v>5772</v>
      </c>
      <c r="G2079" s="12" t="s">
        <v>5773</v>
      </c>
      <c r="H2079" s="9" t="s">
        <v>5774</v>
      </c>
      <c r="I2079" s="10">
        <v>45639</v>
      </c>
    </row>
    <row r="2080" spans="1:9" x14ac:dyDescent="0.15">
      <c r="A2080" s="9">
        <v>2079</v>
      </c>
      <c r="B2080" s="9" t="s">
        <v>9</v>
      </c>
      <c r="C2080" s="9">
        <v>1927</v>
      </c>
      <c r="D2080" s="10">
        <v>45729</v>
      </c>
      <c r="E2080" s="11" t="str">
        <f>+HYPERLINK("http://trademark.i-assist.jp/data/china/image_1927th/82538976.pdf","82538976")</f>
        <v>82538976</v>
      </c>
      <c r="F2080" s="9" t="s">
        <v>5775</v>
      </c>
      <c r="G2080" s="9" t="s">
        <v>5776</v>
      </c>
      <c r="H2080" s="9" t="s">
        <v>5777</v>
      </c>
      <c r="I2080" s="10">
        <v>45639</v>
      </c>
    </row>
    <row r="2081" spans="1:9" x14ac:dyDescent="0.15">
      <c r="A2081" s="9">
        <v>2080</v>
      </c>
      <c r="B2081" s="9" t="s">
        <v>9</v>
      </c>
      <c r="C2081" s="9">
        <v>1927</v>
      </c>
      <c r="D2081" s="10">
        <v>45729</v>
      </c>
      <c r="E2081" s="11" t="str">
        <f>+HYPERLINK("http://trademark.i-assist.jp/data/china/image_1927th/82539017.pdf","82539017")</f>
        <v>82539017</v>
      </c>
      <c r="F2081" s="9" t="s">
        <v>5778</v>
      </c>
      <c r="G2081" s="9" t="s">
        <v>5779</v>
      </c>
      <c r="H2081" s="9" t="s">
        <v>5780</v>
      </c>
      <c r="I2081" s="10">
        <v>45639</v>
      </c>
    </row>
    <row r="2082" spans="1:9" x14ac:dyDescent="0.15">
      <c r="A2082" s="9">
        <v>2081</v>
      </c>
      <c r="B2082" s="9" t="s">
        <v>9</v>
      </c>
      <c r="C2082" s="9">
        <v>1927</v>
      </c>
      <c r="D2082" s="10">
        <v>45729</v>
      </c>
      <c r="E2082" s="11" t="str">
        <f>+HYPERLINK("http://trademark.i-assist.jp/data/china/image_1927th/82539300.pdf","82539300")</f>
        <v>82539300</v>
      </c>
      <c r="F2082" s="12" t="s">
        <v>5781</v>
      </c>
      <c r="G2082" s="9" t="s">
        <v>220</v>
      </c>
      <c r="H2082" s="9" t="s">
        <v>5782</v>
      </c>
      <c r="I2082" s="10">
        <v>45639</v>
      </c>
    </row>
    <row r="2083" spans="1:9" x14ac:dyDescent="0.15">
      <c r="A2083" s="9">
        <v>2082</v>
      </c>
      <c r="B2083" s="9" t="s">
        <v>9</v>
      </c>
      <c r="C2083" s="9">
        <v>1927</v>
      </c>
      <c r="D2083" s="10">
        <v>45729</v>
      </c>
      <c r="E2083" s="11" t="str">
        <f>+HYPERLINK("http://trademark.i-assist.jp/data/china/image_1927th/82539366.pdf","82539366")</f>
        <v>82539366</v>
      </c>
      <c r="F2083" s="9" t="s">
        <v>5783</v>
      </c>
      <c r="G2083" s="12" t="s">
        <v>5784</v>
      </c>
      <c r="H2083" s="9" t="s">
        <v>5785</v>
      </c>
      <c r="I2083" s="10">
        <v>45639</v>
      </c>
    </row>
    <row r="2084" spans="1:9" x14ac:dyDescent="0.15">
      <c r="A2084" s="9">
        <v>2083</v>
      </c>
      <c r="B2084" s="9" t="s">
        <v>9</v>
      </c>
      <c r="C2084" s="9">
        <v>1927</v>
      </c>
      <c r="D2084" s="10">
        <v>45729</v>
      </c>
      <c r="E2084" s="11" t="str">
        <f>+HYPERLINK("http://trademark.i-assist.jp/data/china/image_1927th/82539445.pdf","82539445")</f>
        <v>82539445</v>
      </c>
      <c r="F2084" s="12" t="s">
        <v>5786</v>
      </c>
      <c r="G2084" s="12" t="s">
        <v>5787</v>
      </c>
      <c r="H2084" s="9" t="s">
        <v>5788</v>
      </c>
      <c r="I2084" s="10">
        <v>45639</v>
      </c>
    </row>
    <row r="2085" spans="1:9" x14ac:dyDescent="0.15">
      <c r="A2085" s="9">
        <v>2084</v>
      </c>
      <c r="B2085" s="9" t="s">
        <v>9</v>
      </c>
      <c r="C2085" s="9">
        <v>1927</v>
      </c>
      <c r="D2085" s="10">
        <v>45729</v>
      </c>
      <c r="E2085" s="11" t="str">
        <f>+HYPERLINK("http://trademark.i-assist.jp/data/china/image_1927th/82539556.pdf","82539556")</f>
        <v>82539556</v>
      </c>
      <c r="F2085" s="12" t="s">
        <v>16</v>
      </c>
      <c r="G2085" s="9" t="s">
        <v>5789</v>
      </c>
      <c r="H2085" s="9" t="s">
        <v>5790</v>
      </c>
      <c r="I2085" s="10">
        <v>45639</v>
      </c>
    </row>
    <row r="2086" spans="1:9" x14ac:dyDescent="0.15">
      <c r="A2086" s="9">
        <v>2085</v>
      </c>
      <c r="B2086" s="9" t="s">
        <v>9</v>
      </c>
      <c r="C2086" s="9">
        <v>1927</v>
      </c>
      <c r="D2086" s="10">
        <v>45729</v>
      </c>
      <c r="E2086" s="11" t="str">
        <f>+HYPERLINK("http://trademark.i-assist.jp/data/china/image_1927th/82539648.pdf","82539648")</f>
        <v>82539648</v>
      </c>
      <c r="F2086" s="9" t="s">
        <v>5791</v>
      </c>
      <c r="G2086" s="9" t="s">
        <v>219</v>
      </c>
      <c r="H2086" s="9" t="s">
        <v>5792</v>
      </c>
      <c r="I2086" s="10">
        <v>45639</v>
      </c>
    </row>
    <row r="2087" spans="1:9" x14ac:dyDescent="0.15">
      <c r="A2087" s="9">
        <v>2086</v>
      </c>
      <c r="B2087" s="9" t="s">
        <v>9</v>
      </c>
      <c r="C2087" s="9">
        <v>1927</v>
      </c>
      <c r="D2087" s="10">
        <v>45729</v>
      </c>
      <c r="E2087" s="11" t="str">
        <f>+HYPERLINK("http://trademark.i-assist.jp/data/china/image_1927th/82539708.pdf","82539708")</f>
        <v>82539708</v>
      </c>
      <c r="F2087" s="12" t="s">
        <v>5793</v>
      </c>
      <c r="G2087" s="9" t="s">
        <v>138</v>
      </c>
      <c r="H2087" s="9" t="s">
        <v>5794</v>
      </c>
      <c r="I2087" s="10">
        <v>45639</v>
      </c>
    </row>
    <row r="2088" spans="1:9" x14ac:dyDescent="0.15">
      <c r="A2088" s="9">
        <v>2087</v>
      </c>
      <c r="B2088" s="9" t="s">
        <v>9</v>
      </c>
      <c r="C2088" s="9">
        <v>1927</v>
      </c>
      <c r="D2088" s="10">
        <v>45729</v>
      </c>
      <c r="E2088" s="11" t="str">
        <f>+HYPERLINK("http://trademark.i-assist.jp/data/china/image_1927th/82539713.pdf","82539713")</f>
        <v>82539713</v>
      </c>
      <c r="F2088" s="12" t="s">
        <v>5795</v>
      </c>
      <c r="G2088" s="9" t="s">
        <v>5796</v>
      </c>
      <c r="H2088" s="9" t="s">
        <v>5797</v>
      </c>
      <c r="I2088" s="10">
        <v>45639</v>
      </c>
    </row>
    <row r="2089" spans="1:9" x14ac:dyDescent="0.15">
      <c r="A2089" s="9">
        <v>2088</v>
      </c>
      <c r="B2089" s="9" t="s">
        <v>9</v>
      </c>
      <c r="C2089" s="9">
        <v>1927</v>
      </c>
      <c r="D2089" s="10">
        <v>45729</v>
      </c>
      <c r="E2089" s="11" t="str">
        <f>+HYPERLINK("http://trademark.i-assist.jp/data/china/image_1927th/82539903.pdf","82539903")</f>
        <v>82539903</v>
      </c>
      <c r="F2089" s="9" t="s">
        <v>5798</v>
      </c>
      <c r="G2089" s="9" t="s">
        <v>5799</v>
      </c>
      <c r="H2089" s="9" t="s">
        <v>5800</v>
      </c>
      <c r="I2089" s="10">
        <v>45639</v>
      </c>
    </row>
    <row r="2090" spans="1:9" x14ac:dyDescent="0.15">
      <c r="A2090" s="9">
        <v>2089</v>
      </c>
      <c r="B2090" s="9" t="s">
        <v>9</v>
      </c>
      <c r="C2090" s="9">
        <v>1927</v>
      </c>
      <c r="D2090" s="10">
        <v>45729</v>
      </c>
      <c r="E2090" s="11" t="str">
        <f>+HYPERLINK("http://trademark.i-assist.jp/data/china/image_1927th/82539924.pdf","82539924")</f>
        <v>82539924</v>
      </c>
      <c r="F2090" s="9" t="s">
        <v>5801</v>
      </c>
      <c r="G2090" s="9" t="s">
        <v>5802</v>
      </c>
      <c r="H2090" s="9" t="s">
        <v>5803</v>
      </c>
      <c r="I2090" s="10">
        <v>45639</v>
      </c>
    </row>
    <row r="2091" spans="1:9" x14ac:dyDescent="0.15">
      <c r="A2091" s="9">
        <v>2090</v>
      </c>
      <c r="B2091" s="9" t="s">
        <v>9</v>
      </c>
      <c r="C2091" s="9">
        <v>1927</v>
      </c>
      <c r="D2091" s="10">
        <v>45729</v>
      </c>
      <c r="E2091" s="11" t="str">
        <f>+HYPERLINK("http://trademark.i-assist.jp/data/china/image_1927th/82539940.pdf","82539940")</f>
        <v>82539940</v>
      </c>
      <c r="F2091" s="9" t="s">
        <v>5804</v>
      </c>
      <c r="G2091" s="9" t="s">
        <v>1000</v>
      </c>
      <c r="H2091" s="9" t="s">
        <v>5805</v>
      </c>
      <c r="I2091" s="10">
        <v>45639</v>
      </c>
    </row>
    <row r="2092" spans="1:9" x14ac:dyDescent="0.15">
      <c r="A2092" s="9">
        <v>2091</v>
      </c>
      <c r="B2092" s="9" t="s">
        <v>9</v>
      </c>
      <c r="C2092" s="9">
        <v>1927</v>
      </c>
      <c r="D2092" s="10">
        <v>45729</v>
      </c>
      <c r="E2092" s="11" t="str">
        <f>+HYPERLINK("http://trademark.i-assist.jp/data/china/image_1927th/82540041.pdf","82540041")</f>
        <v>82540041</v>
      </c>
      <c r="F2092" s="9" t="s">
        <v>5806</v>
      </c>
      <c r="G2092" s="12" t="s">
        <v>5496</v>
      </c>
      <c r="H2092" s="12" t="s">
        <v>5807</v>
      </c>
      <c r="I2092" s="10">
        <v>45639</v>
      </c>
    </row>
    <row r="2093" spans="1:9" x14ac:dyDescent="0.15">
      <c r="A2093" s="9">
        <v>2092</v>
      </c>
      <c r="B2093" s="9" t="s">
        <v>9</v>
      </c>
      <c r="C2093" s="9">
        <v>1927</v>
      </c>
      <c r="D2093" s="10">
        <v>45729</v>
      </c>
      <c r="E2093" s="11" t="str">
        <f>+HYPERLINK("http://trademark.i-assist.jp/data/china/image_1927th/82540415.pdf","82540415")</f>
        <v>82540415</v>
      </c>
      <c r="F2093" s="9" t="s">
        <v>5808</v>
      </c>
      <c r="G2093" s="9" t="s">
        <v>5809</v>
      </c>
      <c r="H2093" s="12" t="s">
        <v>5810</v>
      </c>
      <c r="I2093" s="10">
        <v>45639</v>
      </c>
    </row>
    <row r="2094" spans="1:9" x14ac:dyDescent="0.15">
      <c r="A2094" s="9">
        <v>2093</v>
      </c>
      <c r="B2094" s="9" t="s">
        <v>9</v>
      </c>
      <c r="C2094" s="9">
        <v>1927</v>
      </c>
      <c r="D2094" s="10">
        <v>45729</v>
      </c>
      <c r="E2094" s="11" t="str">
        <f>+HYPERLINK("http://trademark.i-assist.jp/data/china/image_1927th/82540527.pdf","82540527")</f>
        <v>82540527</v>
      </c>
      <c r="F2094" s="9" t="s">
        <v>5811</v>
      </c>
      <c r="G2094" s="9" t="s">
        <v>5812</v>
      </c>
      <c r="H2094" s="12" t="s">
        <v>5813</v>
      </c>
      <c r="I2094" s="10">
        <v>45639</v>
      </c>
    </row>
    <row r="2095" spans="1:9" x14ac:dyDescent="0.15">
      <c r="A2095" s="9">
        <v>2094</v>
      </c>
      <c r="B2095" s="9" t="s">
        <v>9</v>
      </c>
      <c r="C2095" s="9">
        <v>1927</v>
      </c>
      <c r="D2095" s="10">
        <v>45729</v>
      </c>
      <c r="E2095" s="11" t="str">
        <f>+HYPERLINK("http://trademark.i-assist.jp/data/china/image_1927th/82540534.pdf","82540534")</f>
        <v>82540534</v>
      </c>
      <c r="F2095" s="9" t="s">
        <v>5814</v>
      </c>
      <c r="G2095" s="12" t="s">
        <v>5815</v>
      </c>
      <c r="H2095" s="9" t="s">
        <v>5816</v>
      </c>
      <c r="I2095" s="10">
        <v>45639</v>
      </c>
    </row>
    <row r="2096" spans="1:9" x14ac:dyDescent="0.15">
      <c r="A2096" s="9">
        <v>2095</v>
      </c>
      <c r="B2096" s="9" t="s">
        <v>9</v>
      </c>
      <c r="C2096" s="9">
        <v>1927</v>
      </c>
      <c r="D2096" s="10">
        <v>45729</v>
      </c>
      <c r="E2096" s="11" t="str">
        <f>+HYPERLINK("http://trademark.i-assist.jp/data/china/image_1927th/82540601.pdf","82540601")</f>
        <v>82540601</v>
      </c>
      <c r="F2096" s="9" t="s">
        <v>5817</v>
      </c>
      <c r="G2096" s="9" t="s">
        <v>195</v>
      </c>
      <c r="H2096" s="12" t="s">
        <v>5818</v>
      </c>
      <c r="I2096" s="10">
        <v>45639</v>
      </c>
    </row>
    <row r="2097" spans="1:9" x14ac:dyDescent="0.15">
      <c r="A2097" s="9">
        <v>2096</v>
      </c>
      <c r="B2097" s="9" t="s">
        <v>9</v>
      </c>
      <c r="C2097" s="9">
        <v>1927</v>
      </c>
      <c r="D2097" s="10">
        <v>45729</v>
      </c>
      <c r="E2097" s="11" t="str">
        <f>+HYPERLINK("http://trademark.i-assist.jp/data/china/image_1927th/82540942.pdf","82540942")</f>
        <v>82540942</v>
      </c>
      <c r="F2097" s="12" t="s">
        <v>5819</v>
      </c>
      <c r="G2097" s="12" t="s">
        <v>5820</v>
      </c>
      <c r="H2097" s="9" t="s">
        <v>5821</v>
      </c>
      <c r="I2097" s="10">
        <v>45639</v>
      </c>
    </row>
    <row r="2098" spans="1:9" x14ac:dyDescent="0.15">
      <c r="A2098" s="9">
        <v>2097</v>
      </c>
      <c r="B2098" s="9" t="s">
        <v>9</v>
      </c>
      <c r="C2098" s="9">
        <v>1927</v>
      </c>
      <c r="D2098" s="10">
        <v>45729</v>
      </c>
      <c r="E2098" s="11" t="str">
        <f>+HYPERLINK("http://trademark.i-assist.jp/data/china/image_1927th/82541099.pdf","82541099")</f>
        <v>82541099</v>
      </c>
      <c r="F2098" s="9" t="s">
        <v>5822</v>
      </c>
      <c r="G2098" s="9" t="s">
        <v>5823</v>
      </c>
      <c r="H2098" s="9" t="s">
        <v>5824</v>
      </c>
      <c r="I2098" s="10">
        <v>45639</v>
      </c>
    </row>
    <row r="2099" spans="1:9" x14ac:dyDescent="0.15">
      <c r="A2099" s="9">
        <v>2098</v>
      </c>
      <c r="B2099" s="9" t="s">
        <v>9</v>
      </c>
      <c r="C2099" s="9">
        <v>1927</v>
      </c>
      <c r="D2099" s="10">
        <v>45729</v>
      </c>
      <c r="E2099" s="11" t="str">
        <f>+HYPERLINK("http://trademark.i-assist.jp/data/china/image_1927th/82541472.pdf","82541472")</f>
        <v>82541472</v>
      </c>
      <c r="F2099" s="9" t="s">
        <v>5825</v>
      </c>
      <c r="G2099" s="9" t="s">
        <v>5826</v>
      </c>
      <c r="H2099" s="9" t="s">
        <v>5827</v>
      </c>
      <c r="I2099" s="10">
        <v>45639</v>
      </c>
    </row>
    <row r="2100" spans="1:9" x14ac:dyDescent="0.15">
      <c r="A2100" s="9">
        <v>2099</v>
      </c>
      <c r="B2100" s="9" t="s">
        <v>9</v>
      </c>
      <c r="C2100" s="9">
        <v>1927</v>
      </c>
      <c r="D2100" s="10">
        <v>45729</v>
      </c>
      <c r="E2100" s="11" t="str">
        <f>+HYPERLINK("http://trademark.i-assist.jp/data/china/image_1927th/82541698.pdf","82541698")</f>
        <v>82541698</v>
      </c>
      <c r="F2100" s="12" t="s">
        <v>5828</v>
      </c>
      <c r="G2100" s="12" t="s">
        <v>5205</v>
      </c>
      <c r="H2100" s="9" t="s">
        <v>5829</v>
      </c>
      <c r="I2100" s="10">
        <v>45639</v>
      </c>
    </row>
    <row r="2101" spans="1:9" x14ac:dyDescent="0.15">
      <c r="A2101" s="9">
        <v>2100</v>
      </c>
      <c r="B2101" s="9" t="s">
        <v>9</v>
      </c>
      <c r="C2101" s="9">
        <v>1927</v>
      </c>
      <c r="D2101" s="10">
        <v>45729</v>
      </c>
      <c r="E2101" s="11" t="str">
        <f>+HYPERLINK("http://trademark.i-assist.jp/data/china/image_1927th/82541897.pdf","82541897")</f>
        <v>82541897</v>
      </c>
      <c r="F2101" s="9" t="s">
        <v>5830</v>
      </c>
      <c r="G2101" s="12" t="s">
        <v>3905</v>
      </c>
      <c r="H2101" s="9" t="s">
        <v>5831</v>
      </c>
      <c r="I2101" s="10">
        <v>45639</v>
      </c>
    </row>
    <row r="2102" spans="1:9" x14ac:dyDescent="0.15">
      <c r="A2102" s="9">
        <v>2101</v>
      </c>
      <c r="B2102" s="9" t="s">
        <v>9</v>
      </c>
      <c r="C2102" s="9">
        <v>1927</v>
      </c>
      <c r="D2102" s="10">
        <v>45729</v>
      </c>
      <c r="E2102" s="11" t="str">
        <f>+HYPERLINK("http://trademark.i-assist.jp/data/china/image_1927th/82541925.pdf","82541925")</f>
        <v>82541925</v>
      </c>
      <c r="F2102" s="9" t="s">
        <v>5832</v>
      </c>
      <c r="G2102" s="9" t="s">
        <v>5550</v>
      </c>
      <c r="H2102" s="9" t="s">
        <v>5833</v>
      </c>
      <c r="I2102" s="10">
        <v>45639</v>
      </c>
    </row>
    <row r="2103" spans="1:9" x14ac:dyDescent="0.15">
      <c r="A2103" s="9">
        <v>2102</v>
      </c>
      <c r="B2103" s="9" t="s">
        <v>9</v>
      </c>
      <c r="C2103" s="9">
        <v>1927</v>
      </c>
      <c r="D2103" s="10">
        <v>45729</v>
      </c>
      <c r="E2103" s="11" t="str">
        <f>+HYPERLINK("http://trademark.i-assist.jp/data/china/image_1927th/82542037.pdf","82542037")</f>
        <v>82542037</v>
      </c>
      <c r="F2103" s="9" t="s">
        <v>5834</v>
      </c>
      <c r="G2103" s="12" t="s">
        <v>5835</v>
      </c>
      <c r="H2103" s="9" t="s">
        <v>5836</v>
      </c>
      <c r="I2103" s="10">
        <v>45639</v>
      </c>
    </row>
    <row r="2104" spans="1:9" x14ac:dyDescent="0.15">
      <c r="A2104" s="9">
        <v>2103</v>
      </c>
      <c r="B2104" s="9" t="s">
        <v>9</v>
      </c>
      <c r="C2104" s="9">
        <v>1927</v>
      </c>
      <c r="D2104" s="10">
        <v>45729</v>
      </c>
      <c r="E2104" s="11" t="str">
        <f>+HYPERLINK("http://trademark.i-assist.jp/data/china/image_1927th/82542131.pdf","82542131")</f>
        <v>82542131</v>
      </c>
      <c r="F2104" s="9" t="s">
        <v>5837</v>
      </c>
      <c r="G2104" s="9" t="s">
        <v>153</v>
      </c>
      <c r="H2104" s="9" t="s">
        <v>5838</v>
      </c>
      <c r="I2104" s="10">
        <v>45639</v>
      </c>
    </row>
    <row r="2105" spans="1:9" x14ac:dyDescent="0.15">
      <c r="A2105" s="9">
        <v>2104</v>
      </c>
      <c r="B2105" s="9" t="s">
        <v>9</v>
      </c>
      <c r="C2105" s="9">
        <v>1927</v>
      </c>
      <c r="D2105" s="10">
        <v>45729</v>
      </c>
      <c r="E2105" s="11" t="str">
        <f>+HYPERLINK("http://trademark.i-assist.jp/data/china/image_1927th/82542439.pdf","82542439")</f>
        <v>82542439</v>
      </c>
      <c r="F2105" s="9" t="s">
        <v>5839</v>
      </c>
      <c r="G2105" s="9" t="s">
        <v>5705</v>
      </c>
      <c r="H2105" s="9" t="s">
        <v>5840</v>
      </c>
      <c r="I2105" s="10">
        <v>45639</v>
      </c>
    </row>
    <row r="2106" spans="1:9" x14ac:dyDescent="0.15">
      <c r="A2106" s="9">
        <v>2105</v>
      </c>
      <c r="B2106" s="9" t="s">
        <v>9</v>
      </c>
      <c r="C2106" s="9">
        <v>1927</v>
      </c>
      <c r="D2106" s="10">
        <v>45729</v>
      </c>
      <c r="E2106" s="11" t="str">
        <f>+HYPERLINK("http://trademark.i-assist.jp/data/china/image_1927th/82542497.pdf","82542497")</f>
        <v>82542497</v>
      </c>
      <c r="F2106" s="12" t="s">
        <v>5841</v>
      </c>
      <c r="G2106" s="12" t="s">
        <v>5596</v>
      </c>
      <c r="H2106" s="9" t="s">
        <v>5842</v>
      </c>
      <c r="I2106" s="10">
        <v>45639</v>
      </c>
    </row>
    <row r="2107" spans="1:9" x14ac:dyDescent="0.15">
      <c r="A2107" s="9">
        <v>2106</v>
      </c>
      <c r="B2107" s="9" t="s">
        <v>9</v>
      </c>
      <c r="C2107" s="9">
        <v>1927</v>
      </c>
      <c r="D2107" s="10">
        <v>45729</v>
      </c>
      <c r="E2107" s="11" t="str">
        <f>+HYPERLINK("http://trademark.i-assist.jp/data/china/image_1927th/82542599.pdf","82542599")</f>
        <v>82542599</v>
      </c>
      <c r="F2107" s="9" t="s">
        <v>5843</v>
      </c>
      <c r="G2107" s="9" t="s">
        <v>5844</v>
      </c>
      <c r="H2107" s="9" t="s">
        <v>5845</v>
      </c>
      <c r="I2107" s="10">
        <v>45639</v>
      </c>
    </row>
    <row r="2108" spans="1:9" x14ac:dyDescent="0.15">
      <c r="A2108" s="9">
        <v>2107</v>
      </c>
      <c r="B2108" s="9" t="s">
        <v>9</v>
      </c>
      <c r="C2108" s="9">
        <v>1927</v>
      </c>
      <c r="D2108" s="10">
        <v>45729</v>
      </c>
      <c r="E2108" s="11" t="str">
        <f>+HYPERLINK("http://trademark.i-assist.jp/data/china/image_1927th/82542613.pdf","82542613")</f>
        <v>82542613</v>
      </c>
      <c r="F2108" s="9" t="s">
        <v>5846</v>
      </c>
      <c r="G2108" s="9" t="s">
        <v>5847</v>
      </c>
      <c r="H2108" s="9" t="s">
        <v>5848</v>
      </c>
      <c r="I2108" s="10">
        <v>45639</v>
      </c>
    </row>
    <row r="2109" spans="1:9" x14ac:dyDescent="0.15">
      <c r="A2109" s="9">
        <v>2108</v>
      </c>
      <c r="B2109" s="9" t="s">
        <v>9</v>
      </c>
      <c r="C2109" s="9">
        <v>1927</v>
      </c>
      <c r="D2109" s="10">
        <v>45729</v>
      </c>
      <c r="E2109" s="11" t="str">
        <f>+HYPERLINK("http://trademark.i-assist.jp/data/china/image_1927th/82542711.pdf","82542711")</f>
        <v>82542711</v>
      </c>
      <c r="F2109" s="12" t="s">
        <v>5849</v>
      </c>
      <c r="G2109" s="9" t="s">
        <v>5850</v>
      </c>
      <c r="H2109" s="9" t="s">
        <v>5851</v>
      </c>
      <c r="I2109" s="10">
        <v>45639</v>
      </c>
    </row>
    <row r="2110" spans="1:9" x14ac:dyDescent="0.15">
      <c r="A2110" s="9">
        <v>2109</v>
      </c>
      <c r="B2110" s="9" t="s">
        <v>9</v>
      </c>
      <c r="C2110" s="9">
        <v>1927</v>
      </c>
      <c r="D2110" s="10">
        <v>45729</v>
      </c>
      <c r="E2110" s="11" t="str">
        <f>+HYPERLINK("http://trademark.i-assist.jp/data/china/image_1927th/82542787.pdf","82542787")</f>
        <v>82542787</v>
      </c>
      <c r="F2110" s="9" t="s">
        <v>5852</v>
      </c>
      <c r="G2110" s="12" t="s">
        <v>5770</v>
      </c>
      <c r="H2110" s="9" t="s">
        <v>5853</v>
      </c>
      <c r="I2110" s="10">
        <v>45639</v>
      </c>
    </row>
    <row r="2111" spans="1:9" x14ac:dyDescent="0.15">
      <c r="A2111" s="9">
        <v>2110</v>
      </c>
      <c r="B2111" s="9" t="s">
        <v>9</v>
      </c>
      <c r="C2111" s="9">
        <v>1927</v>
      </c>
      <c r="D2111" s="10">
        <v>45729</v>
      </c>
      <c r="E2111" s="11" t="str">
        <f>+HYPERLINK("http://trademark.i-assist.jp/data/china/image_1927th/82542842.pdf","82542842")</f>
        <v>82542842</v>
      </c>
      <c r="F2111" s="9" t="s">
        <v>5854</v>
      </c>
      <c r="G2111" s="12" t="s">
        <v>5770</v>
      </c>
      <c r="H2111" s="9" t="s">
        <v>5855</v>
      </c>
      <c r="I2111" s="10">
        <v>45639</v>
      </c>
    </row>
    <row r="2112" spans="1:9" x14ac:dyDescent="0.15">
      <c r="A2112" s="9">
        <v>2111</v>
      </c>
      <c r="B2112" s="9" t="s">
        <v>9</v>
      </c>
      <c r="C2112" s="9">
        <v>1927</v>
      </c>
      <c r="D2112" s="10">
        <v>45729</v>
      </c>
      <c r="E2112" s="11" t="str">
        <f>+HYPERLINK("http://trademark.i-assist.jp/data/china/image_1927th/82542920.pdf","82542920")</f>
        <v>82542920</v>
      </c>
      <c r="F2112" s="12" t="s">
        <v>16</v>
      </c>
      <c r="G2112" s="9" t="s">
        <v>5609</v>
      </c>
      <c r="H2112" s="9" t="s">
        <v>5856</v>
      </c>
      <c r="I2112" s="10">
        <v>45639</v>
      </c>
    </row>
    <row r="2113" spans="1:9" x14ac:dyDescent="0.15">
      <c r="A2113" s="9">
        <v>2112</v>
      </c>
      <c r="B2113" s="9" t="s">
        <v>9</v>
      </c>
      <c r="C2113" s="9">
        <v>1927</v>
      </c>
      <c r="D2113" s="10">
        <v>45729</v>
      </c>
      <c r="E2113" s="11" t="str">
        <f>+HYPERLINK("http://trademark.i-assist.jp/data/china/image_1927th/82543212.pdf","82543212")</f>
        <v>82543212</v>
      </c>
      <c r="F2113" s="9" t="s">
        <v>5857</v>
      </c>
      <c r="G2113" s="9" t="s">
        <v>5858</v>
      </c>
      <c r="H2113" s="9" t="s">
        <v>5859</v>
      </c>
      <c r="I2113" s="10">
        <v>45639</v>
      </c>
    </row>
    <row r="2114" spans="1:9" x14ac:dyDescent="0.15">
      <c r="A2114" s="9">
        <v>2113</v>
      </c>
      <c r="B2114" s="9" t="s">
        <v>9</v>
      </c>
      <c r="C2114" s="9">
        <v>1927</v>
      </c>
      <c r="D2114" s="10">
        <v>45729</v>
      </c>
      <c r="E2114" s="11" t="str">
        <f>+HYPERLINK("http://trademark.i-assist.jp/data/china/image_1927th/82543216.pdf","82543216")</f>
        <v>82543216</v>
      </c>
      <c r="F2114" s="9" t="s">
        <v>5860</v>
      </c>
      <c r="G2114" s="12" t="s">
        <v>5861</v>
      </c>
      <c r="H2114" s="9" t="s">
        <v>5862</v>
      </c>
      <c r="I2114" s="10">
        <v>45639</v>
      </c>
    </row>
    <row r="2115" spans="1:9" x14ac:dyDescent="0.15">
      <c r="A2115" s="9">
        <v>2114</v>
      </c>
      <c r="B2115" s="9" t="s">
        <v>9</v>
      </c>
      <c r="C2115" s="9">
        <v>1927</v>
      </c>
      <c r="D2115" s="10">
        <v>45729</v>
      </c>
      <c r="E2115" s="11" t="str">
        <f>+HYPERLINK("http://trademark.i-assist.jp/data/china/image_1927th/82543288.pdf","82543288")</f>
        <v>82543288</v>
      </c>
      <c r="F2115" s="12" t="s">
        <v>5863</v>
      </c>
      <c r="G2115" s="9" t="s">
        <v>5864</v>
      </c>
      <c r="H2115" s="9" t="s">
        <v>5865</v>
      </c>
      <c r="I2115" s="10">
        <v>45639</v>
      </c>
    </row>
    <row r="2116" spans="1:9" x14ac:dyDescent="0.15">
      <c r="A2116" s="9">
        <v>2115</v>
      </c>
      <c r="B2116" s="9" t="s">
        <v>9</v>
      </c>
      <c r="C2116" s="9">
        <v>1927</v>
      </c>
      <c r="D2116" s="10">
        <v>45729</v>
      </c>
      <c r="E2116" s="11" t="str">
        <f>+HYPERLINK("http://trademark.i-assist.jp/data/china/image_1927th/82543429.pdf","82543429")</f>
        <v>82543429</v>
      </c>
      <c r="F2116" s="9" t="s">
        <v>5866</v>
      </c>
      <c r="G2116" s="9" t="s">
        <v>5867</v>
      </c>
      <c r="H2116" s="9" t="s">
        <v>5868</v>
      </c>
      <c r="I2116" s="10">
        <v>45639</v>
      </c>
    </row>
    <row r="2117" spans="1:9" x14ac:dyDescent="0.15">
      <c r="A2117" s="9">
        <v>2116</v>
      </c>
      <c r="B2117" s="9" t="s">
        <v>9</v>
      </c>
      <c r="C2117" s="9">
        <v>1927</v>
      </c>
      <c r="D2117" s="10">
        <v>45729</v>
      </c>
      <c r="E2117" s="11" t="str">
        <f>+HYPERLINK("http://trademark.i-assist.jp/data/china/image_1927th/82543450.pdf","82543450")</f>
        <v>82543450</v>
      </c>
      <c r="F2117" s="9" t="s">
        <v>5869</v>
      </c>
      <c r="G2117" s="9" t="s">
        <v>5870</v>
      </c>
      <c r="H2117" s="9" t="s">
        <v>5871</v>
      </c>
      <c r="I2117" s="10">
        <v>45639</v>
      </c>
    </row>
    <row r="2118" spans="1:9" x14ac:dyDescent="0.15">
      <c r="A2118" s="9">
        <v>2117</v>
      </c>
      <c r="B2118" s="9" t="s">
        <v>9</v>
      </c>
      <c r="C2118" s="9">
        <v>1927</v>
      </c>
      <c r="D2118" s="10">
        <v>45729</v>
      </c>
      <c r="E2118" s="11" t="str">
        <f>+HYPERLINK("http://trademark.i-assist.jp/data/china/image_1927th/82543484.pdf","82543484")</f>
        <v>82543484</v>
      </c>
      <c r="F2118" s="9" t="s">
        <v>5872</v>
      </c>
      <c r="G2118" s="12" t="s">
        <v>5873</v>
      </c>
      <c r="H2118" s="9" t="s">
        <v>5874</v>
      </c>
      <c r="I2118" s="10">
        <v>45639</v>
      </c>
    </row>
    <row r="2119" spans="1:9" x14ac:dyDescent="0.15">
      <c r="A2119" s="9">
        <v>2118</v>
      </c>
      <c r="B2119" s="9" t="s">
        <v>9</v>
      </c>
      <c r="C2119" s="9">
        <v>1927</v>
      </c>
      <c r="D2119" s="10">
        <v>45729</v>
      </c>
      <c r="E2119" s="11" t="str">
        <f>+HYPERLINK("http://trademark.i-assist.jp/data/china/image_1927th/82543598.pdf","82543598")</f>
        <v>82543598</v>
      </c>
      <c r="F2119" s="9" t="s">
        <v>5875</v>
      </c>
      <c r="G2119" s="9" t="s">
        <v>5876</v>
      </c>
      <c r="H2119" s="9" t="s">
        <v>5877</v>
      </c>
      <c r="I2119" s="10">
        <v>45639</v>
      </c>
    </row>
    <row r="2120" spans="1:9" x14ac:dyDescent="0.15">
      <c r="A2120" s="9">
        <v>2119</v>
      </c>
      <c r="B2120" s="9" t="s">
        <v>9</v>
      </c>
      <c r="C2120" s="9">
        <v>1927</v>
      </c>
      <c r="D2120" s="10">
        <v>45729</v>
      </c>
      <c r="E2120" s="11" t="str">
        <f>+HYPERLINK("http://trademark.i-assist.jp/data/china/image_1927th/82543657.pdf","82543657")</f>
        <v>82543657</v>
      </c>
      <c r="F2120" s="9" t="s">
        <v>5878</v>
      </c>
      <c r="G2120" s="9" t="s">
        <v>5879</v>
      </c>
      <c r="H2120" s="12" t="s">
        <v>5880</v>
      </c>
      <c r="I2120" s="10">
        <v>45639</v>
      </c>
    </row>
    <row r="2121" spans="1:9" x14ac:dyDescent="0.15">
      <c r="A2121" s="9">
        <v>2120</v>
      </c>
      <c r="B2121" s="9" t="s">
        <v>9</v>
      </c>
      <c r="C2121" s="9">
        <v>1927</v>
      </c>
      <c r="D2121" s="10">
        <v>45729</v>
      </c>
      <c r="E2121" s="11" t="str">
        <f>+HYPERLINK("http://trademark.i-assist.jp/data/china/image_1927th/82543699.pdf","82543699")</f>
        <v>82543699</v>
      </c>
      <c r="F2121" s="9" t="s">
        <v>5881</v>
      </c>
      <c r="G2121" s="9" t="s">
        <v>5812</v>
      </c>
      <c r="H2121" s="12" t="s">
        <v>5882</v>
      </c>
      <c r="I2121" s="10">
        <v>45639</v>
      </c>
    </row>
    <row r="2122" spans="1:9" x14ac:dyDescent="0.15">
      <c r="A2122" s="9">
        <v>2121</v>
      </c>
      <c r="B2122" s="9" t="s">
        <v>9</v>
      </c>
      <c r="C2122" s="9">
        <v>1927</v>
      </c>
      <c r="D2122" s="10">
        <v>45729</v>
      </c>
      <c r="E2122" s="11" t="str">
        <f>+HYPERLINK("http://trademark.i-assist.jp/data/china/image_1927th/82543729.pdf","82543729")</f>
        <v>82543729</v>
      </c>
      <c r="F2122" s="9" t="s">
        <v>5883</v>
      </c>
      <c r="G2122" s="9" t="s">
        <v>5564</v>
      </c>
      <c r="H2122" s="9" t="s">
        <v>5884</v>
      </c>
      <c r="I2122" s="10">
        <v>45639</v>
      </c>
    </row>
    <row r="2123" spans="1:9" x14ac:dyDescent="0.15">
      <c r="A2123" s="9">
        <v>2122</v>
      </c>
      <c r="B2123" s="9" t="s">
        <v>9</v>
      </c>
      <c r="C2123" s="9">
        <v>1927</v>
      </c>
      <c r="D2123" s="10">
        <v>45729</v>
      </c>
      <c r="E2123" s="11" t="str">
        <f>+HYPERLINK("http://trademark.i-assist.jp/data/china/image_1927th/82543754.pdf","82543754")</f>
        <v>82543754</v>
      </c>
      <c r="F2123" s="9" t="s">
        <v>5885</v>
      </c>
      <c r="G2123" s="9" t="s">
        <v>5886</v>
      </c>
      <c r="H2123" s="9" t="s">
        <v>5887</v>
      </c>
      <c r="I2123" s="10">
        <v>45639</v>
      </c>
    </row>
    <row r="2124" spans="1:9" x14ac:dyDescent="0.15">
      <c r="A2124" s="9">
        <v>2123</v>
      </c>
      <c r="B2124" s="9" t="s">
        <v>9</v>
      </c>
      <c r="C2124" s="9">
        <v>1927</v>
      </c>
      <c r="D2124" s="10">
        <v>45729</v>
      </c>
      <c r="E2124" s="11" t="str">
        <f>+HYPERLINK("http://trademark.i-assist.jp/data/china/image_1927th/82543963.pdf","82543963")</f>
        <v>82543963</v>
      </c>
      <c r="F2124" s="9" t="s">
        <v>5888</v>
      </c>
      <c r="G2124" s="9" t="s">
        <v>5889</v>
      </c>
      <c r="H2124" s="9" t="s">
        <v>5890</v>
      </c>
      <c r="I2124" s="10">
        <v>45639</v>
      </c>
    </row>
    <row r="2125" spans="1:9" x14ac:dyDescent="0.15">
      <c r="A2125" s="9">
        <v>2124</v>
      </c>
      <c r="B2125" s="9" t="s">
        <v>9</v>
      </c>
      <c r="C2125" s="9">
        <v>1927</v>
      </c>
      <c r="D2125" s="10">
        <v>45729</v>
      </c>
      <c r="E2125" s="11" t="str">
        <f>+HYPERLINK("http://trademark.i-assist.jp/data/china/image_1927th/82543974.pdf","82543974")</f>
        <v>82543974</v>
      </c>
      <c r="F2125" s="12" t="s">
        <v>5891</v>
      </c>
      <c r="G2125" s="9" t="s">
        <v>5892</v>
      </c>
      <c r="H2125" s="9" t="s">
        <v>5893</v>
      </c>
      <c r="I2125" s="10">
        <v>45639</v>
      </c>
    </row>
    <row r="2126" spans="1:9" x14ac:dyDescent="0.15">
      <c r="A2126" s="9">
        <v>2125</v>
      </c>
      <c r="B2126" s="9" t="s">
        <v>9</v>
      </c>
      <c r="C2126" s="9">
        <v>1927</v>
      </c>
      <c r="D2126" s="10">
        <v>45729</v>
      </c>
      <c r="E2126" s="11" t="str">
        <f>+HYPERLINK("http://trademark.i-assist.jp/data/china/image_1927th/82544301.pdf","82544301")</f>
        <v>82544301</v>
      </c>
      <c r="F2126" s="9" t="s">
        <v>5894</v>
      </c>
      <c r="G2126" s="9" t="s">
        <v>195</v>
      </c>
      <c r="H2126" s="9" t="s">
        <v>5895</v>
      </c>
      <c r="I2126" s="10">
        <v>45639</v>
      </c>
    </row>
    <row r="2127" spans="1:9" x14ac:dyDescent="0.15">
      <c r="A2127" s="9">
        <v>2126</v>
      </c>
      <c r="B2127" s="9" t="s">
        <v>9</v>
      </c>
      <c r="C2127" s="9">
        <v>1927</v>
      </c>
      <c r="D2127" s="10">
        <v>45729</v>
      </c>
      <c r="E2127" s="11" t="str">
        <f>+HYPERLINK("http://trademark.i-assist.jp/data/china/image_1927th/82544453.pdf","82544453")</f>
        <v>82544453</v>
      </c>
      <c r="F2127" s="9" t="s">
        <v>5896</v>
      </c>
      <c r="G2127" s="12" t="s">
        <v>5484</v>
      </c>
      <c r="H2127" s="9" t="s">
        <v>5897</v>
      </c>
      <c r="I2127" s="10">
        <v>45639</v>
      </c>
    </row>
    <row r="2128" spans="1:9" x14ac:dyDescent="0.15">
      <c r="A2128" s="9">
        <v>2127</v>
      </c>
      <c r="B2128" s="9" t="s">
        <v>9</v>
      </c>
      <c r="C2128" s="9">
        <v>1927</v>
      </c>
      <c r="D2128" s="10">
        <v>45729</v>
      </c>
      <c r="E2128" s="11" t="str">
        <f>+HYPERLINK("http://trademark.i-assist.jp/data/china/image_1927th/82544476.pdf","82544476")</f>
        <v>82544476</v>
      </c>
      <c r="F2128" s="12" t="s">
        <v>5898</v>
      </c>
      <c r="G2128" s="12" t="s">
        <v>223</v>
      </c>
      <c r="H2128" s="9" t="s">
        <v>5899</v>
      </c>
      <c r="I2128" s="10">
        <v>45639</v>
      </c>
    </row>
    <row r="2129" spans="1:9" x14ac:dyDescent="0.15">
      <c r="A2129" s="9">
        <v>2128</v>
      </c>
      <c r="B2129" s="9" t="s">
        <v>9</v>
      </c>
      <c r="C2129" s="9">
        <v>1927</v>
      </c>
      <c r="D2129" s="10">
        <v>45729</v>
      </c>
      <c r="E2129" s="11" t="str">
        <f>+HYPERLINK("http://trademark.i-assist.jp/data/china/image_1927th/82544637.pdf","82544637")</f>
        <v>82544637</v>
      </c>
      <c r="F2129" s="12" t="s">
        <v>5900</v>
      </c>
      <c r="G2129" s="9" t="s">
        <v>5901</v>
      </c>
      <c r="H2129" s="9" t="s">
        <v>5902</v>
      </c>
      <c r="I2129" s="10">
        <v>45639</v>
      </c>
    </row>
    <row r="2130" spans="1:9" x14ac:dyDescent="0.15">
      <c r="A2130" s="9">
        <v>2129</v>
      </c>
      <c r="B2130" s="9" t="s">
        <v>9</v>
      </c>
      <c r="C2130" s="9">
        <v>1927</v>
      </c>
      <c r="D2130" s="10">
        <v>45729</v>
      </c>
      <c r="E2130" s="11" t="str">
        <f>+HYPERLINK("http://trademark.i-assist.jp/data/china/image_1927th/82544766.pdf","82544766")</f>
        <v>82544766</v>
      </c>
      <c r="F2130" s="12" t="s">
        <v>16</v>
      </c>
      <c r="G2130" s="9" t="s">
        <v>5903</v>
      </c>
      <c r="H2130" s="9" t="s">
        <v>5904</v>
      </c>
      <c r="I2130" s="10">
        <v>45639</v>
      </c>
    </row>
    <row r="2131" spans="1:9" x14ac:dyDescent="0.15">
      <c r="A2131" s="9">
        <v>2130</v>
      </c>
      <c r="B2131" s="9" t="s">
        <v>9</v>
      </c>
      <c r="C2131" s="9">
        <v>1927</v>
      </c>
      <c r="D2131" s="10">
        <v>45729</v>
      </c>
      <c r="E2131" s="11" t="str">
        <f>+HYPERLINK("http://trademark.i-assist.jp/data/china/image_1927th/82544952.pdf","82544952")</f>
        <v>82544952</v>
      </c>
      <c r="F2131" s="9" t="s">
        <v>5905</v>
      </c>
      <c r="G2131" s="9" t="s">
        <v>5906</v>
      </c>
      <c r="H2131" s="9" t="s">
        <v>5907</v>
      </c>
      <c r="I2131" s="10">
        <v>45639</v>
      </c>
    </row>
    <row r="2132" spans="1:9" x14ac:dyDescent="0.15">
      <c r="A2132" s="9">
        <v>2131</v>
      </c>
      <c r="B2132" s="9" t="s">
        <v>9</v>
      </c>
      <c r="C2132" s="9">
        <v>1927</v>
      </c>
      <c r="D2132" s="10">
        <v>45729</v>
      </c>
      <c r="E2132" s="11" t="str">
        <f>+HYPERLINK("http://trademark.i-assist.jp/data/china/image_1927th/82545070.pdf","82545070")</f>
        <v>82545070</v>
      </c>
      <c r="F2132" s="9" t="s">
        <v>5908</v>
      </c>
      <c r="G2132" s="12" t="s">
        <v>5205</v>
      </c>
      <c r="H2132" s="9" t="s">
        <v>5909</v>
      </c>
      <c r="I2132" s="10">
        <v>45639</v>
      </c>
    </row>
    <row r="2133" spans="1:9" x14ac:dyDescent="0.15">
      <c r="A2133" s="9">
        <v>2132</v>
      </c>
      <c r="B2133" s="9" t="s">
        <v>9</v>
      </c>
      <c r="C2133" s="9">
        <v>1927</v>
      </c>
      <c r="D2133" s="10">
        <v>45729</v>
      </c>
      <c r="E2133" s="11" t="str">
        <f>+HYPERLINK("http://trademark.i-assist.jp/data/china/image_1927th/82545180.pdf","82545180")</f>
        <v>82545180</v>
      </c>
      <c r="F2133" s="9" t="s">
        <v>5910</v>
      </c>
      <c r="G2133" s="9" t="s">
        <v>5619</v>
      </c>
      <c r="H2133" s="9" t="s">
        <v>5911</v>
      </c>
      <c r="I2133" s="10">
        <v>45639</v>
      </c>
    </row>
    <row r="2134" spans="1:9" x14ac:dyDescent="0.15">
      <c r="A2134" s="9">
        <v>2133</v>
      </c>
      <c r="B2134" s="9" t="s">
        <v>9</v>
      </c>
      <c r="C2134" s="9">
        <v>1927</v>
      </c>
      <c r="D2134" s="10">
        <v>45729</v>
      </c>
      <c r="E2134" s="11" t="str">
        <f>+HYPERLINK("http://trademark.i-assist.jp/data/china/image_1927th/82545250.pdf","82545250")</f>
        <v>82545250</v>
      </c>
      <c r="F2134" s="12" t="s">
        <v>5912</v>
      </c>
      <c r="G2134" s="12" t="s">
        <v>5205</v>
      </c>
      <c r="H2134" s="9" t="s">
        <v>5913</v>
      </c>
      <c r="I2134" s="10">
        <v>45639</v>
      </c>
    </row>
    <row r="2135" spans="1:9" x14ac:dyDescent="0.15">
      <c r="A2135" s="9">
        <v>2134</v>
      </c>
      <c r="B2135" s="9" t="s">
        <v>9</v>
      </c>
      <c r="C2135" s="9">
        <v>1927</v>
      </c>
      <c r="D2135" s="10">
        <v>45729</v>
      </c>
      <c r="E2135" s="11" t="str">
        <f>+HYPERLINK("http://trademark.i-assist.jp/data/china/image_1927th/82545320.pdf","82545320")</f>
        <v>82545320</v>
      </c>
      <c r="F2135" s="9" t="s">
        <v>5914</v>
      </c>
      <c r="G2135" s="9" t="s">
        <v>5915</v>
      </c>
      <c r="H2135" s="9" t="s">
        <v>5916</v>
      </c>
      <c r="I2135" s="10">
        <v>45639</v>
      </c>
    </row>
    <row r="2136" spans="1:9" x14ac:dyDescent="0.15">
      <c r="A2136" s="9">
        <v>2135</v>
      </c>
      <c r="B2136" s="9" t="s">
        <v>9</v>
      </c>
      <c r="C2136" s="9">
        <v>1927</v>
      </c>
      <c r="D2136" s="10">
        <v>45729</v>
      </c>
      <c r="E2136" s="11" t="str">
        <f>+HYPERLINK("http://trademark.i-assist.jp/data/china/image_1927th/82545398.pdf","82545398")</f>
        <v>82545398</v>
      </c>
      <c r="F2136" s="12" t="s">
        <v>5917</v>
      </c>
      <c r="G2136" s="12" t="s">
        <v>5553</v>
      </c>
      <c r="H2136" s="12" t="s">
        <v>5918</v>
      </c>
      <c r="I2136" s="10">
        <v>45639</v>
      </c>
    </row>
    <row r="2137" spans="1:9" x14ac:dyDescent="0.15">
      <c r="A2137" s="9">
        <v>2136</v>
      </c>
      <c r="B2137" s="9" t="s">
        <v>9</v>
      </c>
      <c r="C2137" s="9">
        <v>1927</v>
      </c>
      <c r="D2137" s="10">
        <v>45729</v>
      </c>
      <c r="E2137" s="11" t="str">
        <f>+HYPERLINK("http://trademark.i-assist.jp/data/china/image_1927th/82545410.pdf","82545410")</f>
        <v>82545410</v>
      </c>
      <c r="F2137" s="12" t="s">
        <v>5919</v>
      </c>
      <c r="G2137" s="9" t="s">
        <v>14</v>
      </c>
      <c r="H2137" s="9" t="s">
        <v>5920</v>
      </c>
      <c r="I2137" s="10">
        <v>45639</v>
      </c>
    </row>
    <row r="2138" spans="1:9" x14ac:dyDescent="0.15">
      <c r="A2138" s="9">
        <v>2137</v>
      </c>
      <c r="B2138" s="9" t="s">
        <v>9</v>
      </c>
      <c r="C2138" s="9">
        <v>1927</v>
      </c>
      <c r="D2138" s="10">
        <v>45729</v>
      </c>
      <c r="E2138" s="11" t="str">
        <f>+HYPERLINK("http://trademark.i-assist.jp/data/china/image_1927th/82545453.pdf","82545453")</f>
        <v>82545453</v>
      </c>
      <c r="F2138" s="9" t="s">
        <v>5921</v>
      </c>
      <c r="G2138" s="12" t="s">
        <v>5922</v>
      </c>
      <c r="H2138" s="9" t="s">
        <v>5923</v>
      </c>
      <c r="I2138" s="10">
        <v>45639</v>
      </c>
    </row>
    <row r="2139" spans="1:9" x14ac:dyDescent="0.15">
      <c r="A2139" s="9">
        <v>2138</v>
      </c>
      <c r="B2139" s="9" t="s">
        <v>9</v>
      </c>
      <c r="C2139" s="9">
        <v>1927</v>
      </c>
      <c r="D2139" s="10">
        <v>45729</v>
      </c>
      <c r="E2139" s="11" t="str">
        <f>+HYPERLINK("http://trademark.i-assist.jp/data/china/image_1927th/82545486.pdf","82545486")</f>
        <v>82545486</v>
      </c>
      <c r="F2139" s="9" t="s">
        <v>5924</v>
      </c>
      <c r="G2139" s="9" t="s">
        <v>5925</v>
      </c>
      <c r="H2139" s="9" t="s">
        <v>5926</v>
      </c>
      <c r="I2139" s="10">
        <v>45639</v>
      </c>
    </row>
    <row r="2140" spans="1:9" x14ac:dyDescent="0.15">
      <c r="A2140" s="9">
        <v>2139</v>
      </c>
      <c r="B2140" s="9" t="s">
        <v>9</v>
      </c>
      <c r="C2140" s="9">
        <v>1927</v>
      </c>
      <c r="D2140" s="10">
        <v>45729</v>
      </c>
      <c r="E2140" s="11" t="str">
        <f>+HYPERLINK("http://trademark.i-assist.jp/data/china/image_1927th/82545611.pdf","82545611")</f>
        <v>82545611</v>
      </c>
      <c r="F2140" s="12" t="s">
        <v>5927</v>
      </c>
      <c r="G2140" s="9" t="s">
        <v>226</v>
      </c>
      <c r="H2140" s="9" t="s">
        <v>5928</v>
      </c>
      <c r="I2140" s="10">
        <v>45639</v>
      </c>
    </row>
    <row r="2141" spans="1:9" x14ac:dyDescent="0.15">
      <c r="A2141" s="9">
        <v>2140</v>
      </c>
      <c r="B2141" s="9" t="s">
        <v>9</v>
      </c>
      <c r="C2141" s="9">
        <v>1927</v>
      </c>
      <c r="D2141" s="10">
        <v>45729</v>
      </c>
      <c r="E2141" s="11" t="str">
        <f>+HYPERLINK("http://trademark.i-assist.jp/data/china/image_1927th/82545660.pdf","82545660")</f>
        <v>82545660</v>
      </c>
      <c r="F2141" s="9" t="s">
        <v>5929</v>
      </c>
      <c r="G2141" s="9" t="s">
        <v>5590</v>
      </c>
      <c r="H2141" s="12" t="s">
        <v>5930</v>
      </c>
      <c r="I2141" s="10">
        <v>45639</v>
      </c>
    </row>
    <row r="2142" spans="1:9" x14ac:dyDescent="0.15">
      <c r="A2142" s="9">
        <v>2141</v>
      </c>
      <c r="B2142" s="9" t="s">
        <v>9</v>
      </c>
      <c r="C2142" s="9">
        <v>1927</v>
      </c>
      <c r="D2142" s="10">
        <v>45729</v>
      </c>
      <c r="E2142" s="11" t="str">
        <f>+HYPERLINK("http://trademark.i-assist.jp/data/china/image_1927th/82545765.pdf","82545765")</f>
        <v>82545765</v>
      </c>
      <c r="F2142" s="9" t="s">
        <v>5931</v>
      </c>
      <c r="G2142" s="12" t="s">
        <v>5932</v>
      </c>
      <c r="H2142" s="12" t="s">
        <v>5933</v>
      </c>
      <c r="I2142" s="10">
        <v>45639</v>
      </c>
    </row>
    <row r="2143" spans="1:9" x14ac:dyDescent="0.15">
      <c r="A2143" s="9">
        <v>2142</v>
      </c>
      <c r="B2143" s="9" t="s">
        <v>9</v>
      </c>
      <c r="C2143" s="9">
        <v>1927</v>
      </c>
      <c r="D2143" s="10">
        <v>45729</v>
      </c>
      <c r="E2143" s="11" t="str">
        <f>+HYPERLINK("http://trademark.i-assist.jp/data/china/image_1927th/82545850.pdf","82545850")</f>
        <v>82545850</v>
      </c>
      <c r="F2143" s="9" t="s">
        <v>5934</v>
      </c>
      <c r="G2143" s="12" t="s">
        <v>5935</v>
      </c>
      <c r="H2143" s="9" t="s">
        <v>5936</v>
      </c>
      <c r="I2143" s="10">
        <v>45639</v>
      </c>
    </row>
    <row r="2144" spans="1:9" x14ac:dyDescent="0.15">
      <c r="A2144" s="9">
        <v>2143</v>
      </c>
      <c r="B2144" s="9" t="s">
        <v>9</v>
      </c>
      <c r="C2144" s="9">
        <v>1927</v>
      </c>
      <c r="D2144" s="10">
        <v>45729</v>
      </c>
      <c r="E2144" s="11" t="str">
        <f>+HYPERLINK("http://trademark.i-assist.jp/data/china/image_1927th/82545885.pdf","82545885")</f>
        <v>82545885</v>
      </c>
      <c r="F2144" s="9" t="s">
        <v>5937</v>
      </c>
      <c r="G2144" s="12" t="s">
        <v>100</v>
      </c>
      <c r="H2144" s="12" t="s">
        <v>5938</v>
      </c>
      <c r="I2144" s="10">
        <v>45639</v>
      </c>
    </row>
    <row r="2145" spans="1:9" x14ac:dyDescent="0.15">
      <c r="A2145" s="9">
        <v>2144</v>
      </c>
      <c r="B2145" s="9" t="s">
        <v>9</v>
      </c>
      <c r="C2145" s="9">
        <v>1927</v>
      </c>
      <c r="D2145" s="10">
        <v>45729</v>
      </c>
      <c r="E2145" s="11" t="str">
        <f>+HYPERLINK("http://trademark.i-assist.jp/data/china/image_1927th/82545909.pdf","82545909")</f>
        <v>82545909</v>
      </c>
      <c r="F2145" s="12" t="s">
        <v>5939</v>
      </c>
      <c r="G2145" s="9" t="s">
        <v>5940</v>
      </c>
      <c r="H2145" s="9" t="s">
        <v>5941</v>
      </c>
      <c r="I2145" s="10">
        <v>45639</v>
      </c>
    </row>
    <row r="2146" spans="1:9" x14ac:dyDescent="0.15">
      <c r="A2146" s="9">
        <v>2145</v>
      </c>
      <c r="B2146" s="9" t="s">
        <v>9</v>
      </c>
      <c r="C2146" s="9">
        <v>1927</v>
      </c>
      <c r="D2146" s="10">
        <v>45729</v>
      </c>
      <c r="E2146" s="11" t="str">
        <f>+HYPERLINK("http://trademark.i-assist.jp/data/china/image_1927th/82545916.pdf","82545916")</f>
        <v>82545916</v>
      </c>
      <c r="F2146" s="9" t="s">
        <v>5942</v>
      </c>
      <c r="G2146" s="12" t="s">
        <v>222</v>
      </c>
      <c r="H2146" s="9" t="s">
        <v>5943</v>
      </c>
      <c r="I2146" s="10">
        <v>45639</v>
      </c>
    </row>
    <row r="2147" spans="1:9" x14ac:dyDescent="0.15">
      <c r="A2147" s="9">
        <v>2146</v>
      </c>
      <c r="B2147" s="9" t="s">
        <v>9</v>
      </c>
      <c r="C2147" s="9">
        <v>1927</v>
      </c>
      <c r="D2147" s="10">
        <v>45729</v>
      </c>
      <c r="E2147" s="11" t="str">
        <f>+HYPERLINK("http://trademark.i-assist.jp/data/china/image_1927th/82546005.pdf","82546005")</f>
        <v>82546005</v>
      </c>
      <c r="F2147" s="9" t="s">
        <v>5944</v>
      </c>
      <c r="G2147" s="12" t="s">
        <v>5945</v>
      </c>
      <c r="H2147" s="9" t="s">
        <v>5946</v>
      </c>
      <c r="I2147" s="10">
        <v>45639</v>
      </c>
    </row>
    <row r="2148" spans="1:9" x14ac:dyDescent="0.15">
      <c r="A2148" s="9">
        <v>2147</v>
      </c>
      <c r="B2148" s="9" t="s">
        <v>9</v>
      </c>
      <c r="C2148" s="9">
        <v>1927</v>
      </c>
      <c r="D2148" s="10">
        <v>45729</v>
      </c>
      <c r="E2148" s="11" t="str">
        <f>+HYPERLINK("http://trademark.i-assist.jp/data/china/image_1927th/82546376.pdf","82546376")</f>
        <v>82546376</v>
      </c>
      <c r="F2148" s="9" t="s">
        <v>5947</v>
      </c>
      <c r="G2148" s="9" t="s">
        <v>5590</v>
      </c>
      <c r="H2148" s="9" t="s">
        <v>5948</v>
      </c>
      <c r="I2148" s="10">
        <v>45639</v>
      </c>
    </row>
    <row r="2149" spans="1:9" x14ac:dyDescent="0.15">
      <c r="A2149" s="9">
        <v>2148</v>
      </c>
      <c r="B2149" s="9" t="s">
        <v>9</v>
      </c>
      <c r="C2149" s="9">
        <v>1927</v>
      </c>
      <c r="D2149" s="10">
        <v>45729</v>
      </c>
      <c r="E2149" s="11" t="str">
        <f>+HYPERLINK("http://trademark.i-assist.jp/data/china/image_1927th/82546496.pdf","82546496")</f>
        <v>82546496</v>
      </c>
      <c r="F2149" s="9" t="s">
        <v>5949</v>
      </c>
      <c r="G2149" s="9" t="s">
        <v>5950</v>
      </c>
      <c r="H2149" s="9" t="s">
        <v>5951</v>
      </c>
      <c r="I2149" s="10">
        <v>45639</v>
      </c>
    </row>
    <row r="2150" spans="1:9" x14ac:dyDescent="0.15">
      <c r="A2150" s="9">
        <v>2149</v>
      </c>
      <c r="B2150" s="9" t="s">
        <v>9</v>
      </c>
      <c r="C2150" s="9">
        <v>1927</v>
      </c>
      <c r="D2150" s="10">
        <v>45729</v>
      </c>
      <c r="E2150" s="11" t="str">
        <f>+HYPERLINK("http://trademark.i-assist.jp/data/china/image_1927th/82546721.pdf","82546721")</f>
        <v>82546721</v>
      </c>
      <c r="F2150" s="9" t="s">
        <v>5952</v>
      </c>
      <c r="G2150" s="12" t="s">
        <v>5516</v>
      </c>
      <c r="H2150" s="9" t="s">
        <v>5953</v>
      </c>
      <c r="I2150" s="10">
        <v>45639</v>
      </c>
    </row>
    <row r="2151" spans="1:9" x14ac:dyDescent="0.15">
      <c r="A2151" s="9">
        <v>2150</v>
      </c>
      <c r="B2151" s="9" t="s">
        <v>9</v>
      </c>
      <c r="C2151" s="9">
        <v>1927</v>
      </c>
      <c r="D2151" s="10">
        <v>45729</v>
      </c>
      <c r="E2151" s="11" t="str">
        <f>+HYPERLINK("http://trademark.i-assist.jp/data/china/image_1927th/82546868.pdf","82546868")</f>
        <v>82546868</v>
      </c>
      <c r="F2151" s="9" t="s">
        <v>5954</v>
      </c>
      <c r="G2151" s="12" t="s">
        <v>5666</v>
      </c>
      <c r="H2151" s="9" t="s">
        <v>5955</v>
      </c>
      <c r="I2151" s="10">
        <v>45639</v>
      </c>
    </row>
    <row r="2152" spans="1:9" x14ac:dyDescent="0.15">
      <c r="A2152" s="9">
        <v>2151</v>
      </c>
      <c r="B2152" s="9" t="s">
        <v>9</v>
      </c>
      <c r="C2152" s="9">
        <v>1927</v>
      </c>
      <c r="D2152" s="10">
        <v>45729</v>
      </c>
      <c r="E2152" s="11" t="str">
        <f>+HYPERLINK("http://trademark.i-assist.jp/data/china/image_1927th/82547275.pdf","82547275")</f>
        <v>82547275</v>
      </c>
      <c r="F2152" s="9" t="s">
        <v>5956</v>
      </c>
      <c r="G2152" s="9" t="s">
        <v>5957</v>
      </c>
      <c r="H2152" s="9" t="s">
        <v>5958</v>
      </c>
      <c r="I2152" s="10">
        <v>45639</v>
      </c>
    </row>
    <row r="2153" spans="1:9" x14ac:dyDescent="0.15">
      <c r="A2153" s="9">
        <v>2152</v>
      </c>
      <c r="B2153" s="9" t="s">
        <v>9</v>
      </c>
      <c r="C2153" s="9">
        <v>1927</v>
      </c>
      <c r="D2153" s="10">
        <v>45729</v>
      </c>
      <c r="E2153" s="11" t="str">
        <f>+HYPERLINK("http://trademark.i-assist.jp/data/china/image_1927th/82547443.pdf","82547443")</f>
        <v>82547443</v>
      </c>
      <c r="F2153" s="9" t="s">
        <v>5959</v>
      </c>
      <c r="G2153" s="9" t="s">
        <v>5960</v>
      </c>
      <c r="H2153" s="12" t="s">
        <v>5961</v>
      </c>
      <c r="I2153" s="10">
        <v>45639</v>
      </c>
    </row>
    <row r="2154" spans="1:9" x14ac:dyDescent="0.15">
      <c r="A2154" s="9">
        <v>2153</v>
      </c>
      <c r="B2154" s="9" t="s">
        <v>9</v>
      </c>
      <c r="C2154" s="9">
        <v>1927</v>
      </c>
      <c r="D2154" s="10">
        <v>45729</v>
      </c>
      <c r="E2154" s="11" t="str">
        <f>+HYPERLINK("http://trademark.i-assist.jp/data/china/image_1927th/82547514.pdf","82547514")</f>
        <v>82547514</v>
      </c>
      <c r="F2154" s="9" t="s">
        <v>5962</v>
      </c>
      <c r="G2154" s="9" t="s">
        <v>5963</v>
      </c>
      <c r="H2154" s="9" t="s">
        <v>5964</v>
      </c>
      <c r="I2154" s="10">
        <v>45639</v>
      </c>
    </row>
    <row r="2155" spans="1:9" x14ac:dyDescent="0.15">
      <c r="A2155" s="9">
        <v>2154</v>
      </c>
      <c r="B2155" s="9" t="s">
        <v>9</v>
      </c>
      <c r="C2155" s="9">
        <v>1927</v>
      </c>
      <c r="D2155" s="10">
        <v>45729</v>
      </c>
      <c r="E2155" s="11" t="str">
        <f>+HYPERLINK("http://trademark.i-assist.jp/data/china/image_1927th/82547590.pdf","82547590")</f>
        <v>82547590</v>
      </c>
      <c r="F2155" s="12" t="s">
        <v>16</v>
      </c>
      <c r="G2155" s="9" t="s">
        <v>5609</v>
      </c>
      <c r="H2155" s="9" t="s">
        <v>5965</v>
      </c>
      <c r="I2155" s="10">
        <v>45639</v>
      </c>
    </row>
    <row r="2156" spans="1:9" x14ac:dyDescent="0.15">
      <c r="A2156" s="9">
        <v>2155</v>
      </c>
      <c r="B2156" s="9" t="s">
        <v>9</v>
      </c>
      <c r="C2156" s="9">
        <v>1927</v>
      </c>
      <c r="D2156" s="10">
        <v>45729</v>
      </c>
      <c r="E2156" s="11" t="str">
        <f>+HYPERLINK("http://trademark.i-assist.jp/data/china/image_1927th/82547627.pdf","82547627")</f>
        <v>82547627</v>
      </c>
      <c r="F2156" s="9" t="s">
        <v>5966</v>
      </c>
      <c r="G2156" s="9" t="s">
        <v>5967</v>
      </c>
      <c r="H2156" s="12" t="s">
        <v>5968</v>
      </c>
      <c r="I2156" s="10">
        <v>45639</v>
      </c>
    </row>
    <row r="2157" spans="1:9" x14ac:dyDescent="0.15">
      <c r="A2157" s="9">
        <v>2156</v>
      </c>
      <c r="B2157" s="9" t="s">
        <v>9</v>
      </c>
      <c r="C2157" s="9">
        <v>1927</v>
      </c>
      <c r="D2157" s="10">
        <v>45729</v>
      </c>
      <c r="E2157" s="11" t="str">
        <f>+HYPERLINK("http://trademark.i-assist.jp/data/china/image_1927th/82547643.pdf","82547643")</f>
        <v>82547643</v>
      </c>
      <c r="F2157" s="9" t="s">
        <v>5969</v>
      </c>
      <c r="G2157" s="9" t="s">
        <v>5970</v>
      </c>
      <c r="H2157" s="9" t="s">
        <v>5971</v>
      </c>
      <c r="I2157" s="10">
        <v>45639</v>
      </c>
    </row>
    <row r="2158" spans="1:9" x14ac:dyDescent="0.15">
      <c r="A2158" s="9">
        <v>2157</v>
      </c>
      <c r="B2158" s="9" t="s">
        <v>9</v>
      </c>
      <c r="C2158" s="9">
        <v>1927</v>
      </c>
      <c r="D2158" s="10">
        <v>45729</v>
      </c>
      <c r="E2158" s="11" t="str">
        <f>+HYPERLINK("http://trademark.i-assist.jp/data/china/image_1927th/82547732.pdf","82547732")</f>
        <v>82547732</v>
      </c>
      <c r="F2158" s="9" t="s">
        <v>5972</v>
      </c>
      <c r="G2158" s="12" t="s">
        <v>5973</v>
      </c>
      <c r="H2158" s="9" t="s">
        <v>5974</v>
      </c>
      <c r="I2158" s="10">
        <v>45639</v>
      </c>
    </row>
    <row r="2159" spans="1:9" x14ac:dyDescent="0.15">
      <c r="A2159" s="9">
        <v>2158</v>
      </c>
      <c r="B2159" s="9" t="s">
        <v>9</v>
      </c>
      <c r="C2159" s="9">
        <v>1927</v>
      </c>
      <c r="D2159" s="10">
        <v>45729</v>
      </c>
      <c r="E2159" s="11" t="str">
        <f>+HYPERLINK("http://trademark.i-assist.jp/data/china/image_1927th/82547816.pdf","82547816")</f>
        <v>82547816</v>
      </c>
      <c r="F2159" s="9" t="s">
        <v>5975</v>
      </c>
      <c r="G2159" s="9" t="s">
        <v>5976</v>
      </c>
      <c r="H2159" s="9" t="s">
        <v>5977</v>
      </c>
      <c r="I2159" s="10">
        <v>45639</v>
      </c>
    </row>
    <row r="2160" spans="1:9" x14ac:dyDescent="0.15">
      <c r="A2160" s="9">
        <v>2159</v>
      </c>
      <c r="B2160" s="9" t="s">
        <v>9</v>
      </c>
      <c r="C2160" s="9">
        <v>1927</v>
      </c>
      <c r="D2160" s="10">
        <v>45729</v>
      </c>
      <c r="E2160" s="11" t="str">
        <f>+HYPERLINK("http://trademark.i-assist.jp/data/china/image_1927th/82547986.pdf","82547986")</f>
        <v>82547986</v>
      </c>
      <c r="F2160" s="9" t="s">
        <v>5978</v>
      </c>
      <c r="G2160" s="9" t="s">
        <v>5979</v>
      </c>
      <c r="H2160" s="12" t="s">
        <v>5980</v>
      </c>
      <c r="I2160" s="10">
        <v>45639</v>
      </c>
    </row>
    <row r="2161" spans="1:9" x14ac:dyDescent="0.15">
      <c r="A2161" s="9">
        <v>2160</v>
      </c>
      <c r="B2161" s="9" t="s">
        <v>9</v>
      </c>
      <c r="C2161" s="9">
        <v>1927</v>
      </c>
      <c r="D2161" s="10">
        <v>45729</v>
      </c>
      <c r="E2161" s="11" t="str">
        <f>+HYPERLINK("http://trademark.i-assist.jp/data/china/image_1927th/82548169.pdf","82548169")</f>
        <v>82548169</v>
      </c>
      <c r="F2161" s="9" t="s">
        <v>5981</v>
      </c>
      <c r="G2161" s="12" t="s">
        <v>5982</v>
      </c>
      <c r="H2161" s="9" t="s">
        <v>5983</v>
      </c>
      <c r="I2161" s="10">
        <v>45639</v>
      </c>
    </row>
    <row r="2162" spans="1:9" x14ac:dyDescent="0.15">
      <c r="A2162" s="9">
        <v>2161</v>
      </c>
      <c r="B2162" s="9" t="s">
        <v>9</v>
      </c>
      <c r="C2162" s="9">
        <v>1927</v>
      </c>
      <c r="D2162" s="10">
        <v>45729</v>
      </c>
      <c r="E2162" s="11" t="str">
        <f>+HYPERLINK("http://trademark.i-assist.jp/data/china/image_1927th/82548509.pdf","82548509")</f>
        <v>82548509</v>
      </c>
      <c r="F2162" s="12" t="s">
        <v>5984</v>
      </c>
      <c r="G2162" s="9" t="s">
        <v>5985</v>
      </c>
      <c r="H2162" s="9" t="s">
        <v>5986</v>
      </c>
      <c r="I2162" s="10">
        <v>45639</v>
      </c>
    </row>
    <row r="2163" spans="1:9" x14ac:dyDescent="0.15">
      <c r="A2163" s="9">
        <v>2162</v>
      </c>
      <c r="B2163" s="9" t="s">
        <v>9</v>
      </c>
      <c r="C2163" s="9">
        <v>1927</v>
      </c>
      <c r="D2163" s="10">
        <v>45729</v>
      </c>
      <c r="E2163" s="11" t="str">
        <f>+HYPERLINK("http://trademark.i-assist.jp/data/china/image_1927th/82548687.pdf","82548687")</f>
        <v>82548687</v>
      </c>
      <c r="F2163" s="9" t="s">
        <v>5987</v>
      </c>
      <c r="G2163" s="9" t="s">
        <v>5988</v>
      </c>
      <c r="H2163" s="9" t="s">
        <v>5989</v>
      </c>
      <c r="I2163" s="10">
        <v>45639</v>
      </c>
    </row>
    <row r="2164" spans="1:9" x14ac:dyDescent="0.15">
      <c r="A2164" s="9">
        <v>2163</v>
      </c>
      <c r="B2164" s="9" t="s">
        <v>9</v>
      </c>
      <c r="C2164" s="9">
        <v>1927</v>
      </c>
      <c r="D2164" s="10">
        <v>45729</v>
      </c>
      <c r="E2164" s="11" t="str">
        <f>+HYPERLINK("http://trademark.i-assist.jp/data/china/image_1927th/82548840.pdf","82548840")</f>
        <v>82548840</v>
      </c>
      <c r="F2164" s="9" t="s">
        <v>5990</v>
      </c>
      <c r="G2164" s="12" t="s">
        <v>3905</v>
      </c>
      <c r="H2164" s="9" t="s">
        <v>5991</v>
      </c>
      <c r="I2164" s="10">
        <v>45639</v>
      </c>
    </row>
    <row r="2165" spans="1:9" x14ac:dyDescent="0.15">
      <c r="A2165" s="9">
        <v>2164</v>
      </c>
      <c r="B2165" s="9" t="s">
        <v>9</v>
      </c>
      <c r="C2165" s="9">
        <v>1927</v>
      </c>
      <c r="D2165" s="10">
        <v>45729</v>
      </c>
      <c r="E2165" s="11" t="str">
        <f>+HYPERLINK("http://trademark.i-assist.jp/data/china/image_1927th/82548877.pdf","82548877")</f>
        <v>82548877</v>
      </c>
      <c r="F2165" s="12" t="s">
        <v>5992</v>
      </c>
      <c r="G2165" s="12" t="s">
        <v>5553</v>
      </c>
      <c r="H2165" s="9" t="s">
        <v>5993</v>
      </c>
      <c r="I2165" s="10">
        <v>45639</v>
      </c>
    </row>
    <row r="2166" spans="1:9" x14ac:dyDescent="0.15">
      <c r="A2166" s="9">
        <v>2165</v>
      </c>
      <c r="B2166" s="9" t="s">
        <v>9</v>
      </c>
      <c r="C2166" s="9">
        <v>1927</v>
      </c>
      <c r="D2166" s="10">
        <v>45729</v>
      </c>
      <c r="E2166" s="11" t="str">
        <f>+HYPERLINK("http://trademark.i-assist.jp/data/china/image_1927th/82548904.pdf","82548904")</f>
        <v>82548904</v>
      </c>
      <c r="F2166" s="9" t="s">
        <v>5994</v>
      </c>
      <c r="G2166" s="9" t="s">
        <v>5705</v>
      </c>
      <c r="H2166" s="9" t="s">
        <v>5995</v>
      </c>
      <c r="I2166" s="10">
        <v>45639</v>
      </c>
    </row>
    <row r="2167" spans="1:9" x14ac:dyDescent="0.15">
      <c r="A2167" s="9">
        <v>2166</v>
      </c>
      <c r="B2167" s="9" t="s">
        <v>9</v>
      </c>
      <c r="C2167" s="9">
        <v>1927</v>
      </c>
      <c r="D2167" s="10">
        <v>45729</v>
      </c>
      <c r="E2167" s="11" t="str">
        <f>+HYPERLINK("http://trademark.i-assist.jp/data/china/image_1927th/82549183.pdf","82549183")</f>
        <v>82549183</v>
      </c>
      <c r="F2167" s="12" t="s">
        <v>5996</v>
      </c>
      <c r="G2167" s="9" t="s">
        <v>5997</v>
      </c>
      <c r="H2167" s="9" t="s">
        <v>5998</v>
      </c>
      <c r="I2167" s="10">
        <v>45639</v>
      </c>
    </row>
    <row r="2168" spans="1:9" x14ac:dyDescent="0.15">
      <c r="A2168" s="9">
        <v>2167</v>
      </c>
      <c r="B2168" s="9" t="s">
        <v>9</v>
      </c>
      <c r="C2168" s="9">
        <v>1927</v>
      </c>
      <c r="D2168" s="10">
        <v>45729</v>
      </c>
      <c r="E2168" s="11" t="str">
        <f>+HYPERLINK("http://trademark.i-assist.jp/data/china/image_1927th/82549272.pdf","82549272")</f>
        <v>82549272</v>
      </c>
      <c r="F2168" s="12" t="s">
        <v>16</v>
      </c>
      <c r="G2168" s="9" t="s">
        <v>5999</v>
      </c>
      <c r="H2168" s="9" t="s">
        <v>6000</v>
      </c>
      <c r="I2168" s="10">
        <v>45639</v>
      </c>
    </row>
    <row r="2169" spans="1:9" x14ac:dyDescent="0.15">
      <c r="A2169" s="9">
        <v>2168</v>
      </c>
      <c r="B2169" s="9" t="s">
        <v>9</v>
      </c>
      <c r="C2169" s="9">
        <v>1927</v>
      </c>
      <c r="D2169" s="10">
        <v>45729</v>
      </c>
      <c r="E2169" s="11" t="str">
        <f>+HYPERLINK("http://trademark.i-assist.jp/data/china/image_1927th/82549465.pdf","82549465")</f>
        <v>82549465</v>
      </c>
      <c r="F2169" s="9" t="s">
        <v>6001</v>
      </c>
      <c r="G2169" s="9" t="s">
        <v>6002</v>
      </c>
      <c r="H2169" s="9" t="s">
        <v>6003</v>
      </c>
      <c r="I2169" s="10">
        <v>45639</v>
      </c>
    </row>
    <row r="2170" spans="1:9" x14ac:dyDescent="0.15">
      <c r="A2170" s="9">
        <v>2169</v>
      </c>
      <c r="B2170" s="9" t="s">
        <v>9</v>
      </c>
      <c r="C2170" s="9">
        <v>1927</v>
      </c>
      <c r="D2170" s="10">
        <v>45729</v>
      </c>
      <c r="E2170" s="11" t="str">
        <f>+HYPERLINK("http://trademark.i-assist.jp/data/china/image_1927th/82549543.pdf","82549543")</f>
        <v>82549543</v>
      </c>
      <c r="F2170" s="9" t="s">
        <v>6004</v>
      </c>
      <c r="G2170" s="12" t="s">
        <v>5516</v>
      </c>
      <c r="H2170" s="9" t="s">
        <v>6005</v>
      </c>
      <c r="I2170" s="10">
        <v>45639</v>
      </c>
    </row>
    <row r="2171" spans="1:9" x14ac:dyDescent="0.15">
      <c r="A2171" s="9">
        <v>2170</v>
      </c>
      <c r="B2171" s="9" t="s">
        <v>9</v>
      </c>
      <c r="C2171" s="9">
        <v>1927</v>
      </c>
      <c r="D2171" s="10">
        <v>45729</v>
      </c>
      <c r="E2171" s="11" t="str">
        <f>+HYPERLINK("http://trademark.i-assist.jp/data/china/image_1927th/82549573.pdf","82549573")</f>
        <v>82549573</v>
      </c>
      <c r="F2171" s="9" t="s">
        <v>6006</v>
      </c>
      <c r="G2171" s="12" t="s">
        <v>6007</v>
      </c>
      <c r="H2171" s="9" t="s">
        <v>6008</v>
      </c>
      <c r="I2171" s="10">
        <v>45639</v>
      </c>
    </row>
    <row r="2172" spans="1:9" x14ac:dyDescent="0.15">
      <c r="A2172" s="9">
        <v>2171</v>
      </c>
      <c r="B2172" s="9" t="s">
        <v>9</v>
      </c>
      <c r="C2172" s="9">
        <v>1927</v>
      </c>
      <c r="D2172" s="10">
        <v>45729</v>
      </c>
      <c r="E2172" s="11" t="str">
        <f>+HYPERLINK("http://trademark.i-assist.jp/data/china/image_1927th/82549618.pdf","82549618")</f>
        <v>82549618</v>
      </c>
      <c r="F2172" s="9" t="s">
        <v>6009</v>
      </c>
      <c r="G2172" s="12" t="s">
        <v>6010</v>
      </c>
      <c r="H2172" s="9" t="s">
        <v>6011</v>
      </c>
      <c r="I2172" s="10">
        <v>45639</v>
      </c>
    </row>
    <row r="2173" spans="1:9" x14ac:dyDescent="0.15">
      <c r="A2173" s="9">
        <v>2172</v>
      </c>
      <c r="B2173" s="9" t="s">
        <v>9</v>
      </c>
      <c r="C2173" s="9">
        <v>1927</v>
      </c>
      <c r="D2173" s="10">
        <v>45729</v>
      </c>
      <c r="E2173" s="11" t="str">
        <f>+HYPERLINK("http://trademark.i-assist.jp/data/china/image_1927th/82549699.pdf","82549699")</f>
        <v>82549699</v>
      </c>
      <c r="F2173" s="9" t="s">
        <v>6012</v>
      </c>
      <c r="G2173" s="12" t="s">
        <v>6013</v>
      </c>
      <c r="H2173" s="9" t="s">
        <v>6014</v>
      </c>
      <c r="I2173" s="10">
        <v>45639</v>
      </c>
    </row>
    <row r="2174" spans="1:9" x14ac:dyDescent="0.15">
      <c r="A2174" s="9">
        <v>2173</v>
      </c>
      <c r="B2174" s="9" t="s">
        <v>9</v>
      </c>
      <c r="C2174" s="9">
        <v>1927</v>
      </c>
      <c r="D2174" s="10">
        <v>45729</v>
      </c>
      <c r="E2174" s="11" t="str">
        <f>+HYPERLINK("http://trademark.i-assist.jp/data/china/image_1927th/82549932.pdf","82549932")</f>
        <v>82549932</v>
      </c>
      <c r="F2174" s="9" t="s">
        <v>6015</v>
      </c>
      <c r="G2174" s="9" t="s">
        <v>6015</v>
      </c>
      <c r="H2174" s="9" t="s">
        <v>6016</v>
      </c>
      <c r="I2174" s="10">
        <v>45639</v>
      </c>
    </row>
    <row r="2175" spans="1:9" x14ac:dyDescent="0.15">
      <c r="A2175" s="9">
        <v>2174</v>
      </c>
      <c r="B2175" s="9" t="s">
        <v>9</v>
      </c>
      <c r="C2175" s="9">
        <v>1927</v>
      </c>
      <c r="D2175" s="10">
        <v>45729</v>
      </c>
      <c r="E2175" s="11" t="str">
        <f>+HYPERLINK("http://trademark.i-assist.jp/data/china/image_1927th/82549954.pdf","82549954")</f>
        <v>82549954</v>
      </c>
      <c r="F2175" s="9" t="s">
        <v>6017</v>
      </c>
      <c r="G2175" s="12" t="s">
        <v>64</v>
      </c>
      <c r="H2175" s="9" t="s">
        <v>6018</v>
      </c>
      <c r="I2175" s="10">
        <v>45639</v>
      </c>
    </row>
    <row r="2176" spans="1:9" x14ac:dyDescent="0.15">
      <c r="A2176" s="9">
        <v>2175</v>
      </c>
      <c r="B2176" s="9" t="s">
        <v>9</v>
      </c>
      <c r="C2176" s="9">
        <v>1927</v>
      </c>
      <c r="D2176" s="10">
        <v>45729</v>
      </c>
      <c r="E2176" s="11" t="str">
        <f>+HYPERLINK("http://trademark.i-assist.jp/data/china/image_1927th/82549956.pdf","82549956")</f>
        <v>82549956</v>
      </c>
      <c r="F2176" s="9" t="s">
        <v>6019</v>
      </c>
      <c r="G2176" s="12" t="s">
        <v>64</v>
      </c>
      <c r="H2176" s="9" t="s">
        <v>6020</v>
      </c>
      <c r="I2176" s="10">
        <v>45639</v>
      </c>
    </row>
    <row r="2177" spans="1:9" x14ac:dyDescent="0.15">
      <c r="A2177" s="9">
        <v>2176</v>
      </c>
      <c r="B2177" s="9" t="s">
        <v>9</v>
      </c>
      <c r="C2177" s="9">
        <v>1927</v>
      </c>
      <c r="D2177" s="10">
        <v>45729</v>
      </c>
      <c r="E2177" s="11" t="str">
        <f>+HYPERLINK("http://trademark.i-assist.jp/data/china/image_1927th/82549991.pdf","82549991")</f>
        <v>82549991</v>
      </c>
      <c r="F2177" s="9" t="s">
        <v>6021</v>
      </c>
      <c r="G2177" s="12" t="s">
        <v>6022</v>
      </c>
      <c r="H2177" s="9" t="s">
        <v>6023</v>
      </c>
      <c r="I2177" s="10">
        <v>45639</v>
      </c>
    </row>
    <row r="2178" spans="1:9" x14ac:dyDescent="0.15">
      <c r="A2178" s="9">
        <v>2177</v>
      </c>
      <c r="B2178" s="9" t="s">
        <v>9</v>
      </c>
      <c r="C2178" s="9">
        <v>1927</v>
      </c>
      <c r="D2178" s="10">
        <v>45729</v>
      </c>
      <c r="E2178" s="11" t="str">
        <f>+HYPERLINK("http://trademark.i-assist.jp/data/china/image_1927th/82550037.pdf","82550037")</f>
        <v>82550037</v>
      </c>
      <c r="F2178" s="12" t="s">
        <v>16</v>
      </c>
      <c r="G2178" s="9" t="s">
        <v>6024</v>
      </c>
      <c r="H2178" s="9" t="s">
        <v>6025</v>
      </c>
      <c r="I2178" s="10">
        <v>45639</v>
      </c>
    </row>
    <row r="2179" spans="1:9" x14ac:dyDescent="0.15">
      <c r="A2179" s="9">
        <v>2178</v>
      </c>
      <c r="B2179" s="9" t="s">
        <v>9</v>
      </c>
      <c r="C2179" s="9">
        <v>1927</v>
      </c>
      <c r="D2179" s="10">
        <v>45729</v>
      </c>
      <c r="E2179" s="11" t="str">
        <f>+HYPERLINK("http://trademark.i-assist.jp/data/china/image_1927th/82550176.pdf","82550176")</f>
        <v>82550176</v>
      </c>
      <c r="F2179" s="9" t="s">
        <v>6026</v>
      </c>
      <c r="G2179" s="12" t="s">
        <v>6027</v>
      </c>
      <c r="H2179" s="9" t="s">
        <v>6028</v>
      </c>
      <c r="I2179" s="10">
        <v>45639</v>
      </c>
    </row>
    <row r="2180" spans="1:9" x14ac:dyDescent="0.15">
      <c r="A2180" s="9">
        <v>2179</v>
      </c>
      <c r="B2180" s="9" t="s">
        <v>9</v>
      </c>
      <c r="C2180" s="9">
        <v>1927</v>
      </c>
      <c r="D2180" s="10">
        <v>45729</v>
      </c>
      <c r="E2180" s="11" t="str">
        <f>+HYPERLINK("http://trademark.i-assist.jp/data/china/image_1927th/82550211.pdf","82550211")</f>
        <v>82550211</v>
      </c>
      <c r="F2180" s="9" t="s">
        <v>6029</v>
      </c>
      <c r="G2180" s="9" t="s">
        <v>2407</v>
      </c>
      <c r="H2180" s="9" t="s">
        <v>6030</v>
      </c>
      <c r="I2180" s="10">
        <v>45639</v>
      </c>
    </row>
    <row r="2181" spans="1:9" x14ac:dyDescent="0.15">
      <c r="A2181" s="9">
        <v>2180</v>
      </c>
      <c r="B2181" s="9" t="s">
        <v>9</v>
      </c>
      <c r="C2181" s="9">
        <v>1927</v>
      </c>
      <c r="D2181" s="10">
        <v>45729</v>
      </c>
      <c r="E2181" s="11" t="str">
        <f>+HYPERLINK("http://trademark.i-assist.jp/data/china/image_1927th/82550240.pdf","82550240")</f>
        <v>82550240</v>
      </c>
      <c r="F2181" s="9" t="s">
        <v>6031</v>
      </c>
      <c r="G2181" s="12" t="s">
        <v>5205</v>
      </c>
      <c r="H2181" s="9" t="s">
        <v>6032</v>
      </c>
      <c r="I2181" s="10">
        <v>45639</v>
      </c>
    </row>
    <row r="2182" spans="1:9" x14ac:dyDescent="0.15">
      <c r="A2182" s="9">
        <v>2181</v>
      </c>
      <c r="B2182" s="9" t="s">
        <v>9</v>
      </c>
      <c r="C2182" s="9">
        <v>1927</v>
      </c>
      <c r="D2182" s="10">
        <v>45729</v>
      </c>
      <c r="E2182" s="11" t="str">
        <f>+HYPERLINK("http://trademark.i-assist.jp/data/china/image_1927th/82550249.pdf","82550249")</f>
        <v>82550249</v>
      </c>
      <c r="F2182" s="12" t="s">
        <v>6033</v>
      </c>
      <c r="G2182" s="9" t="s">
        <v>6034</v>
      </c>
      <c r="H2182" s="9" t="s">
        <v>6035</v>
      </c>
      <c r="I2182" s="10">
        <v>45639</v>
      </c>
    </row>
    <row r="2183" spans="1:9" x14ac:dyDescent="0.15">
      <c r="A2183" s="9">
        <v>2182</v>
      </c>
      <c r="B2183" s="9" t="s">
        <v>9</v>
      </c>
      <c r="C2183" s="9">
        <v>1927</v>
      </c>
      <c r="D2183" s="10">
        <v>45729</v>
      </c>
      <c r="E2183" s="11" t="str">
        <f>+HYPERLINK("http://trademark.i-assist.jp/data/china/image_1927th/82550562.pdf","82550562")</f>
        <v>82550562</v>
      </c>
      <c r="F2183" s="12" t="s">
        <v>16</v>
      </c>
      <c r="G2183" s="9" t="s">
        <v>6036</v>
      </c>
      <c r="H2183" s="9" t="s">
        <v>6037</v>
      </c>
      <c r="I2183" s="10">
        <v>45640</v>
      </c>
    </row>
    <row r="2184" spans="1:9" x14ac:dyDescent="0.15">
      <c r="A2184" s="9">
        <v>2183</v>
      </c>
      <c r="B2184" s="9" t="s">
        <v>9</v>
      </c>
      <c r="C2184" s="9">
        <v>1927</v>
      </c>
      <c r="D2184" s="10">
        <v>45729</v>
      </c>
      <c r="E2184" s="11" t="str">
        <f>+HYPERLINK("http://trademark.i-assist.jp/data/china/image_1927th/82550963.pdf","82550963")</f>
        <v>82550963</v>
      </c>
      <c r="F2184" s="9" t="s">
        <v>6038</v>
      </c>
      <c r="G2184" s="9" t="s">
        <v>6039</v>
      </c>
      <c r="H2184" s="9" t="s">
        <v>6040</v>
      </c>
      <c r="I2184" s="10">
        <v>45640</v>
      </c>
    </row>
    <row r="2185" spans="1:9" x14ac:dyDescent="0.15">
      <c r="A2185" s="9">
        <v>2184</v>
      </c>
      <c r="B2185" s="9" t="s">
        <v>9</v>
      </c>
      <c r="C2185" s="9">
        <v>1927</v>
      </c>
      <c r="D2185" s="10">
        <v>45729</v>
      </c>
      <c r="E2185" s="11" t="str">
        <f>+HYPERLINK("http://trademark.i-assist.jp/data/china/image_1927th/82551468.pdf","82551468")</f>
        <v>82551468</v>
      </c>
      <c r="F2185" s="9" t="s">
        <v>6041</v>
      </c>
      <c r="G2185" s="9" t="s">
        <v>6042</v>
      </c>
      <c r="H2185" s="9" t="s">
        <v>6043</v>
      </c>
      <c r="I2185" s="10">
        <v>45641</v>
      </c>
    </row>
    <row r="2186" spans="1:9" x14ac:dyDescent="0.15">
      <c r="A2186" s="9">
        <v>2185</v>
      </c>
      <c r="B2186" s="9" t="s">
        <v>9</v>
      </c>
      <c r="C2186" s="9">
        <v>1927</v>
      </c>
      <c r="D2186" s="10">
        <v>45729</v>
      </c>
      <c r="E2186" s="11" t="str">
        <f>+HYPERLINK("http://trademark.i-assist.jp/data/china/image_1927th/82552415.pdf","82552415")</f>
        <v>82552415</v>
      </c>
      <c r="F2186" s="9" t="s">
        <v>6044</v>
      </c>
      <c r="G2186" s="9" t="s">
        <v>6045</v>
      </c>
      <c r="H2186" s="9" t="s">
        <v>6046</v>
      </c>
      <c r="I2186" s="10">
        <v>45642</v>
      </c>
    </row>
    <row r="2187" spans="1:9" x14ac:dyDescent="0.15">
      <c r="A2187" s="9">
        <v>2186</v>
      </c>
      <c r="B2187" s="9" t="s">
        <v>9</v>
      </c>
      <c r="C2187" s="9">
        <v>1927</v>
      </c>
      <c r="D2187" s="10">
        <v>45729</v>
      </c>
      <c r="E2187" s="11" t="str">
        <f>+HYPERLINK("http://trademark.i-assist.jp/data/china/image_1927th/82552621.pdf","82552621")</f>
        <v>82552621</v>
      </c>
      <c r="F2187" s="9" t="s">
        <v>6047</v>
      </c>
      <c r="G2187" s="12" t="s">
        <v>6048</v>
      </c>
      <c r="H2187" s="12" t="s">
        <v>6049</v>
      </c>
      <c r="I2187" s="10">
        <v>45642</v>
      </c>
    </row>
    <row r="2188" spans="1:9" x14ac:dyDescent="0.15">
      <c r="A2188" s="9">
        <v>2187</v>
      </c>
      <c r="B2188" s="9" t="s">
        <v>9</v>
      </c>
      <c r="C2188" s="9">
        <v>1927</v>
      </c>
      <c r="D2188" s="10">
        <v>45729</v>
      </c>
      <c r="E2188" s="11" t="str">
        <f>+HYPERLINK("http://trademark.i-assist.jp/data/china/image_1927th/82552934.pdf","82552934")</f>
        <v>82552934</v>
      </c>
      <c r="F2188" s="9" t="s">
        <v>6050</v>
      </c>
      <c r="G2188" s="9" t="s">
        <v>6051</v>
      </c>
      <c r="H2188" s="9" t="s">
        <v>6052</v>
      </c>
      <c r="I2188" s="10">
        <v>45642</v>
      </c>
    </row>
    <row r="2189" spans="1:9" x14ac:dyDescent="0.15">
      <c r="A2189" s="9">
        <v>2188</v>
      </c>
      <c r="B2189" s="9" t="s">
        <v>9</v>
      </c>
      <c r="C2189" s="9">
        <v>1927</v>
      </c>
      <c r="D2189" s="10">
        <v>45729</v>
      </c>
      <c r="E2189" s="11" t="str">
        <f>+HYPERLINK("http://trademark.i-assist.jp/data/china/image_1927th/82552972.pdf","82552972")</f>
        <v>82552972</v>
      </c>
      <c r="F2189" s="9" t="s">
        <v>6053</v>
      </c>
      <c r="G2189" s="12" t="s">
        <v>6054</v>
      </c>
      <c r="H2189" s="9" t="s">
        <v>6055</v>
      </c>
      <c r="I2189" s="10">
        <v>45642</v>
      </c>
    </row>
    <row r="2190" spans="1:9" x14ac:dyDescent="0.15">
      <c r="A2190" s="9">
        <v>2189</v>
      </c>
      <c r="B2190" s="9" t="s">
        <v>9</v>
      </c>
      <c r="C2190" s="9">
        <v>1927</v>
      </c>
      <c r="D2190" s="10">
        <v>45729</v>
      </c>
      <c r="E2190" s="11" t="str">
        <f>+HYPERLINK("http://trademark.i-assist.jp/data/china/image_1927th/82553172.pdf","82553172")</f>
        <v>82553172</v>
      </c>
      <c r="F2190" s="9" t="s">
        <v>6056</v>
      </c>
      <c r="G2190" s="9" t="s">
        <v>6057</v>
      </c>
      <c r="H2190" s="9" t="s">
        <v>6058</v>
      </c>
      <c r="I2190" s="10">
        <v>45642</v>
      </c>
    </row>
    <row r="2191" spans="1:9" x14ac:dyDescent="0.15">
      <c r="A2191" s="9">
        <v>2190</v>
      </c>
      <c r="B2191" s="9" t="s">
        <v>9</v>
      </c>
      <c r="C2191" s="9">
        <v>1927</v>
      </c>
      <c r="D2191" s="10">
        <v>45729</v>
      </c>
      <c r="E2191" s="11" t="str">
        <f>+HYPERLINK("http://trademark.i-assist.jp/data/china/image_1927th/82553234.pdf","82553234")</f>
        <v>82553234</v>
      </c>
      <c r="F2191" s="12" t="s">
        <v>6059</v>
      </c>
      <c r="G2191" s="12" t="s">
        <v>6048</v>
      </c>
      <c r="H2191" s="12" t="s">
        <v>6060</v>
      </c>
      <c r="I2191" s="10">
        <v>45642</v>
      </c>
    </row>
    <row r="2192" spans="1:9" x14ac:dyDescent="0.15">
      <c r="A2192" s="9">
        <v>2191</v>
      </c>
      <c r="B2192" s="9" t="s">
        <v>9</v>
      </c>
      <c r="C2192" s="9">
        <v>1927</v>
      </c>
      <c r="D2192" s="10">
        <v>45729</v>
      </c>
      <c r="E2192" s="11" t="str">
        <f>+HYPERLINK("http://trademark.i-assist.jp/data/china/image_1927th/82553420.pdf","82553420")</f>
        <v>82553420</v>
      </c>
      <c r="F2192" s="9" t="s">
        <v>6061</v>
      </c>
      <c r="G2192" s="12" t="s">
        <v>6062</v>
      </c>
      <c r="H2192" s="9" t="s">
        <v>6063</v>
      </c>
      <c r="I2192" s="10">
        <v>45642</v>
      </c>
    </row>
    <row r="2193" spans="1:9" x14ac:dyDescent="0.15">
      <c r="A2193" s="9">
        <v>2192</v>
      </c>
      <c r="B2193" s="9" t="s">
        <v>9</v>
      </c>
      <c r="C2193" s="9">
        <v>1927</v>
      </c>
      <c r="D2193" s="10">
        <v>45729</v>
      </c>
      <c r="E2193" s="11" t="str">
        <f>+HYPERLINK("http://trademark.i-assist.jp/data/china/image_1927th/82553454.pdf","82553454")</f>
        <v>82553454</v>
      </c>
      <c r="F2193" s="9" t="s">
        <v>6064</v>
      </c>
      <c r="G2193" s="9" t="s">
        <v>6065</v>
      </c>
      <c r="H2193" s="9" t="s">
        <v>6066</v>
      </c>
      <c r="I2193" s="10">
        <v>45642</v>
      </c>
    </row>
    <row r="2194" spans="1:9" x14ac:dyDescent="0.15">
      <c r="A2194" s="9">
        <v>2193</v>
      </c>
      <c r="B2194" s="9" t="s">
        <v>9</v>
      </c>
      <c r="C2194" s="9">
        <v>1927</v>
      </c>
      <c r="D2194" s="10">
        <v>45729</v>
      </c>
      <c r="E2194" s="11" t="str">
        <f>+HYPERLINK("http://trademark.i-assist.jp/data/china/image_1927th/82553509.pdf","82553509")</f>
        <v>82553509</v>
      </c>
      <c r="F2194" s="9" t="s">
        <v>6067</v>
      </c>
      <c r="G2194" s="9" t="s">
        <v>182</v>
      </c>
      <c r="H2194" s="9" t="s">
        <v>6068</v>
      </c>
      <c r="I2194" s="10">
        <v>45642</v>
      </c>
    </row>
    <row r="2195" spans="1:9" x14ac:dyDescent="0.15">
      <c r="A2195" s="9">
        <v>2194</v>
      </c>
      <c r="B2195" s="9" t="s">
        <v>9</v>
      </c>
      <c r="C2195" s="9">
        <v>1927</v>
      </c>
      <c r="D2195" s="10">
        <v>45729</v>
      </c>
      <c r="E2195" s="11" t="str">
        <f>+HYPERLINK("http://trademark.i-assist.jp/data/china/image_1927th/82553906.pdf","82553906")</f>
        <v>82553906</v>
      </c>
      <c r="F2195" s="12" t="s">
        <v>16</v>
      </c>
      <c r="G2195" s="9" t="s">
        <v>6069</v>
      </c>
      <c r="H2195" s="9" t="s">
        <v>6070</v>
      </c>
      <c r="I2195" s="10">
        <v>45642</v>
      </c>
    </row>
    <row r="2196" spans="1:9" x14ac:dyDescent="0.15">
      <c r="A2196" s="9">
        <v>2195</v>
      </c>
      <c r="B2196" s="9" t="s">
        <v>9</v>
      </c>
      <c r="C2196" s="9">
        <v>1927</v>
      </c>
      <c r="D2196" s="10">
        <v>45729</v>
      </c>
      <c r="E2196" s="11" t="str">
        <f>+HYPERLINK("http://trademark.i-assist.jp/data/china/image_1927th/82554033.pdf","82554033")</f>
        <v>82554033</v>
      </c>
      <c r="F2196" s="12" t="s">
        <v>6071</v>
      </c>
      <c r="G2196" s="9" t="s">
        <v>6072</v>
      </c>
      <c r="H2196" s="9" t="s">
        <v>6073</v>
      </c>
      <c r="I2196" s="10">
        <v>45642</v>
      </c>
    </row>
    <row r="2197" spans="1:9" x14ac:dyDescent="0.15">
      <c r="A2197" s="9">
        <v>2196</v>
      </c>
      <c r="B2197" s="9" t="s">
        <v>9</v>
      </c>
      <c r="C2197" s="9">
        <v>1927</v>
      </c>
      <c r="D2197" s="10">
        <v>45729</v>
      </c>
      <c r="E2197" s="11" t="str">
        <f>+HYPERLINK("http://trademark.i-assist.jp/data/china/image_1927th/82554190.pdf","82554190")</f>
        <v>82554190</v>
      </c>
      <c r="F2197" s="9" t="s">
        <v>6074</v>
      </c>
      <c r="G2197" s="9" t="s">
        <v>6074</v>
      </c>
      <c r="H2197" s="9" t="s">
        <v>6075</v>
      </c>
      <c r="I2197" s="10">
        <v>45642</v>
      </c>
    </row>
    <row r="2198" spans="1:9" x14ac:dyDescent="0.15">
      <c r="A2198" s="9">
        <v>2197</v>
      </c>
      <c r="B2198" s="9" t="s">
        <v>9</v>
      </c>
      <c r="C2198" s="9">
        <v>1927</v>
      </c>
      <c r="D2198" s="10">
        <v>45729</v>
      </c>
      <c r="E2198" s="11" t="str">
        <f>+HYPERLINK("http://trademark.i-assist.jp/data/china/image_1927th/82554270.pdf","82554270")</f>
        <v>82554270</v>
      </c>
      <c r="F2198" s="9" t="s">
        <v>6076</v>
      </c>
      <c r="G2198" s="9" t="s">
        <v>6077</v>
      </c>
      <c r="H2198" s="9" t="s">
        <v>6078</v>
      </c>
      <c r="I2198" s="10">
        <v>45642</v>
      </c>
    </row>
    <row r="2199" spans="1:9" x14ac:dyDescent="0.15">
      <c r="A2199" s="9">
        <v>2198</v>
      </c>
      <c r="B2199" s="9" t="s">
        <v>9</v>
      </c>
      <c r="C2199" s="9">
        <v>1927</v>
      </c>
      <c r="D2199" s="10">
        <v>45729</v>
      </c>
      <c r="E2199" s="11" t="str">
        <f>+HYPERLINK("http://trademark.i-assist.jp/data/china/image_1927th/82554690.pdf","82554690")</f>
        <v>82554690</v>
      </c>
      <c r="F2199" s="9" t="s">
        <v>6079</v>
      </c>
      <c r="G2199" s="9" t="s">
        <v>6080</v>
      </c>
      <c r="H2199" s="9" t="s">
        <v>6081</v>
      </c>
      <c r="I2199" s="10">
        <v>45642</v>
      </c>
    </row>
    <row r="2200" spans="1:9" x14ac:dyDescent="0.15">
      <c r="A2200" s="9">
        <v>2199</v>
      </c>
      <c r="B2200" s="9" t="s">
        <v>9</v>
      </c>
      <c r="C2200" s="9">
        <v>1927</v>
      </c>
      <c r="D2200" s="10">
        <v>45729</v>
      </c>
      <c r="E2200" s="11" t="str">
        <f>+HYPERLINK("http://trademark.i-assist.jp/data/china/image_1927th/82555134.pdf","82555134")</f>
        <v>82555134</v>
      </c>
      <c r="F2200" s="9" t="s">
        <v>6082</v>
      </c>
      <c r="G2200" s="9" t="s">
        <v>6083</v>
      </c>
      <c r="H2200" s="12" t="s">
        <v>6084</v>
      </c>
      <c r="I2200" s="10">
        <v>45642</v>
      </c>
    </row>
    <row r="2201" spans="1:9" x14ac:dyDescent="0.15">
      <c r="A2201" s="9">
        <v>2200</v>
      </c>
      <c r="B2201" s="9" t="s">
        <v>9</v>
      </c>
      <c r="C2201" s="9">
        <v>1927</v>
      </c>
      <c r="D2201" s="10">
        <v>45729</v>
      </c>
      <c r="E2201" s="11" t="str">
        <f>+HYPERLINK("http://trademark.i-assist.jp/data/china/image_1927th/82555176.pdf","82555176")</f>
        <v>82555176</v>
      </c>
      <c r="F2201" s="9" t="s">
        <v>6085</v>
      </c>
      <c r="G2201" s="9" t="s">
        <v>6086</v>
      </c>
      <c r="H2201" s="9" t="s">
        <v>6087</v>
      </c>
      <c r="I2201" s="10">
        <v>45642</v>
      </c>
    </row>
    <row r="2202" spans="1:9" x14ac:dyDescent="0.15">
      <c r="A2202" s="9">
        <v>2201</v>
      </c>
      <c r="B2202" s="9" t="s">
        <v>9</v>
      </c>
      <c r="C2202" s="9">
        <v>1927</v>
      </c>
      <c r="D2202" s="10">
        <v>45729</v>
      </c>
      <c r="E2202" s="11" t="str">
        <f>+HYPERLINK("http://trademark.i-assist.jp/data/china/image_1927th/82555253.pdf","82555253")</f>
        <v>82555253</v>
      </c>
      <c r="F2202" s="9" t="s">
        <v>6088</v>
      </c>
      <c r="G2202" s="12" t="s">
        <v>6089</v>
      </c>
      <c r="H2202" s="9" t="s">
        <v>6090</v>
      </c>
      <c r="I2202" s="10">
        <v>45642</v>
      </c>
    </row>
    <row r="2203" spans="1:9" x14ac:dyDescent="0.15">
      <c r="A2203" s="9">
        <v>2202</v>
      </c>
      <c r="B2203" s="9" t="s">
        <v>9</v>
      </c>
      <c r="C2203" s="9">
        <v>1927</v>
      </c>
      <c r="D2203" s="10">
        <v>45729</v>
      </c>
      <c r="E2203" s="11" t="str">
        <f>+HYPERLINK("http://trademark.i-assist.jp/data/china/image_1927th/82555322.pdf","82555322")</f>
        <v>82555322</v>
      </c>
      <c r="F2203" s="9" t="s">
        <v>6091</v>
      </c>
      <c r="G2203" s="9" t="s">
        <v>6092</v>
      </c>
      <c r="H2203" s="9" t="s">
        <v>6093</v>
      </c>
      <c r="I2203" s="10">
        <v>45642</v>
      </c>
    </row>
    <row r="2204" spans="1:9" x14ac:dyDescent="0.15">
      <c r="A2204" s="9">
        <v>2203</v>
      </c>
      <c r="B2204" s="9" t="s">
        <v>9</v>
      </c>
      <c r="C2204" s="9">
        <v>1927</v>
      </c>
      <c r="D2204" s="10">
        <v>45729</v>
      </c>
      <c r="E2204" s="11" t="str">
        <f>+HYPERLINK("http://trademark.i-assist.jp/data/china/image_1927th/82555545.pdf","82555545")</f>
        <v>82555545</v>
      </c>
      <c r="F2204" s="9" t="s">
        <v>6094</v>
      </c>
      <c r="G2204" s="9" t="s">
        <v>6095</v>
      </c>
      <c r="H2204" s="9" t="s">
        <v>6096</v>
      </c>
      <c r="I2204" s="10">
        <v>45642</v>
      </c>
    </row>
    <row r="2205" spans="1:9" x14ac:dyDescent="0.15">
      <c r="A2205" s="9">
        <v>2204</v>
      </c>
      <c r="B2205" s="9" t="s">
        <v>9</v>
      </c>
      <c r="C2205" s="9">
        <v>1927</v>
      </c>
      <c r="D2205" s="10">
        <v>45729</v>
      </c>
      <c r="E2205" s="11" t="str">
        <f>+HYPERLINK("http://trademark.i-assist.jp/data/china/image_1927th/82555994.pdf","82555994")</f>
        <v>82555994</v>
      </c>
      <c r="F2205" s="9" t="s">
        <v>6097</v>
      </c>
      <c r="G2205" s="12" t="s">
        <v>6098</v>
      </c>
      <c r="H2205" s="9" t="s">
        <v>6099</v>
      </c>
      <c r="I2205" s="10">
        <v>45641</v>
      </c>
    </row>
    <row r="2206" spans="1:9" x14ac:dyDescent="0.15">
      <c r="A2206" s="9">
        <v>2205</v>
      </c>
      <c r="B2206" s="9" t="s">
        <v>9</v>
      </c>
      <c r="C2206" s="9">
        <v>1927</v>
      </c>
      <c r="D2206" s="10">
        <v>45729</v>
      </c>
      <c r="E2206" s="11" t="str">
        <f>+HYPERLINK("http://trademark.i-assist.jp/data/china/image_1927th/82555995.pdf","82555995")</f>
        <v>82555995</v>
      </c>
      <c r="F2206" s="9" t="s">
        <v>6097</v>
      </c>
      <c r="G2206" s="12" t="s">
        <v>6098</v>
      </c>
      <c r="H2206" s="9" t="s">
        <v>6100</v>
      </c>
      <c r="I2206" s="10">
        <v>45641</v>
      </c>
    </row>
    <row r="2207" spans="1:9" x14ac:dyDescent="0.15">
      <c r="A2207" s="9">
        <v>2206</v>
      </c>
      <c r="B2207" s="9" t="s">
        <v>9</v>
      </c>
      <c r="C2207" s="9">
        <v>1927</v>
      </c>
      <c r="D2207" s="10">
        <v>45729</v>
      </c>
      <c r="E2207" s="11" t="str">
        <f>+HYPERLINK("http://trademark.i-assist.jp/data/china/image_1927th/82556029.pdf","82556029")</f>
        <v>82556029</v>
      </c>
      <c r="F2207" s="9" t="s">
        <v>6101</v>
      </c>
      <c r="G2207" s="12" t="s">
        <v>6102</v>
      </c>
      <c r="H2207" s="9" t="s">
        <v>6103</v>
      </c>
      <c r="I2207" s="10">
        <v>45641</v>
      </c>
    </row>
    <row r="2208" spans="1:9" x14ac:dyDescent="0.15">
      <c r="A2208" s="9">
        <v>2207</v>
      </c>
      <c r="B2208" s="9" t="s">
        <v>9</v>
      </c>
      <c r="C2208" s="9">
        <v>1927</v>
      </c>
      <c r="D2208" s="10">
        <v>45729</v>
      </c>
      <c r="E2208" s="11" t="str">
        <f>+HYPERLINK("http://trademark.i-assist.jp/data/china/image_1927th/82556095.pdf","82556095")</f>
        <v>82556095</v>
      </c>
      <c r="F2208" s="12" t="s">
        <v>6104</v>
      </c>
      <c r="G2208" s="9" t="s">
        <v>6105</v>
      </c>
      <c r="H2208" s="9" t="s">
        <v>6106</v>
      </c>
      <c r="I2208" s="10">
        <v>45641</v>
      </c>
    </row>
    <row r="2209" spans="1:9" x14ac:dyDescent="0.15">
      <c r="A2209" s="9">
        <v>2208</v>
      </c>
      <c r="B2209" s="9" t="s">
        <v>9</v>
      </c>
      <c r="C2209" s="9">
        <v>1927</v>
      </c>
      <c r="D2209" s="10">
        <v>45729</v>
      </c>
      <c r="E2209" s="11" t="str">
        <f>+HYPERLINK("http://trademark.i-assist.jp/data/china/image_1927th/82556227.pdf","82556227")</f>
        <v>82556227</v>
      </c>
      <c r="F2209" s="9" t="s">
        <v>6107</v>
      </c>
      <c r="G2209" s="9" t="s">
        <v>6108</v>
      </c>
      <c r="H2209" s="9" t="s">
        <v>6109</v>
      </c>
      <c r="I2209" s="10">
        <v>45641</v>
      </c>
    </row>
    <row r="2210" spans="1:9" x14ac:dyDescent="0.15">
      <c r="A2210" s="9">
        <v>2209</v>
      </c>
      <c r="B2210" s="9" t="s">
        <v>9</v>
      </c>
      <c r="C2210" s="9">
        <v>1927</v>
      </c>
      <c r="D2210" s="10">
        <v>45729</v>
      </c>
      <c r="E2210" s="11" t="str">
        <f>+HYPERLINK("http://trademark.i-assist.jp/data/china/image_1927th/82556382.pdf","82556382")</f>
        <v>82556382</v>
      </c>
      <c r="F2210" s="9" t="s">
        <v>6110</v>
      </c>
      <c r="G2210" s="9" t="s">
        <v>6105</v>
      </c>
      <c r="H2210" s="9" t="s">
        <v>6111</v>
      </c>
      <c r="I2210" s="10">
        <v>45641</v>
      </c>
    </row>
    <row r="2211" spans="1:9" x14ac:dyDescent="0.15">
      <c r="A2211" s="9">
        <v>2210</v>
      </c>
      <c r="B2211" s="9" t="s">
        <v>9</v>
      </c>
      <c r="C2211" s="9">
        <v>1927</v>
      </c>
      <c r="D2211" s="10">
        <v>45729</v>
      </c>
      <c r="E2211" s="11" t="str">
        <f>+HYPERLINK("http://trademark.i-assist.jp/data/china/image_1927th/82556491.pdf","82556491")</f>
        <v>82556491</v>
      </c>
      <c r="F2211" s="12" t="s">
        <v>6112</v>
      </c>
      <c r="G2211" s="9" t="s">
        <v>6113</v>
      </c>
      <c r="H2211" s="9" t="s">
        <v>6114</v>
      </c>
      <c r="I2211" s="10">
        <v>45643</v>
      </c>
    </row>
    <row r="2212" spans="1:9" x14ac:dyDescent="0.15">
      <c r="A2212" s="9">
        <v>2211</v>
      </c>
      <c r="B2212" s="9" t="s">
        <v>9</v>
      </c>
      <c r="C2212" s="9">
        <v>1927</v>
      </c>
      <c r="D2212" s="10">
        <v>45729</v>
      </c>
      <c r="E2212" s="11" t="str">
        <f>+HYPERLINK("http://trademark.i-assist.jp/data/china/image_1927th/82556750.pdf","82556750")</f>
        <v>82556750</v>
      </c>
      <c r="F2212" s="9" t="s">
        <v>6115</v>
      </c>
      <c r="G2212" s="9" t="s">
        <v>6116</v>
      </c>
      <c r="H2212" s="12" t="s">
        <v>6117</v>
      </c>
      <c r="I2212" s="10">
        <v>45642</v>
      </c>
    </row>
    <row r="2213" spans="1:9" x14ac:dyDescent="0.15">
      <c r="A2213" s="9">
        <v>2212</v>
      </c>
      <c r="B2213" s="9" t="s">
        <v>9</v>
      </c>
      <c r="C2213" s="9">
        <v>1927</v>
      </c>
      <c r="D2213" s="10">
        <v>45729</v>
      </c>
      <c r="E2213" s="11" t="str">
        <f>+HYPERLINK("http://trademark.i-assist.jp/data/china/image_1927th/82556980.pdf","82556980")</f>
        <v>82556980</v>
      </c>
      <c r="F2213" s="9" t="s">
        <v>6118</v>
      </c>
      <c r="G2213" s="9" t="s">
        <v>6080</v>
      </c>
      <c r="H2213" s="9" t="s">
        <v>6119</v>
      </c>
      <c r="I2213" s="10">
        <v>45642</v>
      </c>
    </row>
    <row r="2214" spans="1:9" x14ac:dyDescent="0.15">
      <c r="A2214" s="9">
        <v>2213</v>
      </c>
      <c r="B2214" s="9" t="s">
        <v>9</v>
      </c>
      <c r="C2214" s="9">
        <v>1927</v>
      </c>
      <c r="D2214" s="10">
        <v>45729</v>
      </c>
      <c r="E2214" s="11" t="str">
        <f>+HYPERLINK("http://trademark.i-assist.jp/data/china/image_1927th/82557089.pdf","82557089")</f>
        <v>82557089</v>
      </c>
      <c r="F2214" s="9" t="s">
        <v>6120</v>
      </c>
      <c r="G2214" s="9" t="s">
        <v>6121</v>
      </c>
      <c r="H2214" s="9" t="s">
        <v>6122</v>
      </c>
      <c r="I2214" s="10">
        <v>45642</v>
      </c>
    </row>
    <row r="2215" spans="1:9" x14ac:dyDescent="0.15">
      <c r="A2215" s="9">
        <v>2214</v>
      </c>
      <c r="B2215" s="9" t="s">
        <v>9</v>
      </c>
      <c r="C2215" s="9">
        <v>1927</v>
      </c>
      <c r="D2215" s="10">
        <v>45729</v>
      </c>
      <c r="E2215" s="11" t="str">
        <f>+HYPERLINK("http://trademark.i-assist.jp/data/china/image_1927th/82557117.pdf","82557117")</f>
        <v>82557117</v>
      </c>
      <c r="F2215" s="9" t="s">
        <v>6123</v>
      </c>
      <c r="G2215" s="12" t="s">
        <v>6124</v>
      </c>
      <c r="H2215" s="9" t="s">
        <v>6125</v>
      </c>
      <c r="I2215" s="10">
        <v>45642</v>
      </c>
    </row>
    <row r="2216" spans="1:9" x14ac:dyDescent="0.15">
      <c r="A2216" s="9">
        <v>2215</v>
      </c>
      <c r="B2216" s="9" t="s">
        <v>9</v>
      </c>
      <c r="C2216" s="9">
        <v>1927</v>
      </c>
      <c r="D2216" s="10">
        <v>45729</v>
      </c>
      <c r="E2216" s="11" t="str">
        <f>+HYPERLINK("http://trademark.i-assist.jp/data/china/image_1927th/82557148.pdf","82557148")</f>
        <v>82557148</v>
      </c>
      <c r="F2216" s="9" t="s">
        <v>6126</v>
      </c>
      <c r="G2216" s="12" t="s">
        <v>6124</v>
      </c>
      <c r="H2216" s="9" t="s">
        <v>6127</v>
      </c>
      <c r="I2216" s="10">
        <v>45642</v>
      </c>
    </row>
    <row r="2217" spans="1:9" x14ac:dyDescent="0.15">
      <c r="A2217" s="9">
        <v>2216</v>
      </c>
      <c r="B2217" s="9" t="s">
        <v>9</v>
      </c>
      <c r="C2217" s="9">
        <v>1927</v>
      </c>
      <c r="D2217" s="10">
        <v>45729</v>
      </c>
      <c r="E2217" s="11" t="str">
        <f>+HYPERLINK("http://trademark.i-assist.jp/data/china/image_1927th/82557499.pdf","82557499")</f>
        <v>82557499</v>
      </c>
      <c r="F2217" s="9" t="s">
        <v>6128</v>
      </c>
      <c r="G2217" s="9" t="s">
        <v>6129</v>
      </c>
      <c r="H2217" s="9" t="s">
        <v>6130</v>
      </c>
      <c r="I2217" s="10">
        <v>45642</v>
      </c>
    </row>
    <row r="2218" spans="1:9" x14ac:dyDescent="0.15">
      <c r="A2218" s="9">
        <v>2217</v>
      </c>
      <c r="B2218" s="9" t="s">
        <v>9</v>
      </c>
      <c r="C2218" s="9">
        <v>1927</v>
      </c>
      <c r="D2218" s="10">
        <v>45729</v>
      </c>
      <c r="E2218" s="11" t="str">
        <f>+HYPERLINK("http://trademark.i-assist.jp/data/china/image_1927th/82557751.pdf","82557751")</f>
        <v>82557751</v>
      </c>
      <c r="F2218" s="9" t="s">
        <v>6131</v>
      </c>
      <c r="G2218" s="12" t="s">
        <v>6132</v>
      </c>
      <c r="H2218" s="9" t="s">
        <v>6133</v>
      </c>
      <c r="I2218" s="10">
        <v>45642</v>
      </c>
    </row>
    <row r="2219" spans="1:9" x14ac:dyDescent="0.15">
      <c r="A2219" s="9">
        <v>2218</v>
      </c>
      <c r="B2219" s="9" t="s">
        <v>9</v>
      </c>
      <c r="C2219" s="9">
        <v>1927</v>
      </c>
      <c r="D2219" s="10">
        <v>45729</v>
      </c>
      <c r="E2219" s="11" t="str">
        <f>+HYPERLINK("http://trademark.i-assist.jp/data/china/image_1927th/82557801.pdf","82557801")</f>
        <v>82557801</v>
      </c>
      <c r="F2219" s="13" t="s">
        <v>6134</v>
      </c>
      <c r="G2219" s="12" t="s">
        <v>6135</v>
      </c>
      <c r="H2219" s="9" t="s">
        <v>6136</v>
      </c>
      <c r="I2219" s="10">
        <v>45642</v>
      </c>
    </row>
    <row r="2220" spans="1:9" x14ac:dyDescent="0.15">
      <c r="A2220" s="9">
        <v>2219</v>
      </c>
      <c r="B2220" s="9" t="s">
        <v>9</v>
      </c>
      <c r="C2220" s="9">
        <v>1927</v>
      </c>
      <c r="D2220" s="10">
        <v>45729</v>
      </c>
      <c r="E2220" s="11" t="str">
        <f>+HYPERLINK("http://trademark.i-assist.jp/data/china/image_1927th/82557808.pdf","82557808")</f>
        <v>82557808</v>
      </c>
      <c r="F2220" s="9" t="s">
        <v>6137</v>
      </c>
      <c r="G2220" s="12" t="s">
        <v>6135</v>
      </c>
      <c r="H2220" s="9" t="s">
        <v>6138</v>
      </c>
      <c r="I2220" s="10">
        <v>45642</v>
      </c>
    </row>
    <row r="2221" spans="1:9" x14ac:dyDescent="0.15">
      <c r="A2221" s="9">
        <v>2220</v>
      </c>
      <c r="B2221" s="9" t="s">
        <v>9</v>
      </c>
      <c r="C2221" s="9">
        <v>1927</v>
      </c>
      <c r="D2221" s="10">
        <v>45729</v>
      </c>
      <c r="E2221" s="11" t="str">
        <f>+HYPERLINK("http://trademark.i-assist.jp/data/china/image_1927th/82558199.pdf","82558199")</f>
        <v>82558199</v>
      </c>
      <c r="F2221" s="12" t="s">
        <v>6139</v>
      </c>
      <c r="G2221" s="9" t="s">
        <v>6140</v>
      </c>
      <c r="H2221" s="9" t="s">
        <v>6141</v>
      </c>
      <c r="I2221" s="10">
        <v>45642</v>
      </c>
    </row>
    <row r="2222" spans="1:9" x14ac:dyDescent="0.15">
      <c r="A2222" s="9">
        <v>2221</v>
      </c>
      <c r="B2222" s="9" t="s">
        <v>9</v>
      </c>
      <c r="C2222" s="9">
        <v>1927</v>
      </c>
      <c r="D2222" s="10">
        <v>45729</v>
      </c>
      <c r="E2222" s="11" t="str">
        <f>+HYPERLINK("http://trademark.i-assist.jp/data/china/image_1927th/82558479.pdf","82558479")</f>
        <v>82558479</v>
      </c>
      <c r="F2222" s="9" t="s">
        <v>6142</v>
      </c>
      <c r="G2222" s="9" t="s">
        <v>6143</v>
      </c>
      <c r="H2222" s="9" t="s">
        <v>6144</v>
      </c>
      <c r="I2222" s="10">
        <v>45642</v>
      </c>
    </row>
    <row r="2223" spans="1:9" x14ac:dyDescent="0.15">
      <c r="A2223" s="9">
        <v>2222</v>
      </c>
      <c r="B2223" s="9" t="s">
        <v>9</v>
      </c>
      <c r="C2223" s="9">
        <v>1927</v>
      </c>
      <c r="D2223" s="10">
        <v>45729</v>
      </c>
      <c r="E2223" s="11" t="str">
        <f>+HYPERLINK("http://trademark.i-assist.jp/data/china/image_1927th/82558573.pdf","82558573")</f>
        <v>82558573</v>
      </c>
      <c r="F2223" s="9" t="s">
        <v>6145</v>
      </c>
      <c r="G2223" s="9" t="s">
        <v>6146</v>
      </c>
      <c r="H2223" s="9" t="s">
        <v>6147</v>
      </c>
      <c r="I2223" s="10">
        <v>45642</v>
      </c>
    </row>
    <row r="2224" spans="1:9" x14ac:dyDescent="0.15">
      <c r="A2224" s="9">
        <v>2223</v>
      </c>
      <c r="B2224" s="9" t="s">
        <v>9</v>
      </c>
      <c r="C2224" s="9">
        <v>1927</v>
      </c>
      <c r="D2224" s="10">
        <v>45729</v>
      </c>
      <c r="E2224" s="11" t="str">
        <f>+HYPERLINK("http://trademark.i-assist.jp/data/china/image_1927th/82559129.pdf","82559129")</f>
        <v>82559129</v>
      </c>
      <c r="F2224" s="9" t="s">
        <v>6148</v>
      </c>
      <c r="G2224" s="12" t="s">
        <v>6149</v>
      </c>
      <c r="H2224" s="9" t="s">
        <v>6150</v>
      </c>
      <c r="I2224" s="10">
        <v>45642</v>
      </c>
    </row>
    <row r="2225" spans="1:9" x14ac:dyDescent="0.15">
      <c r="A2225" s="9">
        <v>2224</v>
      </c>
      <c r="B2225" s="9" t="s">
        <v>9</v>
      </c>
      <c r="C2225" s="9">
        <v>1927</v>
      </c>
      <c r="D2225" s="10">
        <v>45729</v>
      </c>
      <c r="E2225" s="11" t="str">
        <f>+HYPERLINK("http://trademark.i-assist.jp/data/china/image_1927th/82559406.pdf","82559406")</f>
        <v>82559406</v>
      </c>
      <c r="F2225" s="9" t="s">
        <v>6151</v>
      </c>
      <c r="G2225" s="9" t="s">
        <v>6152</v>
      </c>
      <c r="H2225" s="9" t="s">
        <v>6153</v>
      </c>
      <c r="I2225" s="10">
        <v>45642</v>
      </c>
    </row>
    <row r="2226" spans="1:9" x14ac:dyDescent="0.15">
      <c r="A2226" s="9">
        <v>2225</v>
      </c>
      <c r="B2226" s="9" t="s">
        <v>9</v>
      </c>
      <c r="C2226" s="9">
        <v>1927</v>
      </c>
      <c r="D2226" s="10">
        <v>45729</v>
      </c>
      <c r="E2226" s="11" t="str">
        <f>+HYPERLINK("http://trademark.i-assist.jp/data/china/image_1927th/82559472.pdf","82559472")</f>
        <v>82559472</v>
      </c>
      <c r="F2226" s="9" t="s">
        <v>6154</v>
      </c>
      <c r="G2226" s="9" t="s">
        <v>6155</v>
      </c>
      <c r="H2226" s="9" t="s">
        <v>6156</v>
      </c>
      <c r="I2226" s="10">
        <v>45642</v>
      </c>
    </row>
    <row r="2227" spans="1:9" x14ac:dyDescent="0.15">
      <c r="A2227" s="9">
        <v>2226</v>
      </c>
      <c r="B2227" s="9" t="s">
        <v>9</v>
      </c>
      <c r="C2227" s="9">
        <v>1927</v>
      </c>
      <c r="D2227" s="10">
        <v>45729</v>
      </c>
      <c r="E2227" s="11" t="str">
        <f>+HYPERLINK("http://trademark.i-assist.jp/data/china/image_1927th/82559502.pdf","82559502")</f>
        <v>82559502</v>
      </c>
      <c r="F2227" s="12" t="s">
        <v>6157</v>
      </c>
      <c r="G2227" s="12" t="s">
        <v>6158</v>
      </c>
      <c r="H2227" s="9" t="s">
        <v>6159</v>
      </c>
      <c r="I2227" s="10">
        <v>45642</v>
      </c>
    </row>
    <row r="2228" spans="1:9" x14ac:dyDescent="0.15">
      <c r="A2228" s="9">
        <v>2227</v>
      </c>
      <c r="B2228" s="9" t="s">
        <v>9</v>
      </c>
      <c r="C2228" s="9">
        <v>1927</v>
      </c>
      <c r="D2228" s="10">
        <v>45729</v>
      </c>
      <c r="E2228" s="11" t="str">
        <f>+HYPERLINK("http://trademark.i-assist.jp/data/china/image_1927th/82559518.pdf","82559518")</f>
        <v>82559518</v>
      </c>
      <c r="F2228" s="12" t="s">
        <v>6160</v>
      </c>
      <c r="G2228" s="9" t="s">
        <v>6161</v>
      </c>
      <c r="H2228" s="12" t="s">
        <v>6162</v>
      </c>
      <c r="I2228" s="10">
        <v>45642</v>
      </c>
    </row>
    <row r="2229" spans="1:9" x14ac:dyDescent="0.15">
      <c r="A2229" s="9">
        <v>2228</v>
      </c>
      <c r="B2229" s="9" t="s">
        <v>9</v>
      </c>
      <c r="C2229" s="9">
        <v>1927</v>
      </c>
      <c r="D2229" s="10">
        <v>45729</v>
      </c>
      <c r="E2229" s="11" t="str">
        <f>+HYPERLINK("http://trademark.i-assist.jp/data/china/image_1927th/82559523.pdf","82559523")</f>
        <v>82559523</v>
      </c>
      <c r="F2229" s="12" t="s">
        <v>6163</v>
      </c>
      <c r="G2229" s="12" t="s">
        <v>6164</v>
      </c>
      <c r="H2229" s="9" t="s">
        <v>6165</v>
      </c>
      <c r="I2229" s="10">
        <v>45642</v>
      </c>
    </row>
    <row r="2230" spans="1:9" x14ac:dyDescent="0.15">
      <c r="A2230" s="9">
        <v>2229</v>
      </c>
      <c r="B2230" s="9" t="s">
        <v>9</v>
      </c>
      <c r="C2230" s="9">
        <v>1927</v>
      </c>
      <c r="D2230" s="10">
        <v>45729</v>
      </c>
      <c r="E2230" s="11" t="str">
        <f>+HYPERLINK("http://trademark.i-assist.jp/data/china/image_1927th/82559936.pdf","82559936")</f>
        <v>82559936</v>
      </c>
      <c r="F2230" s="9" t="s">
        <v>6166</v>
      </c>
      <c r="G2230" s="9" t="s">
        <v>6146</v>
      </c>
      <c r="H2230" s="9" t="s">
        <v>6167</v>
      </c>
      <c r="I2230" s="10">
        <v>45642</v>
      </c>
    </row>
    <row r="2231" spans="1:9" x14ac:dyDescent="0.15">
      <c r="A2231" s="9">
        <v>2230</v>
      </c>
      <c r="B2231" s="9" t="s">
        <v>9</v>
      </c>
      <c r="C2231" s="9">
        <v>1927</v>
      </c>
      <c r="D2231" s="10">
        <v>45729</v>
      </c>
      <c r="E2231" s="11" t="str">
        <f>+HYPERLINK("http://trademark.i-assist.jp/data/china/image_1927th/82560012.pdf","82560012")</f>
        <v>82560012</v>
      </c>
      <c r="F2231" s="12" t="s">
        <v>6168</v>
      </c>
      <c r="G2231" s="9" t="s">
        <v>6169</v>
      </c>
      <c r="H2231" s="9" t="s">
        <v>6170</v>
      </c>
      <c r="I2231" s="10">
        <v>45642</v>
      </c>
    </row>
    <row r="2232" spans="1:9" x14ac:dyDescent="0.15">
      <c r="A2232" s="9">
        <v>2231</v>
      </c>
      <c r="B2232" s="9" t="s">
        <v>9</v>
      </c>
      <c r="C2232" s="9">
        <v>1927</v>
      </c>
      <c r="D2232" s="10">
        <v>45729</v>
      </c>
      <c r="E2232" s="11" t="str">
        <f>+HYPERLINK("http://trademark.i-assist.jp/data/china/image_1927th/82560016.pdf","82560016")</f>
        <v>82560016</v>
      </c>
      <c r="F2232" s="9" t="s">
        <v>6171</v>
      </c>
      <c r="G2232" s="12" t="s">
        <v>6172</v>
      </c>
      <c r="H2232" s="9" t="s">
        <v>6173</v>
      </c>
      <c r="I2232" s="10">
        <v>45642</v>
      </c>
    </row>
    <row r="2233" spans="1:9" x14ac:dyDescent="0.15">
      <c r="A2233" s="9">
        <v>2232</v>
      </c>
      <c r="B2233" s="9" t="s">
        <v>9</v>
      </c>
      <c r="C2233" s="9">
        <v>1927</v>
      </c>
      <c r="D2233" s="10">
        <v>45729</v>
      </c>
      <c r="E2233" s="11" t="str">
        <f>+HYPERLINK("http://trademark.i-assist.jp/data/china/image_1927th/82560044.pdf","82560044")</f>
        <v>82560044</v>
      </c>
      <c r="F2233" s="9" t="s">
        <v>6174</v>
      </c>
      <c r="G2233" s="9" t="s">
        <v>6175</v>
      </c>
      <c r="H2233" s="9" t="s">
        <v>6176</v>
      </c>
      <c r="I2233" s="10">
        <v>45642</v>
      </c>
    </row>
    <row r="2234" spans="1:9" x14ac:dyDescent="0.15">
      <c r="A2234" s="9">
        <v>2233</v>
      </c>
      <c r="B2234" s="9" t="s">
        <v>9</v>
      </c>
      <c r="C2234" s="9">
        <v>1927</v>
      </c>
      <c r="D2234" s="10">
        <v>45729</v>
      </c>
      <c r="E2234" s="11" t="str">
        <f>+HYPERLINK("http://trademark.i-assist.jp/data/china/image_1927th/82560157.pdf","82560157")</f>
        <v>82560157</v>
      </c>
      <c r="F2234" s="12" t="s">
        <v>16</v>
      </c>
      <c r="G2234" s="9" t="s">
        <v>6177</v>
      </c>
      <c r="H2234" s="9" t="s">
        <v>6178</v>
      </c>
      <c r="I2234" s="10">
        <v>45642</v>
      </c>
    </row>
    <row r="2235" spans="1:9" x14ac:dyDescent="0.15">
      <c r="A2235" s="9">
        <v>2234</v>
      </c>
      <c r="B2235" s="9" t="s">
        <v>9</v>
      </c>
      <c r="C2235" s="9">
        <v>1927</v>
      </c>
      <c r="D2235" s="10">
        <v>45729</v>
      </c>
      <c r="E2235" s="11" t="str">
        <f>+HYPERLINK("http://trademark.i-assist.jp/data/china/image_1927th/82560167.pdf","82560167")</f>
        <v>82560167</v>
      </c>
      <c r="F2235" s="12" t="s">
        <v>16</v>
      </c>
      <c r="G2235" s="9" t="s">
        <v>6177</v>
      </c>
      <c r="H2235" s="9" t="s">
        <v>6179</v>
      </c>
      <c r="I2235" s="10">
        <v>45642</v>
      </c>
    </row>
    <row r="2236" spans="1:9" x14ac:dyDescent="0.15">
      <c r="A2236" s="9">
        <v>2235</v>
      </c>
      <c r="B2236" s="9" t="s">
        <v>9</v>
      </c>
      <c r="C2236" s="9">
        <v>1927</v>
      </c>
      <c r="D2236" s="10">
        <v>45729</v>
      </c>
      <c r="E2236" s="11" t="str">
        <f>+HYPERLINK("http://trademark.i-assist.jp/data/china/image_1927th/82560197.pdf","82560197")</f>
        <v>82560197</v>
      </c>
      <c r="F2236" s="9" t="s">
        <v>6180</v>
      </c>
      <c r="G2236" s="9" t="s">
        <v>6181</v>
      </c>
      <c r="H2236" s="9" t="s">
        <v>6182</v>
      </c>
      <c r="I2236" s="10">
        <v>45642</v>
      </c>
    </row>
    <row r="2237" spans="1:9" x14ac:dyDescent="0.15">
      <c r="A2237" s="9">
        <v>2236</v>
      </c>
      <c r="B2237" s="9" t="s">
        <v>9</v>
      </c>
      <c r="C2237" s="9">
        <v>1927</v>
      </c>
      <c r="D2237" s="10">
        <v>45729</v>
      </c>
      <c r="E2237" s="11" t="str">
        <f>+HYPERLINK("http://trademark.i-assist.jp/data/china/image_1927th/82560236.pdf","82560236")</f>
        <v>82560236</v>
      </c>
      <c r="F2237" s="9" t="s">
        <v>6183</v>
      </c>
      <c r="G2237" s="9" t="s">
        <v>6184</v>
      </c>
      <c r="H2237" s="12" t="s">
        <v>6185</v>
      </c>
      <c r="I2237" s="10">
        <v>45642</v>
      </c>
    </row>
    <row r="2238" spans="1:9" x14ac:dyDescent="0.15">
      <c r="A2238" s="9">
        <v>2237</v>
      </c>
      <c r="B2238" s="9" t="s">
        <v>9</v>
      </c>
      <c r="C2238" s="9">
        <v>1927</v>
      </c>
      <c r="D2238" s="10">
        <v>45729</v>
      </c>
      <c r="E2238" s="11" t="str">
        <f>+HYPERLINK("http://trademark.i-assist.jp/data/china/image_1927th/82560433.pdf","82560433")</f>
        <v>82560433</v>
      </c>
      <c r="F2238" s="9" t="s">
        <v>6186</v>
      </c>
      <c r="G2238" s="9" t="s">
        <v>6187</v>
      </c>
      <c r="H2238" s="9" t="s">
        <v>6188</v>
      </c>
      <c r="I2238" s="10">
        <v>45642</v>
      </c>
    </row>
    <row r="2239" spans="1:9" x14ac:dyDescent="0.15">
      <c r="A2239" s="9">
        <v>2238</v>
      </c>
      <c r="B2239" s="9" t="s">
        <v>9</v>
      </c>
      <c r="C2239" s="9">
        <v>1927</v>
      </c>
      <c r="D2239" s="10">
        <v>45729</v>
      </c>
      <c r="E2239" s="11" t="str">
        <f>+HYPERLINK("http://trademark.i-assist.jp/data/china/image_1927th/82560457.pdf","82560457")</f>
        <v>82560457</v>
      </c>
      <c r="F2239" s="12" t="s">
        <v>6189</v>
      </c>
      <c r="G2239" s="9" t="s">
        <v>6190</v>
      </c>
      <c r="H2239" s="9" t="s">
        <v>6191</v>
      </c>
      <c r="I2239" s="10">
        <v>45642</v>
      </c>
    </row>
    <row r="2240" spans="1:9" x14ac:dyDescent="0.15">
      <c r="A2240" s="9">
        <v>2239</v>
      </c>
      <c r="B2240" s="9" t="s">
        <v>9</v>
      </c>
      <c r="C2240" s="9">
        <v>1927</v>
      </c>
      <c r="D2240" s="10">
        <v>45729</v>
      </c>
      <c r="E2240" s="11" t="str">
        <f>+HYPERLINK("http://trademark.i-assist.jp/data/china/image_1927th/82560688.pdf","82560688")</f>
        <v>82560688</v>
      </c>
      <c r="F2240" s="9" t="s">
        <v>6192</v>
      </c>
      <c r="G2240" s="12" t="s">
        <v>6193</v>
      </c>
      <c r="H2240" s="9" t="s">
        <v>6194</v>
      </c>
      <c r="I2240" s="10">
        <v>45642</v>
      </c>
    </row>
    <row r="2241" spans="1:9" x14ac:dyDescent="0.15">
      <c r="A2241" s="9">
        <v>2240</v>
      </c>
      <c r="B2241" s="9" t="s">
        <v>9</v>
      </c>
      <c r="C2241" s="9">
        <v>1927</v>
      </c>
      <c r="D2241" s="10">
        <v>45729</v>
      </c>
      <c r="E2241" s="11" t="str">
        <f>+HYPERLINK("http://trademark.i-assist.jp/data/china/image_1927th/82560941.pdf","82560941")</f>
        <v>82560941</v>
      </c>
      <c r="F2241" s="9" t="s">
        <v>6195</v>
      </c>
      <c r="G2241" s="12" t="s">
        <v>19</v>
      </c>
      <c r="H2241" s="9" t="s">
        <v>6196</v>
      </c>
      <c r="I2241" s="10">
        <v>45642</v>
      </c>
    </row>
    <row r="2242" spans="1:9" x14ac:dyDescent="0.15">
      <c r="A2242" s="9">
        <v>2241</v>
      </c>
      <c r="B2242" s="9" t="s">
        <v>9</v>
      </c>
      <c r="C2242" s="9">
        <v>1927</v>
      </c>
      <c r="D2242" s="10">
        <v>45729</v>
      </c>
      <c r="E2242" s="11" t="str">
        <f>+HYPERLINK("http://trademark.i-assist.jp/data/china/image_1927th/82560947.pdf","82560947")</f>
        <v>82560947</v>
      </c>
      <c r="F2242" s="12" t="s">
        <v>6197</v>
      </c>
      <c r="G2242" s="12" t="s">
        <v>6198</v>
      </c>
      <c r="H2242" s="12" t="s">
        <v>6199</v>
      </c>
      <c r="I2242" s="10">
        <v>45642</v>
      </c>
    </row>
    <row r="2243" spans="1:9" x14ac:dyDescent="0.15">
      <c r="A2243" s="9">
        <v>2242</v>
      </c>
      <c r="B2243" s="9" t="s">
        <v>9</v>
      </c>
      <c r="C2243" s="9">
        <v>1927</v>
      </c>
      <c r="D2243" s="10">
        <v>45729</v>
      </c>
      <c r="E2243" s="11" t="str">
        <f>+HYPERLINK("http://trademark.i-assist.jp/data/china/image_1927th/82561036.pdf","82561036")</f>
        <v>82561036</v>
      </c>
      <c r="F2243" s="12" t="s">
        <v>6200</v>
      </c>
      <c r="G2243" s="12" t="s">
        <v>6124</v>
      </c>
      <c r="H2243" s="9" t="s">
        <v>6201</v>
      </c>
      <c r="I2243" s="10">
        <v>45642</v>
      </c>
    </row>
    <row r="2244" spans="1:9" x14ac:dyDescent="0.15">
      <c r="A2244" s="9">
        <v>2243</v>
      </c>
      <c r="B2244" s="9" t="s">
        <v>9</v>
      </c>
      <c r="C2244" s="9">
        <v>1927</v>
      </c>
      <c r="D2244" s="10">
        <v>45729</v>
      </c>
      <c r="E2244" s="11" t="str">
        <f>+HYPERLINK("http://trademark.i-assist.jp/data/china/image_1927th/82561059.pdf","82561059")</f>
        <v>82561059</v>
      </c>
      <c r="F2244" s="9" t="s">
        <v>6202</v>
      </c>
      <c r="G2244" s="12" t="s">
        <v>6124</v>
      </c>
      <c r="H2244" s="9" t="s">
        <v>6203</v>
      </c>
      <c r="I2244" s="10">
        <v>45642</v>
      </c>
    </row>
    <row r="2245" spans="1:9" x14ac:dyDescent="0.15">
      <c r="A2245" s="9">
        <v>2244</v>
      </c>
      <c r="B2245" s="9" t="s">
        <v>9</v>
      </c>
      <c r="C2245" s="9">
        <v>1927</v>
      </c>
      <c r="D2245" s="10">
        <v>45729</v>
      </c>
      <c r="E2245" s="11" t="str">
        <f>+HYPERLINK("http://trademark.i-assist.jp/data/china/image_1927th/82561072.pdf","82561072")</f>
        <v>82561072</v>
      </c>
      <c r="F2245" s="9" t="s">
        <v>6204</v>
      </c>
      <c r="G2245" s="9" t="s">
        <v>6205</v>
      </c>
      <c r="H2245" s="9" t="s">
        <v>6206</v>
      </c>
      <c r="I2245" s="10">
        <v>45642</v>
      </c>
    </row>
    <row r="2246" spans="1:9" x14ac:dyDescent="0.15">
      <c r="A2246" s="9">
        <v>2245</v>
      </c>
      <c r="B2246" s="9" t="s">
        <v>9</v>
      </c>
      <c r="C2246" s="9">
        <v>1927</v>
      </c>
      <c r="D2246" s="10">
        <v>45729</v>
      </c>
      <c r="E2246" s="11" t="str">
        <f>+HYPERLINK("http://trademark.i-assist.jp/data/china/image_1927th/82561130.pdf","82561130")</f>
        <v>82561130</v>
      </c>
      <c r="F2246" s="9" t="s">
        <v>6207</v>
      </c>
      <c r="G2246" s="12" t="s">
        <v>6208</v>
      </c>
      <c r="H2246" s="9" t="s">
        <v>6209</v>
      </c>
      <c r="I2246" s="10">
        <v>45642</v>
      </c>
    </row>
    <row r="2247" spans="1:9" x14ac:dyDescent="0.15">
      <c r="A2247" s="9">
        <v>2246</v>
      </c>
      <c r="B2247" s="9" t="s">
        <v>9</v>
      </c>
      <c r="C2247" s="9">
        <v>1927</v>
      </c>
      <c r="D2247" s="10">
        <v>45729</v>
      </c>
      <c r="E2247" s="11" t="str">
        <f>+HYPERLINK("http://trademark.i-assist.jp/data/china/image_1927th/82561296.pdf","82561296")</f>
        <v>82561296</v>
      </c>
      <c r="F2247" s="9" t="s">
        <v>6210</v>
      </c>
      <c r="G2247" s="9" t="s">
        <v>6211</v>
      </c>
      <c r="H2247" s="9" t="s">
        <v>6212</v>
      </c>
      <c r="I2247" s="10">
        <v>45642</v>
      </c>
    </row>
    <row r="2248" spans="1:9" x14ac:dyDescent="0.15">
      <c r="A2248" s="9">
        <v>2247</v>
      </c>
      <c r="B2248" s="9" t="s">
        <v>9</v>
      </c>
      <c r="C2248" s="9">
        <v>1927</v>
      </c>
      <c r="D2248" s="10">
        <v>45729</v>
      </c>
      <c r="E2248" s="11" t="str">
        <f>+HYPERLINK("http://trademark.i-assist.jp/data/china/image_1927th/82561415.pdf","82561415")</f>
        <v>82561415</v>
      </c>
      <c r="F2248" s="12" t="s">
        <v>6213</v>
      </c>
      <c r="G2248" s="12" t="s">
        <v>6214</v>
      </c>
      <c r="H2248" s="9" t="s">
        <v>6215</v>
      </c>
      <c r="I2248" s="10">
        <v>45642</v>
      </c>
    </row>
    <row r="2249" spans="1:9" x14ac:dyDescent="0.15">
      <c r="A2249" s="9">
        <v>2248</v>
      </c>
      <c r="B2249" s="9" t="s">
        <v>9</v>
      </c>
      <c r="C2249" s="9">
        <v>1927</v>
      </c>
      <c r="D2249" s="10">
        <v>45729</v>
      </c>
      <c r="E2249" s="11" t="str">
        <f>+HYPERLINK("http://trademark.i-assist.jp/data/china/image_1927th/82561485.pdf","82561485")</f>
        <v>82561485</v>
      </c>
      <c r="F2249" s="9" t="s">
        <v>6216</v>
      </c>
      <c r="G2249" s="9" t="s">
        <v>6217</v>
      </c>
      <c r="H2249" s="9" t="s">
        <v>6218</v>
      </c>
      <c r="I2249" s="10">
        <v>45642</v>
      </c>
    </row>
    <row r="2250" spans="1:9" x14ac:dyDescent="0.15">
      <c r="A2250" s="9">
        <v>2249</v>
      </c>
      <c r="B2250" s="9" t="s">
        <v>9</v>
      </c>
      <c r="C2250" s="9">
        <v>1927</v>
      </c>
      <c r="D2250" s="10">
        <v>45729</v>
      </c>
      <c r="E2250" s="11" t="str">
        <f>+HYPERLINK("http://trademark.i-assist.jp/data/china/image_1927th/82561545.pdf","82561545")</f>
        <v>82561545</v>
      </c>
      <c r="F2250" s="9" t="s">
        <v>6219</v>
      </c>
      <c r="G2250" s="9" t="s">
        <v>6220</v>
      </c>
      <c r="H2250" s="9" t="s">
        <v>6221</v>
      </c>
      <c r="I2250" s="10">
        <v>45642</v>
      </c>
    </row>
    <row r="2251" spans="1:9" x14ac:dyDescent="0.15">
      <c r="A2251" s="9">
        <v>2250</v>
      </c>
      <c r="B2251" s="9" t="s">
        <v>9</v>
      </c>
      <c r="C2251" s="9">
        <v>1927</v>
      </c>
      <c r="D2251" s="10">
        <v>45729</v>
      </c>
      <c r="E2251" s="11" t="str">
        <f>+HYPERLINK("http://trademark.i-assist.jp/data/china/image_1927th/82561710.pdf","82561710")</f>
        <v>82561710</v>
      </c>
      <c r="F2251" s="9" t="s">
        <v>6222</v>
      </c>
      <c r="G2251" s="9" t="s">
        <v>6223</v>
      </c>
      <c r="H2251" s="9" t="s">
        <v>6224</v>
      </c>
      <c r="I2251" s="10">
        <v>45642</v>
      </c>
    </row>
    <row r="2252" spans="1:9" x14ac:dyDescent="0.15">
      <c r="A2252" s="9">
        <v>2251</v>
      </c>
      <c r="B2252" s="9" t="s">
        <v>9</v>
      </c>
      <c r="C2252" s="9">
        <v>1927</v>
      </c>
      <c r="D2252" s="10">
        <v>45729</v>
      </c>
      <c r="E2252" s="11" t="str">
        <f>+HYPERLINK("http://trademark.i-assist.jp/data/china/image_1927th/82561884.pdf","82561884")</f>
        <v>82561884</v>
      </c>
      <c r="F2252" s="9" t="s">
        <v>6225</v>
      </c>
      <c r="G2252" s="9" t="s">
        <v>6226</v>
      </c>
      <c r="H2252" s="9" t="s">
        <v>6227</v>
      </c>
      <c r="I2252" s="10">
        <v>45642</v>
      </c>
    </row>
    <row r="2253" spans="1:9" x14ac:dyDescent="0.15">
      <c r="A2253" s="9">
        <v>2252</v>
      </c>
      <c r="B2253" s="9" t="s">
        <v>9</v>
      </c>
      <c r="C2253" s="9">
        <v>1927</v>
      </c>
      <c r="D2253" s="10">
        <v>45729</v>
      </c>
      <c r="E2253" s="11" t="str">
        <f>+HYPERLINK("http://trademark.i-assist.jp/data/china/image_1927th/82562217.pdf","82562217")</f>
        <v>82562217</v>
      </c>
      <c r="F2253" s="13" t="s">
        <v>6228</v>
      </c>
      <c r="G2253" s="9" t="s">
        <v>6229</v>
      </c>
      <c r="H2253" s="9" t="s">
        <v>6230</v>
      </c>
      <c r="I2253" s="10">
        <v>45642</v>
      </c>
    </row>
    <row r="2254" spans="1:9" x14ac:dyDescent="0.15">
      <c r="A2254" s="9">
        <v>2253</v>
      </c>
      <c r="B2254" s="9" t="s">
        <v>9</v>
      </c>
      <c r="C2254" s="9">
        <v>1927</v>
      </c>
      <c r="D2254" s="10">
        <v>45729</v>
      </c>
      <c r="E2254" s="11" t="str">
        <f>+HYPERLINK("http://trademark.i-assist.jp/data/china/image_1927th/82562337.pdf","82562337")</f>
        <v>82562337</v>
      </c>
      <c r="F2254" s="9" t="s">
        <v>6231</v>
      </c>
      <c r="G2254" s="9" t="s">
        <v>22</v>
      </c>
      <c r="H2254" s="9" t="s">
        <v>6232</v>
      </c>
      <c r="I2254" s="10">
        <v>45642</v>
      </c>
    </row>
    <row r="2255" spans="1:9" x14ac:dyDescent="0.15">
      <c r="A2255" s="9">
        <v>2254</v>
      </c>
      <c r="B2255" s="9" t="s">
        <v>9</v>
      </c>
      <c r="C2255" s="9">
        <v>1927</v>
      </c>
      <c r="D2255" s="10">
        <v>45729</v>
      </c>
      <c r="E2255" s="11" t="str">
        <f>+HYPERLINK("http://trademark.i-assist.jp/data/china/image_1927th/82562696.pdf","82562696")</f>
        <v>82562696</v>
      </c>
      <c r="F2255" s="9" t="s">
        <v>6233</v>
      </c>
      <c r="G2255" s="9" t="s">
        <v>6234</v>
      </c>
      <c r="H2255" s="9" t="s">
        <v>6235</v>
      </c>
      <c r="I2255" s="10">
        <v>45642</v>
      </c>
    </row>
    <row r="2256" spans="1:9" x14ac:dyDescent="0.15">
      <c r="A2256" s="9">
        <v>2255</v>
      </c>
      <c r="B2256" s="9" t="s">
        <v>9</v>
      </c>
      <c r="C2256" s="9">
        <v>1927</v>
      </c>
      <c r="D2256" s="10">
        <v>45729</v>
      </c>
      <c r="E2256" s="11" t="str">
        <f>+HYPERLINK("http://trademark.i-assist.jp/data/china/image_1927th/82562848.pdf","82562848")</f>
        <v>82562848</v>
      </c>
      <c r="F2256" s="9" t="s">
        <v>6236</v>
      </c>
      <c r="G2256" s="9" t="s">
        <v>6237</v>
      </c>
      <c r="H2256" s="9" t="s">
        <v>6238</v>
      </c>
      <c r="I2256" s="10">
        <v>45642</v>
      </c>
    </row>
    <row r="2257" spans="1:9" x14ac:dyDescent="0.15">
      <c r="A2257" s="9">
        <v>2256</v>
      </c>
      <c r="B2257" s="9" t="s">
        <v>9</v>
      </c>
      <c r="C2257" s="9">
        <v>1927</v>
      </c>
      <c r="D2257" s="10">
        <v>45729</v>
      </c>
      <c r="E2257" s="11" t="str">
        <f>+HYPERLINK("http://trademark.i-assist.jp/data/china/image_1927th/82563129.pdf","82563129")</f>
        <v>82563129</v>
      </c>
      <c r="F2257" s="9" t="s">
        <v>6239</v>
      </c>
      <c r="G2257" s="9" t="s">
        <v>6240</v>
      </c>
      <c r="H2257" s="9" t="s">
        <v>6241</v>
      </c>
      <c r="I2257" s="10">
        <v>45642</v>
      </c>
    </row>
    <row r="2258" spans="1:9" x14ac:dyDescent="0.15">
      <c r="A2258" s="9">
        <v>2257</v>
      </c>
      <c r="B2258" s="9" t="s">
        <v>9</v>
      </c>
      <c r="C2258" s="9">
        <v>1927</v>
      </c>
      <c r="D2258" s="10">
        <v>45729</v>
      </c>
      <c r="E2258" s="11" t="str">
        <f>+HYPERLINK("http://trademark.i-assist.jp/data/china/image_1927th/82563876.pdf","82563876")</f>
        <v>82563876</v>
      </c>
      <c r="F2258" s="9" t="s">
        <v>6242</v>
      </c>
      <c r="G2258" s="12" t="s">
        <v>186</v>
      </c>
      <c r="H2258" s="9" t="s">
        <v>6243</v>
      </c>
      <c r="I2258" s="10">
        <v>45642</v>
      </c>
    </row>
    <row r="2259" spans="1:9" x14ac:dyDescent="0.15">
      <c r="A2259" s="9">
        <v>2258</v>
      </c>
      <c r="B2259" s="9" t="s">
        <v>9</v>
      </c>
      <c r="C2259" s="9">
        <v>1927</v>
      </c>
      <c r="D2259" s="10">
        <v>45729</v>
      </c>
      <c r="E2259" s="11" t="str">
        <f>+HYPERLINK("http://trademark.i-assist.jp/data/china/image_1927th/82563895.pdf","82563895")</f>
        <v>82563895</v>
      </c>
      <c r="F2259" s="9" t="s">
        <v>6244</v>
      </c>
      <c r="G2259" s="12" t="s">
        <v>6245</v>
      </c>
      <c r="H2259" s="9" t="s">
        <v>6246</v>
      </c>
      <c r="I2259" s="10">
        <v>45642</v>
      </c>
    </row>
    <row r="2260" spans="1:9" x14ac:dyDescent="0.15">
      <c r="A2260" s="9">
        <v>2259</v>
      </c>
      <c r="B2260" s="9" t="s">
        <v>9</v>
      </c>
      <c r="C2260" s="9">
        <v>1927</v>
      </c>
      <c r="D2260" s="10">
        <v>45729</v>
      </c>
      <c r="E2260" s="11" t="str">
        <f>+HYPERLINK("http://trademark.i-assist.jp/data/china/image_1927th/82563921.pdf","82563921")</f>
        <v>82563921</v>
      </c>
      <c r="F2260" s="12" t="s">
        <v>6247</v>
      </c>
      <c r="G2260" s="9" t="s">
        <v>6248</v>
      </c>
      <c r="H2260" s="12" t="s">
        <v>6249</v>
      </c>
      <c r="I2260" s="10">
        <v>45642</v>
      </c>
    </row>
    <row r="2261" spans="1:9" x14ac:dyDescent="0.15">
      <c r="A2261" s="9">
        <v>2260</v>
      </c>
      <c r="B2261" s="9" t="s">
        <v>9</v>
      </c>
      <c r="C2261" s="9">
        <v>1927</v>
      </c>
      <c r="D2261" s="10">
        <v>45729</v>
      </c>
      <c r="E2261" s="11" t="str">
        <f>+HYPERLINK("http://trademark.i-assist.jp/data/china/image_1927th/82564088.pdf","82564088")</f>
        <v>82564088</v>
      </c>
      <c r="F2261" s="9" t="s">
        <v>6250</v>
      </c>
      <c r="G2261" s="12" t="s">
        <v>6251</v>
      </c>
      <c r="H2261" s="9" t="s">
        <v>6252</v>
      </c>
      <c r="I2261" s="10">
        <v>45642</v>
      </c>
    </row>
    <row r="2262" spans="1:9" x14ac:dyDescent="0.15">
      <c r="A2262" s="9">
        <v>2261</v>
      </c>
      <c r="B2262" s="9" t="s">
        <v>9</v>
      </c>
      <c r="C2262" s="9">
        <v>1927</v>
      </c>
      <c r="D2262" s="10">
        <v>45729</v>
      </c>
      <c r="E2262" s="11" t="str">
        <f>+HYPERLINK("http://trademark.i-assist.jp/data/china/image_1927th/82564116.pdf","82564116")</f>
        <v>82564116</v>
      </c>
      <c r="F2262" s="12" t="s">
        <v>16</v>
      </c>
      <c r="G2262" s="9" t="s">
        <v>6253</v>
      </c>
      <c r="H2262" s="9" t="s">
        <v>6254</v>
      </c>
      <c r="I2262" s="10">
        <v>45642</v>
      </c>
    </row>
    <row r="2263" spans="1:9" x14ac:dyDescent="0.15">
      <c r="A2263" s="9">
        <v>2262</v>
      </c>
      <c r="B2263" s="9" t="s">
        <v>9</v>
      </c>
      <c r="C2263" s="9">
        <v>1927</v>
      </c>
      <c r="D2263" s="10">
        <v>45729</v>
      </c>
      <c r="E2263" s="11" t="str">
        <f>+HYPERLINK("http://trademark.i-assist.jp/data/china/image_1927th/82564291.pdf","82564291")</f>
        <v>82564291</v>
      </c>
      <c r="F2263" s="9" t="s">
        <v>6255</v>
      </c>
      <c r="G2263" s="9" t="s">
        <v>6256</v>
      </c>
      <c r="H2263" s="9" t="s">
        <v>6257</v>
      </c>
      <c r="I2263" s="10">
        <v>45641</v>
      </c>
    </row>
    <row r="2264" spans="1:9" x14ac:dyDescent="0.15">
      <c r="A2264" s="9">
        <v>2263</v>
      </c>
      <c r="B2264" s="9" t="s">
        <v>9</v>
      </c>
      <c r="C2264" s="9">
        <v>1927</v>
      </c>
      <c r="D2264" s="10">
        <v>45729</v>
      </c>
      <c r="E2264" s="11" t="str">
        <f>+HYPERLINK("http://trademark.i-assist.jp/data/china/image_1927th/82564310.pdf","82564310")</f>
        <v>82564310</v>
      </c>
      <c r="F2264" s="9" t="s">
        <v>6258</v>
      </c>
      <c r="G2264" s="12" t="s">
        <v>6259</v>
      </c>
      <c r="H2264" s="9" t="s">
        <v>6260</v>
      </c>
      <c r="I2264" s="10">
        <v>45641</v>
      </c>
    </row>
    <row r="2265" spans="1:9" x14ac:dyDescent="0.15">
      <c r="A2265" s="9">
        <v>2264</v>
      </c>
      <c r="B2265" s="9" t="s">
        <v>9</v>
      </c>
      <c r="C2265" s="9">
        <v>1927</v>
      </c>
      <c r="D2265" s="10">
        <v>45729</v>
      </c>
      <c r="E2265" s="11" t="str">
        <f>+HYPERLINK("http://trademark.i-assist.jp/data/china/image_1927th/82564607.pdf","82564607")</f>
        <v>82564607</v>
      </c>
      <c r="F2265" s="12" t="s">
        <v>6261</v>
      </c>
      <c r="G2265" s="9" t="s">
        <v>6262</v>
      </c>
      <c r="H2265" s="9" t="s">
        <v>6263</v>
      </c>
      <c r="I2265" s="10">
        <v>45642</v>
      </c>
    </row>
    <row r="2266" spans="1:9" x14ac:dyDescent="0.15">
      <c r="A2266" s="9">
        <v>2265</v>
      </c>
      <c r="B2266" s="9" t="s">
        <v>9</v>
      </c>
      <c r="C2266" s="9">
        <v>1927</v>
      </c>
      <c r="D2266" s="10">
        <v>45729</v>
      </c>
      <c r="E2266" s="11" t="str">
        <f>+HYPERLINK("http://trademark.i-assist.jp/data/china/image_1927th/82564624.pdf","82564624")</f>
        <v>82564624</v>
      </c>
      <c r="F2266" s="9" t="s">
        <v>6264</v>
      </c>
      <c r="G2266" s="9" t="s">
        <v>6265</v>
      </c>
      <c r="H2266" s="9" t="s">
        <v>6266</v>
      </c>
      <c r="I2266" s="10">
        <v>45642</v>
      </c>
    </row>
    <row r="2267" spans="1:9" x14ac:dyDescent="0.15">
      <c r="A2267" s="9">
        <v>2266</v>
      </c>
      <c r="B2267" s="9" t="s">
        <v>9</v>
      </c>
      <c r="C2267" s="9">
        <v>1927</v>
      </c>
      <c r="D2267" s="10">
        <v>45729</v>
      </c>
      <c r="E2267" s="11" t="str">
        <f>+HYPERLINK("http://trademark.i-assist.jp/data/china/image_1927th/82564788.pdf","82564788")</f>
        <v>82564788</v>
      </c>
      <c r="F2267" s="9" t="s">
        <v>6267</v>
      </c>
      <c r="G2267" s="9" t="s">
        <v>6268</v>
      </c>
      <c r="H2267" s="9" t="s">
        <v>6269</v>
      </c>
      <c r="I2267" s="10">
        <v>45641</v>
      </c>
    </row>
    <row r="2268" spans="1:9" x14ac:dyDescent="0.15">
      <c r="A2268" s="9">
        <v>2267</v>
      </c>
      <c r="B2268" s="9" t="s">
        <v>9</v>
      </c>
      <c r="C2268" s="9">
        <v>1927</v>
      </c>
      <c r="D2268" s="10">
        <v>45729</v>
      </c>
      <c r="E2268" s="11" t="str">
        <f>+HYPERLINK("http://trademark.i-assist.jp/data/china/image_1927th/82564834.pdf","82564834")</f>
        <v>82564834</v>
      </c>
      <c r="F2268" s="9" t="s">
        <v>6270</v>
      </c>
      <c r="G2268" s="9" t="s">
        <v>6271</v>
      </c>
      <c r="H2268" s="9" t="s">
        <v>6272</v>
      </c>
      <c r="I2268" s="10">
        <v>45641</v>
      </c>
    </row>
    <row r="2269" spans="1:9" x14ac:dyDescent="0.15">
      <c r="A2269" s="9">
        <v>2268</v>
      </c>
      <c r="B2269" s="9" t="s">
        <v>9</v>
      </c>
      <c r="C2269" s="9">
        <v>1927</v>
      </c>
      <c r="D2269" s="10">
        <v>45729</v>
      </c>
      <c r="E2269" s="11" t="str">
        <f>+HYPERLINK("http://trademark.i-assist.jp/data/china/image_1927th/82565792.pdf","82565792")</f>
        <v>82565792</v>
      </c>
      <c r="F2269" s="9" t="s">
        <v>6273</v>
      </c>
      <c r="G2269" s="12" t="s">
        <v>6274</v>
      </c>
      <c r="H2269" s="9" t="s">
        <v>6275</v>
      </c>
      <c r="I2269" s="10">
        <v>45642</v>
      </c>
    </row>
    <row r="2270" spans="1:9" x14ac:dyDescent="0.15">
      <c r="A2270" s="9">
        <v>2269</v>
      </c>
      <c r="B2270" s="9" t="s">
        <v>9</v>
      </c>
      <c r="C2270" s="9">
        <v>1927</v>
      </c>
      <c r="D2270" s="10">
        <v>45729</v>
      </c>
      <c r="E2270" s="11" t="str">
        <f>+HYPERLINK("http://trademark.i-assist.jp/data/china/image_1927th/82565915.pdf","82565915")</f>
        <v>82565915</v>
      </c>
      <c r="F2270" s="9" t="s">
        <v>6276</v>
      </c>
      <c r="G2270" s="9" t="s">
        <v>6223</v>
      </c>
      <c r="H2270" s="9" t="s">
        <v>6277</v>
      </c>
      <c r="I2270" s="10">
        <v>45642</v>
      </c>
    </row>
    <row r="2271" spans="1:9" x14ac:dyDescent="0.15">
      <c r="A2271" s="9">
        <v>2270</v>
      </c>
      <c r="B2271" s="9" t="s">
        <v>9</v>
      </c>
      <c r="C2271" s="9">
        <v>1927</v>
      </c>
      <c r="D2271" s="10">
        <v>45729</v>
      </c>
      <c r="E2271" s="11" t="str">
        <f>+HYPERLINK("http://trademark.i-assist.jp/data/china/image_1927th/82566029.pdf","82566029")</f>
        <v>82566029</v>
      </c>
      <c r="F2271" s="12" t="s">
        <v>6278</v>
      </c>
      <c r="G2271" s="12" t="s">
        <v>6279</v>
      </c>
      <c r="H2271" s="9" t="s">
        <v>6280</v>
      </c>
      <c r="I2271" s="10">
        <v>45642</v>
      </c>
    </row>
    <row r="2272" spans="1:9" x14ac:dyDescent="0.15">
      <c r="A2272" s="9">
        <v>2271</v>
      </c>
      <c r="B2272" s="9" t="s">
        <v>9</v>
      </c>
      <c r="C2272" s="9">
        <v>1927</v>
      </c>
      <c r="D2272" s="10">
        <v>45729</v>
      </c>
      <c r="E2272" s="11" t="str">
        <f>+HYPERLINK("http://trademark.i-assist.jp/data/china/image_1927th/82566289.pdf","82566289")</f>
        <v>82566289</v>
      </c>
      <c r="F2272" s="9" t="s">
        <v>6281</v>
      </c>
      <c r="G2272" s="12" t="s">
        <v>71</v>
      </c>
      <c r="H2272" s="9" t="s">
        <v>6282</v>
      </c>
      <c r="I2272" s="10">
        <v>45642</v>
      </c>
    </row>
    <row r="2273" spans="1:9" x14ac:dyDescent="0.15">
      <c r="A2273" s="9">
        <v>2272</v>
      </c>
      <c r="B2273" s="9" t="s">
        <v>9</v>
      </c>
      <c r="C2273" s="9">
        <v>1927</v>
      </c>
      <c r="D2273" s="10">
        <v>45729</v>
      </c>
      <c r="E2273" s="11" t="str">
        <f>+HYPERLINK("http://trademark.i-assist.jp/data/china/image_1927th/82566823.pdf","82566823")</f>
        <v>82566823</v>
      </c>
      <c r="F2273" s="9" t="s">
        <v>6283</v>
      </c>
      <c r="G2273" s="9" t="s">
        <v>6234</v>
      </c>
      <c r="H2273" s="12" t="s">
        <v>6284</v>
      </c>
      <c r="I2273" s="10">
        <v>45642</v>
      </c>
    </row>
    <row r="2274" spans="1:9" x14ac:dyDescent="0.15">
      <c r="A2274" s="9">
        <v>2273</v>
      </c>
      <c r="B2274" s="9" t="s">
        <v>9</v>
      </c>
      <c r="C2274" s="9">
        <v>1927</v>
      </c>
      <c r="D2274" s="10">
        <v>45729</v>
      </c>
      <c r="E2274" s="11" t="str">
        <f>+HYPERLINK("http://trademark.i-assist.jp/data/china/image_1927th/82566945.pdf","82566945")</f>
        <v>82566945</v>
      </c>
      <c r="F2274" s="9" t="s">
        <v>6285</v>
      </c>
      <c r="G2274" s="9" t="s">
        <v>6286</v>
      </c>
      <c r="H2274" s="9" t="s">
        <v>6287</v>
      </c>
      <c r="I2274" s="10">
        <v>45642</v>
      </c>
    </row>
    <row r="2275" spans="1:9" x14ac:dyDescent="0.15">
      <c r="A2275" s="9">
        <v>2274</v>
      </c>
      <c r="B2275" s="9" t="s">
        <v>9</v>
      </c>
      <c r="C2275" s="9">
        <v>1927</v>
      </c>
      <c r="D2275" s="10">
        <v>45729</v>
      </c>
      <c r="E2275" s="11" t="str">
        <f>+HYPERLINK("http://trademark.i-assist.jp/data/china/image_1927th/82566964.pdf","82566964")</f>
        <v>82566964</v>
      </c>
      <c r="F2275" s="9" t="s">
        <v>6288</v>
      </c>
      <c r="G2275" s="9" t="s">
        <v>6289</v>
      </c>
      <c r="H2275" s="9" t="s">
        <v>6290</v>
      </c>
      <c r="I2275" s="10">
        <v>45642</v>
      </c>
    </row>
    <row r="2276" spans="1:9" x14ac:dyDescent="0.15">
      <c r="A2276" s="9">
        <v>2275</v>
      </c>
      <c r="B2276" s="9" t="s">
        <v>9</v>
      </c>
      <c r="C2276" s="9">
        <v>1927</v>
      </c>
      <c r="D2276" s="10">
        <v>45729</v>
      </c>
      <c r="E2276" s="11" t="str">
        <f>+HYPERLINK("http://trademark.i-assist.jp/data/china/image_1927th/82567077.pdf","82567077")</f>
        <v>82567077</v>
      </c>
      <c r="F2276" s="12" t="s">
        <v>6291</v>
      </c>
      <c r="G2276" s="9" t="s">
        <v>6292</v>
      </c>
      <c r="H2276" s="9" t="s">
        <v>6293</v>
      </c>
      <c r="I2276" s="10">
        <v>45642</v>
      </c>
    </row>
    <row r="2277" spans="1:9" x14ac:dyDescent="0.15">
      <c r="A2277" s="9">
        <v>2276</v>
      </c>
      <c r="B2277" s="9" t="s">
        <v>9</v>
      </c>
      <c r="C2277" s="9">
        <v>1927</v>
      </c>
      <c r="D2277" s="10">
        <v>45729</v>
      </c>
      <c r="E2277" s="11" t="str">
        <f>+HYPERLINK("http://trademark.i-assist.jp/data/china/image_1927th/82567129.pdf","82567129")</f>
        <v>82567129</v>
      </c>
      <c r="F2277" s="9" t="s">
        <v>6294</v>
      </c>
      <c r="G2277" s="9" t="s">
        <v>6295</v>
      </c>
      <c r="H2277" s="9" t="s">
        <v>6296</v>
      </c>
      <c r="I2277" s="10">
        <v>45642</v>
      </c>
    </row>
    <row r="2278" spans="1:9" x14ac:dyDescent="0.15">
      <c r="A2278" s="9">
        <v>2277</v>
      </c>
      <c r="B2278" s="9" t="s">
        <v>9</v>
      </c>
      <c r="C2278" s="9">
        <v>1927</v>
      </c>
      <c r="D2278" s="10">
        <v>45729</v>
      </c>
      <c r="E2278" s="11" t="str">
        <f>+HYPERLINK("http://trademark.i-assist.jp/data/china/image_1927th/82567287.pdf","82567287")</f>
        <v>82567287</v>
      </c>
      <c r="F2278" s="12" t="s">
        <v>6297</v>
      </c>
      <c r="G2278" s="12" t="s">
        <v>6298</v>
      </c>
      <c r="H2278" s="9" t="s">
        <v>6299</v>
      </c>
      <c r="I2278" s="10">
        <v>45642</v>
      </c>
    </row>
    <row r="2279" spans="1:9" x14ac:dyDescent="0.15">
      <c r="A2279" s="9">
        <v>2278</v>
      </c>
      <c r="B2279" s="9" t="s">
        <v>9</v>
      </c>
      <c r="C2279" s="9">
        <v>1927</v>
      </c>
      <c r="D2279" s="10">
        <v>45729</v>
      </c>
      <c r="E2279" s="11" t="str">
        <f>+HYPERLINK("http://trademark.i-assist.jp/data/china/image_1927th/82567350.pdf","82567350")</f>
        <v>82567350</v>
      </c>
      <c r="F2279" s="12" t="s">
        <v>6300</v>
      </c>
      <c r="G2279" s="9" t="s">
        <v>6301</v>
      </c>
      <c r="H2279" s="9" t="s">
        <v>6302</v>
      </c>
      <c r="I2279" s="10">
        <v>45642</v>
      </c>
    </row>
    <row r="2280" spans="1:9" x14ac:dyDescent="0.15">
      <c r="A2280" s="9">
        <v>2279</v>
      </c>
      <c r="B2280" s="9" t="s">
        <v>9</v>
      </c>
      <c r="C2280" s="9">
        <v>1927</v>
      </c>
      <c r="D2280" s="10">
        <v>45729</v>
      </c>
      <c r="E2280" s="11" t="str">
        <f>+HYPERLINK("http://trademark.i-assist.jp/data/china/image_1927th/82567359.pdf","82567359")</f>
        <v>82567359</v>
      </c>
      <c r="F2280" s="9" t="s">
        <v>6303</v>
      </c>
      <c r="G2280" s="9" t="s">
        <v>6304</v>
      </c>
      <c r="H2280" s="9" t="s">
        <v>6305</v>
      </c>
      <c r="I2280" s="10">
        <v>45642</v>
      </c>
    </row>
    <row r="2281" spans="1:9" x14ac:dyDescent="0.15">
      <c r="A2281" s="9">
        <v>2280</v>
      </c>
      <c r="B2281" s="9" t="s">
        <v>9</v>
      </c>
      <c r="C2281" s="9">
        <v>1927</v>
      </c>
      <c r="D2281" s="10">
        <v>45729</v>
      </c>
      <c r="E2281" s="11" t="str">
        <f>+HYPERLINK("http://trademark.i-assist.jp/data/china/image_1927th/82567754.pdf","82567754")</f>
        <v>82567754</v>
      </c>
      <c r="F2281" s="9" t="s">
        <v>6061</v>
      </c>
      <c r="G2281" s="12" t="s">
        <v>6062</v>
      </c>
      <c r="H2281" s="9" t="s">
        <v>6306</v>
      </c>
      <c r="I2281" s="10">
        <v>45642</v>
      </c>
    </row>
    <row r="2282" spans="1:9" x14ac:dyDescent="0.15">
      <c r="A2282" s="9">
        <v>2281</v>
      </c>
      <c r="B2282" s="9" t="s">
        <v>9</v>
      </c>
      <c r="C2282" s="9">
        <v>1927</v>
      </c>
      <c r="D2282" s="10">
        <v>45729</v>
      </c>
      <c r="E2282" s="11" t="str">
        <f>+HYPERLINK("http://trademark.i-assist.jp/data/china/image_1927th/82567778.pdf","82567778")</f>
        <v>82567778</v>
      </c>
      <c r="F2282" s="12" t="s">
        <v>6307</v>
      </c>
      <c r="G2282" s="12" t="s">
        <v>6308</v>
      </c>
      <c r="H2282" s="9" t="s">
        <v>6309</v>
      </c>
      <c r="I2282" s="10">
        <v>45642</v>
      </c>
    </row>
    <row r="2283" spans="1:9" x14ac:dyDescent="0.15">
      <c r="A2283" s="9">
        <v>2282</v>
      </c>
      <c r="B2283" s="9" t="s">
        <v>9</v>
      </c>
      <c r="C2283" s="9">
        <v>1927</v>
      </c>
      <c r="D2283" s="10">
        <v>45729</v>
      </c>
      <c r="E2283" s="11" t="str">
        <f>+HYPERLINK("http://trademark.i-assist.jp/data/china/image_1927th/82567864.pdf","82567864")</f>
        <v>82567864</v>
      </c>
      <c r="F2283" s="9" t="s">
        <v>6310</v>
      </c>
      <c r="G2283" s="9" t="s">
        <v>6311</v>
      </c>
      <c r="H2283" s="9" t="s">
        <v>6312</v>
      </c>
      <c r="I2283" s="10">
        <v>45642</v>
      </c>
    </row>
    <row r="2284" spans="1:9" x14ac:dyDescent="0.15">
      <c r="A2284" s="9">
        <v>2283</v>
      </c>
      <c r="B2284" s="9" t="s">
        <v>9</v>
      </c>
      <c r="C2284" s="9">
        <v>1927</v>
      </c>
      <c r="D2284" s="10">
        <v>45729</v>
      </c>
      <c r="E2284" s="11" t="str">
        <f>+HYPERLINK("http://trademark.i-assist.jp/data/china/image_1927th/82568012.pdf","82568012")</f>
        <v>82568012</v>
      </c>
      <c r="F2284" s="9" t="s">
        <v>6313</v>
      </c>
      <c r="G2284" s="12" t="s">
        <v>6124</v>
      </c>
      <c r="H2284" s="12" t="s">
        <v>6314</v>
      </c>
      <c r="I2284" s="10">
        <v>45642</v>
      </c>
    </row>
    <row r="2285" spans="1:9" x14ac:dyDescent="0.15">
      <c r="A2285" s="9">
        <v>2284</v>
      </c>
      <c r="B2285" s="9" t="s">
        <v>9</v>
      </c>
      <c r="C2285" s="9">
        <v>1927</v>
      </c>
      <c r="D2285" s="10">
        <v>45729</v>
      </c>
      <c r="E2285" s="11" t="str">
        <f>+HYPERLINK("http://trademark.i-assist.jp/data/china/image_1927th/82568229.pdf","82568229")</f>
        <v>82568229</v>
      </c>
      <c r="F2285" s="12" t="s">
        <v>6315</v>
      </c>
      <c r="G2285" s="9" t="s">
        <v>6316</v>
      </c>
      <c r="H2285" s="9" t="s">
        <v>6317</v>
      </c>
      <c r="I2285" s="10">
        <v>45642</v>
      </c>
    </row>
    <row r="2286" spans="1:9" x14ac:dyDescent="0.15">
      <c r="A2286" s="9">
        <v>2285</v>
      </c>
      <c r="B2286" s="9" t="s">
        <v>9</v>
      </c>
      <c r="C2286" s="9">
        <v>1927</v>
      </c>
      <c r="D2286" s="10">
        <v>45729</v>
      </c>
      <c r="E2286" s="11" t="str">
        <f>+HYPERLINK("http://trademark.i-assist.jp/data/china/image_1927th/82568237.pdf","82568237")</f>
        <v>82568237</v>
      </c>
      <c r="F2286" s="9" t="s">
        <v>6318</v>
      </c>
      <c r="G2286" s="9" t="s">
        <v>6190</v>
      </c>
      <c r="H2286" s="9" t="s">
        <v>6319</v>
      </c>
      <c r="I2286" s="10">
        <v>45642</v>
      </c>
    </row>
    <row r="2287" spans="1:9" x14ac:dyDescent="0.15">
      <c r="A2287" s="9">
        <v>2286</v>
      </c>
      <c r="B2287" s="9" t="s">
        <v>9</v>
      </c>
      <c r="C2287" s="9">
        <v>1927</v>
      </c>
      <c r="D2287" s="10">
        <v>45729</v>
      </c>
      <c r="E2287" s="11" t="str">
        <f>+HYPERLINK("http://trademark.i-assist.jp/data/china/image_1927th/82568451.pdf","82568451")</f>
        <v>82568451</v>
      </c>
      <c r="F2287" s="9" t="s">
        <v>6320</v>
      </c>
      <c r="G2287" s="9" t="s">
        <v>6321</v>
      </c>
      <c r="H2287" s="9" t="s">
        <v>6322</v>
      </c>
      <c r="I2287" s="10">
        <v>45642</v>
      </c>
    </row>
    <row r="2288" spans="1:9" x14ac:dyDescent="0.15">
      <c r="A2288" s="9">
        <v>2287</v>
      </c>
      <c r="B2288" s="9" t="s">
        <v>9</v>
      </c>
      <c r="C2288" s="9">
        <v>1927</v>
      </c>
      <c r="D2288" s="10">
        <v>45729</v>
      </c>
      <c r="E2288" s="11" t="str">
        <f>+HYPERLINK("http://trademark.i-assist.jp/data/china/image_1927th/82568532.pdf","82568532")</f>
        <v>82568532</v>
      </c>
      <c r="F2288" s="9" t="s">
        <v>6323</v>
      </c>
      <c r="G2288" s="9" t="s">
        <v>6324</v>
      </c>
      <c r="H2288" s="9" t="s">
        <v>6325</v>
      </c>
      <c r="I2288" s="10">
        <v>45642</v>
      </c>
    </row>
    <row r="2289" spans="1:9" x14ac:dyDescent="0.15">
      <c r="A2289" s="9">
        <v>2288</v>
      </c>
      <c r="B2289" s="9" t="s">
        <v>9</v>
      </c>
      <c r="C2289" s="9">
        <v>1927</v>
      </c>
      <c r="D2289" s="10">
        <v>45729</v>
      </c>
      <c r="E2289" s="11" t="str">
        <f>+HYPERLINK("http://trademark.i-assist.jp/data/china/image_1927th/82569129.pdf","82569129")</f>
        <v>82569129</v>
      </c>
      <c r="F2289" s="9" t="s">
        <v>6326</v>
      </c>
      <c r="G2289" s="9" t="s">
        <v>22</v>
      </c>
      <c r="H2289" s="9" t="s">
        <v>6327</v>
      </c>
      <c r="I2289" s="10">
        <v>45642</v>
      </c>
    </row>
    <row r="2290" spans="1:9" x14ac:dyDescent="0.15">
      <c r="A2290" s="9">
        <v>2289</v>
      </c>
      <c r="B2290" s="9" t="s">
        <v>9</v>
      </c>
      <c r="C2290" s="9">
        <v>1927</v>
      </c>
      <c r="D2290" s="10">
        <v>45729</v>
      </c>
      <c r="E2290" s="11" t="str">
        <f>+HYPERLINK("http://trademark.i-assist.jp/data/china/image_1927th/82569198.pdf","82569198")</f>
        <v>82569198</v>
      </c>
      <c r="F2290" s="12" t="s">
        <v>16</v>
      </c>
      <c r="G2290" s="9" t="s">
        <v>6328</v>
      </c>
      <c r="H2290" s="9" t="s">
        <v>6329</v>
      </c>
      <c r="I2290" s="10">
        <v>45642</v>
      </c>
    </row>
    <row r="2291" spans="1:9" x14ac:dyDescent="0.15">
      <c r="A2291" s="9">
        <v>2290</v>
      </c>
      <c r="B2291" s="9" t="s">
        <v>9</v>
      </c>
      <c r="C2291" s="9">
        <v>1927</v>
      </c>
      <c r="D2291" s="10">
        <v>45729</v>
      </c>
      <c r="E2291" s="11" t="str">
        <f>+HYPERLINK("http://trademark.i-assist.jp/data/china/image_1927th/82569204.pdf","82569204")</f>
        <v>82569204</v>
      </c>
      <c r="F2291" s="9" t="s">
        <v>6330</v>
      </c>
      <c r="G2291" s="9" t="s">
        <v>6331</v>
      </c>
      <c r="H2291" s="9" t="s">
        <v>6332</v>
      </c>
      <c r="I2291" s="10">
        <v>45642</v>
      </c>
    </row>
    <row r="2292" spans="1:9" x14ac:dyDescent="0.15">
      <c r="A2292" s="9">
        <v>2291</v>
      </c>
      <c r="B2292" s="9" t="s">
        <v>9</v>
      </c>
      <c r="C2292" s="9">
        <v>1927</v>
      </c>
      <c r="D2292" s="10">
        <v>45729</v>
      </c>
      <c r="E2292" s="11" t="str">
        <f>+HYPERLINK("http://trademark.i-assist.jp/data/china/image_1927th/82569495.pdf","82569495")</f>
        <v>82569495</v>
      </c>
      <c r="F2292" s="9" t="s">
        <v>6333</v>
      </c>
      <c r="G2292" s="12" t="s">
        <v>6334</v>
      </c>
      <c r="H2292" s="12" t="s">
        <v>6335</v>
      </c>
      <c r="I2292" s="10">
        <v>45642</v>
      </c>
    </row>
    <row r="2293" spans="1:9" x14ac:dyDescent="0.15">
      <c r="A2293" s="9">
        <v>2292</v>
      </c>
      <c r="B2293" s="9" t="s">
        <v>9</v>
      </c>
      <c r="C2293" s="9">
        <v>1927</v>
      </c>
      <c r="D2293" s="10">
        <v>45729</v>
      </c>
      <c r="E2293" s="11" t="str">
        <f>+HYPERLINK("http://trademark.i-assist.jp/data/china/image_1927th/82569850.pdf","82569850")</f>
        <v>82569850</v>
      </c>
      <c r="F2293" s="9" t="s">
        <v>6336</v>
      </c>
      <c r="G2293" s="9" t="s">
        <v>6337</v>
      </c>
      <c r="H2293" s="9" t="s">
        <v>6338</v>
      </c>
      <c r="I2293" s="10">
        <v>45642</v>
      </c>
    </row>
    <row r="2294" spans="1:9" x14ac:dyDescent="0.15">
      <c r="A2294" s="9">
        <v>2293</v>
      </c>
      <c r="B2294" s="9" t="s">
        <v>9</v>
      </c>
      <c r="C2294" s="9">
        <v>1927</v>
      </c>
      <c r="D2294" s="10">
        <v>45729</v>
      </c>
      <c r="E2294" s="11" t="str">
        <f>+HYPERLINK("http://trademark.i-assist.jp/data/china/image_1927th/82569876.pdf","82569876")</f>
        <v>82569876</v>
      </c>
      <c r="F2294" s="12" t="s">
        <v>6339</v>
      </c>
      <c r="G2294" s="12" t="s">
        <v>19</v>
      </c>
      <c r="H2294" s="9" t="s">
        <v>6340</v>
      </c>
      <c r="I2294" s="10">
        <v>45642</v>
      </c>
    </row>
    <row r="2295" spans="1:9" x14ac:dyDescent="0.15">
      <c r="A2295" s="9">
        <v>2294</v>
      </c>
      <c r="B2295" s="9" t="s">
        <v>9</v>
      </c>
      <c r="C2295" s="9">
        <v>1927</v>
      </c>
      <c r="D2295" s="10">
        <v>45729</v>
      </c>
      <c r="E2295" s="11" t="str">
        <f>+HYPERLINK("http://trademark.i-assist.jp/data/china/image_1927th/82569893.pdf","82569893")</f>
        <v>82569893</v>
      </c>
      <c r="F2295" s="9" t="s">
        <v>6341</v>
      </c>
      <c r="G2295" s="9" t="s">
        <v>6342</v>
      </c>
      <c r="H2295" s="9" t="s">
        <v>6343</v>
      </c>
      <c r="I2295" s="10">
        <v>45642</v>
      </c>
    </row>
    <row r="2296" spans="1:9" x14ac:dyDescent="0.15">
      <c r="A2296" s="9">
        <v>2295</v>
      </c>
      <c r="B2296" s="9" t="s">
        <v>9</v>
      </c>
      <c r="C2296" s="9">
        <v>1927</v>
      </c>
      <c r="D2296" s="10">
        <v>45729</v>
      </c>
      <c r="E2296" s="11" t="str">
        <f>+HYPERLINK("http://trademark.i-assist.jp/data/china/image_1927th/82569910.pdf","82569910")</f>
        <v>82569910</v>
      </c>
      <c r="F2296" s="9" t="s">
        <v>6344</v>
      </c>
      <c r="G2296" s="12" t="s">
        <v>6345</v>
      </c>
      <c r="H2296" s="9" t="s">
        <v>6346</v>
      </c>
      <c r="I2296" s="10">
        <v>45642</v>
      </c>
    </row>
    <row r="2297" spans="1:9" x14ac:dyDescent="0.15">
      <c r="A2297" s="9">
        <v>2296</v>
      </c>
      <c r="B2297" s="9" t="s">
        <v>9</v>
      </c>
      <c r="C2297" s="9">
        <v>1927</v>
      </c>
      <c r="D2297" s="10">
        <v>45729</v>
      </c>
      <c r="E2297" s="11" t="str">
        <f>+HYPERLINK("http://trademark.i-assist.jp/data/china/image_1927th/82570046.pdf","82570046")</f>
        <v>82570046</v>
      </c>
      <c r="F2297" s="9" t="s">
        <v>6347</v>
      </c>
      <c r="G2297" s="9" t="s">
        <v>6348</v>
      </c>
      <c r="H2297" s="9" t="s">
        <v>6349</v>
      </c>
      <c r="I2297" s="10">
        <v>45642</v>
      </c>
    </row>
    <row r="2298" spans="1:9" x14ac:dyDescent="0.15">
      <c r="A2298" s="9">
        <v>2297</v>
      </c>
      <c r="B2298" s="9" t="s">
        <v>9</v>
      </c>
      <c r="C2298" s="9">
        <v>1927</v>
      </c>
      <c r="D2298" s="10">
        <v>45729</v>
      </c>
      <c r="E2298" s="11" t="str">
        <f>+HYPERLINK("http://trademark.i-assist.jp/data/china/image_1927th/82570407.pdf","82570407")</f>
        <v>82570407</v>
      </c>
      <c r="F2298" s="9" t="s">
        <v>6350</v>
      </c>
      <c r="G2298" s="12" t="s">
        <v>6124</v>
      </c>
      <c r="H2298" s="9" t="s">
        <v>6351</v>
      </c>
      <c r="I2298" s="10">
        <v>45642</v>
      </c>
    </row>
    <row r="2299" spans="1:9" x14ac:dyDescent="0.15">
      <c r="A2299" s="9">
        <v>2298</v>
      </c>
      <c r="B2299" s="9" t="s">
        <v>9</v>
      </c>
      <c r="C2299" s="9">
        <v>1927</v>
      </c>
      <c r="D2299" s="10">
        <v>45729</v>
      </c>
      <c r="E2299" s="11" t="str">
        <f>+HYPERLINK("http://trademark.i-assist.jp/data/china/image_1927th/82570799.pdf","82570799")</f>
        <v>82570799</v>
      </c>
      <c r="F2299" s="9" t="s">
        <v>6352</v>
      </c>
      <c r="G2299" s="9" t="s">
        <v>6353</v>
      </c>
      <c r="H2299" s="9" t="s">
        <v>6354</v>
      </c>
      <c r="I2299" s="10">
        <v>45641</v>
      </c>
    </row>
    <row r="2300" spans="1:9" x14ac:dyDescent="0.15">
      <c r="A2300" s="9">
        <v>2299</v>
      </c>
      <c r="B2300" s="9" t="s">
        <v>9</v>
      </c>
      <c r="C2300" s="9">
        <v>1927</v>
      </c>
      <c r="D2300" s="10">
        <v>45729</v>
      </c>
      <c r="E2300" s="11" t="str">
        <f>+HYPERLINK("http://trademark.i-assist.jp/data/china/image_1927th/82570846.pdf","82570846")</f>
        <v>82570846</v>
      </c>
      <c r="F2300" s="9" t="s">
        <v>6355</v>
      </c>
      <c r="G2300" s="9" t="s">
        <v>6356</v>
      </c>
      <c r="H2300" s="9" t="s">
        <v>6357</v>
      </c>
      <c r="I2300" s="10">
        <v>45644</v>
      </c>
    </row>
    <row r="2301" spans="1:9" x14ac:dyDescent="0.15">
      <c r="A2301" s="9">
        <v>2300</v>
      </c>
      <c r="B2301" s="9" t="s">
        <v>9</v>
      </c>
      <c r="C2301" s="9">
        <v>1927</v>
      </c>
      <c r="D2301" s="10">
        <v>45729</v>
      </c>
      <c r="E2301" s="11" t="str">
        <f>+HYPERLINK("http://trademark.i-assist.jp/data/china/image_1927th/82571134.pdf","82571134")</f>
        <v>82571134</v>
      </c>
      <c r="F2301" s="9" t="s">
        <v>6358</v>
      </c>
      <c r="G2301" s="9" t="s">
        <v>215</v>
      </c>
      <c r="H2301" s="9" t="s">
        <v>6359</v>
      </c>
      <c r="I2301" s="10">
        <v>45642</v>
      </c>
    </row>
    <row r="2302" spans="1:9" x14ac:dyDescent="0.15">
      <c r="A2302" s="9">
        <v>2301</v>
      </c>
      <c r="B2302" s="9" t="s">
        <v>9</v>
      </c>
      <c r="C2302" s="9">
        <v>1927</v>
      </c>
      <c r="D2302" s="10">
        <v>45729</v>
      </c>
      <c r="E2302" s="11" t="str">
        <f>+HYPERLINK("http://trademark.i-assist.jp/data/china/image_1927th/82571194.pdf","82571194")</f>
        <v>82571194</v>
      </c>
      <c r="F2302" s="13" t="s">
        <v>6360</v>
      </c>
      <c r="G2302" s="9" t="s">
        <v>6361</v>
      </c>
      <c r="H2302" s="9" t="s">
        <v>6362</v>
      </c>
      <c r="I2302" s="10">
        <v>45642</v>
      </c>
    </row>
    <row r="2303" spans="1:9" x14ac:dyDescent="0.15">
      <c r="A2303" s="9">
        <v>2302</v>
      </c>
      <c r="B2303" s="9" t="s">
        <v>9</v>
      </c>
      <c r="C2303" s="9">
        <v>1927</v>
      </c>
      <c r="D2303" s="10">
        <v>45729</v>
      </c>
      <c r="E2303" s="11" t="str">
        <f>+HYPERLINK("http://trademark.i-assist.jp/data/china/image_1927th/82571281.pdf","82571281")</f>
        <v>82571281</v>
      </c>
      <c r="F2303" s="9" t="s">
        <v>6363</v>
      </c>
      <c r="G2303" s="12" t="s">
        <v>6364</v>
      </c>
      <c r="H2303" s="12" t="s">
        <v>6365</v>
      </c>
      <c r="I2303" s="10">
        <v>45641</v>
      </c>
    </row>
    <row r="2304" spans="1:9" x14ac:dyDescent="0.15">
      <c r="A2304" s="9">
        <v>2303</v>
      </c>
      <c r="B2304" s="9" t="s">
        <v>9</v>
      </c>
      <c r="C2304" s="9">
        <v>1927</v>
      </c>
      <c r="D2304" s="10">
        <v>45729</v>
      </c>
      <c r="E2304" s="11" t="str">
        <f>+HYPERLINK("http://trademark.i-assist.jp/data/china/image_1927th/82571372.pdf","82571372")</f>
        <v>82571372</v>
      </c>
      <c r="F2304" s="9" t="s">
        <v>6366</v>
      </c>
      <c r="G2304" s="9" t="s">
        <v>6367</v>
      </c>
      <c r="H2304" s="9" t="s">
        <v>6368</v>
      </c>
      <c r="I2304" s="10">
        <v>45642</v>
      </c>
    </row>
    <row r="2305" spans="1:9" x14ac:dyDescent="0.15">
      <c r="A2305" s="9">
        <v>2304</v>
      </c>
      <c r="B2305" s="9" t="s">
        <v>9</v>
      </c>
      <c r="C2305" s="9">
        <v>1927</v>
      </c>
      <c r="D2305" s="10">
        <v>45729</v>
      </c>
      <c r="E2305" s="11" t="str">
        <f>+HYPERLINK("http://trademark.i-assist.jp/data/china/image_1927th/82571843.pdf","82571843")</f>
        <v>82571843</v>
      </c>
      <c r="F2305" s="9" t="s">
        <v>6369</v>
      </c>
      <c r="G2305" s="9" t="s">
        <v>232</v>
      </c>
      <c r="H2305" s="9" t="s">
        <v>6370</v>
      </c>
      <c r="I2305" s="10">
        <v>45642</v>
      </c>
    </row>
    <row r="2306" spans="1:9" x14ac:dyDescent="0.15">
      <c r="A2306" s="9">
        <v>2305</v>
      </c>
      <c r="B2306" s="9" t="s">
        <v>9</v>
      </c>
      <c r="C2306" s="9">
        <v>1927</v>
      </c>
      <c r="D2306" s="10">
        <v>45729</v>
      </c>
      <c r="E2306" s="11" t="str">
        <f>+HYPERLINK("http://trademark.i-assist.jp/data/china/image_1927th/82571932.pdf","82571932")</f>
        <v>82571932</v>
      </c>
      <c r="F2306" s="9" t="s">
        <v>6371</v>
      </c>
      <c r="G2306" s="9" t="s">
        <v>6080</v>
      </c>
      <c r="H2306" s="9" t="s">
        <v>6372</v>
      </c>
      <c r="I2306" s="10">
        <v>45642</v>
      </c>
    </row>
    <row r="2307" spans="1:9" x14ac:dyDescent="0.15">
      <c r="A2307" s="9">
        <v>2306</v>
      </c>
      <c r="B2307" s="9" t="s">
        <v>9</v>
      </c>
      <c r="C2307" s="9">
        <v>1927</v>
      </c>
      <c r="D2307" s="10">
        <v>45729</v>
      </c>
      <c r="E2307" s="11" t="str">
        <f>+HYPERLINK("http://trademark.i-assist.jp/data/china/image_1927th/82572019.pdf","82572019")</f>
        <v>82572019</v>
      </c>
      <c r="F2307" s="9" t="s">
        <v>6373</v>
      </c>
      <c r="G2307" s="12" t="s">
        <v>112</v>
      </c>
      <c r="H2307" s="9" t="s">
        <v>6374</v>
      </c>
      <c r="I2307" s="10">
        <v>45642</v>
      </c>
    </row>
    <row r="2308" spans="1:9" x14ac:dyDescent="0.15">
      <c r="A2308" s="9">
        <v>2307</v>
      </c>
      <c r="B2308" s="9" t="s">
        <v>9</v>
      </c>
      <c r="C2308" s="9">
        <v>1927</v>
      </c>
      <c r="D2308" s="10">
        <v>45729</v>
      </c>
      <c r="E2308" s="11" t="str">
        <f>+HYPERLINK("http://trademark.i-assist.jp/data/china/image_1927th/82572020.pdf","82572020")</f>
        <v>82572020</v>
      </c>
      <c r="F2308" s="9" t="s">
        <v>6375</v>
      </c>
      <c r="G2308" s="12" t="s">
        <v>6376</v>
      </c>
      <c r="H2308" s="9" t="s">
        <v>6377</v>
      </c>
      <c r="I2308" s="10">
        <v>45642</v>
      </c>
    </row>
    <row r="2309" spans="1:9" x14ac:dyDescent="0.15">
      <c r="A2309" s="9">
        <v>2308</v>
      </c>
      <c r="B2309" s="9" t="s">
        <v>9</v>
      </c>
      <c r="C2309" s="9">
        <v>1927</v>
      </c>
      <c r="D2309" s="10">
        <v>45729</v>
      </c>
      <c r="E2309" s="11" t="str">
        <f>+HYPERLINK("http://trademark.i-assist.jp/data/china/image_1927th/82572174.pdf","82572174")</f>
        <v>82572174</v>
      </c>
      <c r="F2309" s="9" t="s">
        <v>6378</v>
      </c>
      <c r="G2309" s="9" t="s">
        <v>6379</v>
      </c>
      <c r="H2309" s="9" t="s">
        <v>6380</v>
      </c>
      <c r="I2309" s="10">
        <v>45642</v>
      </c>
    </row>
    <row r="2310" spans="1:9" x14ac:dyDescent="0.15">
      <c r="A2310" s="9">
        <v>2309</v>
      </c>
      <c r="B2310" s="9" t="s">
        <v>9</v>
      </c>
      <c r="C2310" s="9">
        <v>1927</v>
      </c>
      <c r="D2310" s="10">
        <v>45729</v>
      </c>
      <c r="E2310" s="11" t="str">
        <f>+HYPERLINK("http://trademark.i-assist.jp/data/china/image_1927th/82572321.pdf","82572321")</f>
        <v>82572321</v>
      </c>
      <c r="F2310" s="12" t="s">
        <v>16</v>
      </c>
      <c r="G2310" s="9" t="s">
        <v>3717</v>
      </c>
      <c r="H2310" s="9" t="s">
        <v>6381</v>
      </c>
      <c r="I2310" s="10">
        <v>45642</v>
      </c>
    </row>
    <row r="2311" spans="1:9" x14ac:dyDescent="0.15">
      <c r="A2311" s="9">
        <v>2310</v>
      </c>
      <c r="B2311" s="9" t="s">
        <v>9</v>
      </c>
      <c r="C2311" s="9">
        <v>1927</v>
      </c>
      <c r="D2311" s="10">
        <v>45729</v>
      </c>
      <c r="E2311" s="11" t="str">
        <f>+HYPERLINK("http://trademark.i-assist.jp/data/china/image_1927th/82572470.pdf","82572470")</f>
        <v>82572470</v>
      </c>
      <c r="F2311" s="12" t="s">
        <v>6382</v>
      </c>
      <c r="G2311" s="9" t="s">
        <v>6383</v>
      </c>
      <c r="H2311" s="9" t="s">
        <v>6384</v>
      </c>
      <c r="I2311" s="10">
        <v>45642</v>
      </c>
    </row>
    <row r="2312" spans="1:9" x14ac:dyDescent="0.15">
      <c r="A2312" s="9">
        <v>2311</v>
      </c>
      <c r="B2312" s="9" t="s">
        <v>9</v>
      </c>
      <c r="C2312" s="9">
        <v>1927</v>
      </c>
      <c r="D2312" s="10">
        <v>45729</v>
      </c>
      <c r="E2312" s="11" t="str">
        <f>+HYPERLINK("http://trademark.i-assist.jp/data/china/image_1927th/82572745.pdf","82572745")</f>
        <v>82572745</v>
      </c>
      <c r="F2312" s="12" t="s">
        <v>16</v>
      </c>
      <c r="G2312" s="9" t="s">
        <v>6177</v>
      </c>
      <c r="H2312" s="9" t="s">
        <v>6385</v>
      </c>
      <c r="I2312" s="10">
        <v>45642</v>
      </c>
    </row>
    <row r="2313" spans="1:9" x14ac:dyDescent="0.15">
      <c r="A2313" s="9">
        <v>2312</v>
      </c>
      <c r="B2313" s="9" t="s">
        <v>9</v>
      </c>
      <c r="C2313" s="9">
        <v>1927</v>
      </c>
      <c r="D2313" s="10">
        <v>45729</v>
      </c>
      <c r="E2313" s="11" t="str">
        <f>+HYPERLINK("http://trademark.i-assist.jp/data/china/image_1927th/82573058.pdf","82573058")</f>
        <v>82573058</v>
      </c>
      <c r="F2313" s="9" t="s">
        <v>6386</v>
      </c>
      <c r="G2313" s="9" t="s">
        <v>6387</v>
      </c>
      <c r="H2313" s="9" t="s">
        <v>6388</v>
      </c>
      <c r="I2313" s="10">
        <v>45641</v>
      </c>
    </row>
    <row r="2314" spans="1:9" x14ac:dyDescent="0.15">
      <c r="A2314" s="9">
        <v>2313</v>
      </c>
      <c r="B2314" s="9" t="s">
        <v>9</v>
      </c>
      <c r="C2314" s="9">
        <v>1927</v>
      </c>
      <c r="D2314" s="10">
        <v>45729</v>
      </c>
      <c r="E2314" s="11" t="str">
        <f>+HYPERLINK("http://trademark.i-assist.jp/data/china/image_1927th/82573486.pdf","82573486")</f>
        <v>82573486</v>
      </c>
      <c r="F2314" s="9" t="s">
        <v>6389</v>
      </c>
      <c r="G2314" s="9" t="s">
        <v>6390</v>
      </c>
      <c r="H2314" s="9" t="s">
        <v>6391</v>
      </c>
      <c r="I2314" s="10">
        <v>45642</v>
      </c>
    </row>
    <row r="2315" spans="1:9" x14ac:dyDescent="0.15">
      <c r="A2315" s="9">
        <v>2314</v>
      </c>
      <c r="B2315" s="9" t="s">
        <v>9</v>
      </c>
      <c r="C2315" s="9">
        <v>1927</v>
      </c>
      <c r="D2315" s="10">
        <v>45729</v>
      </c>
      <c r="E2315" s="11" t="str">
        <f>+HYPERLINK("http://trademark.i-assist.jp/data/china/image_1927th/82573555.pdf","82573555")</f>
        <v>82573555</v>
      </c>
      <c r="F2315" s="9" t="s">
        <v>6392</v>
      </c>
      <c r="G2315" s="9" t="s">
        <v>6393</v>
      </c>
      <c r="H2315" s="9" t="s">
        <v>6394</v>
      </c>
      <c r="I2315" s="10">
        <v>45642</v>
      </c>
    </row>
    <row r="2316" spans="1:9" x14ac:dyDescent="0.15">
      <c r="A2316" s="9">
        <v>2315</v>
      </c>
      <c r="B2316" s="9" t="s">
        <v>9</v>
      </c>
      <c r="C2316" s="9">
        <v>1927</v>
      </c>
      <c r="D2316" s="10">
        <v>45729</v>
      </c>
      <c r="E2316" s="11" t="str">
        <f>+HYPERLINK("http://trademark.i-assist.jp/data/china/image_1927th/82573627.pdf","82573627")</f>
        <v>82573627</v>
      </c>
      <c r="F2316" s="9" t="s">
        <v>6395</v>
      </c>
      <c r="G2316" s="9" t="s">
        <v>6396</v>
      </c>
      <c r="H2316" s="9" t="s">
        <v>6397</v>
      </c>
      <c r="I2316" s="10">
        <v>45642</v>
      </c>
    </row>
    <row r="2317" spans="1:9" x14ac:dyDescent="0.15">
      <c r="A2317" s="9">
        <v>2316</v>
      </c>
      <c r="B2317" s="9" t="s">
        <v>9</v>
      </c>
      <c r="C2317" s="9">
        <v>1927</v>
      </c>
      <c r="D2317" s="10">
        <v>45729</v>
      </c>
      <c r="E2317" s="11" t="str">
        <f>+HYPERLINK("http://trademark.i-assist.jp/data/china/image_1927th/82573835.pdf","82573835")</f>
        <v>82573835</v>
      </c>
      <c r="F2317" s="9" t="s">
        <v>6398</v>
      </c>
      <c r="G2317" s="9" t="s">
        <v>6399</v>
      </c>
      <c r="H2317" s="9" t="s">
        <v>6400</v>
      </c>
      <c r="I2317" s="10">
        <v>45642</v>
      </c>
    </row>
    <row r="2318" spans="1:9" x14ac:dyDescent="0.15">
      <c r="A2318" s="9">
        <v>2317</v>
      </c>
      <c r="B2318" s="9" t="s">
        <v>9</v>
      </c>
      <c r="C2318" s="9">
        <v>1927</v>
      </c>
      <c r="D2318" s="10">
        <v>45729</v>
      </c>
      <c r="E2318" s="11" t="str">
        <f>+HYPERLINK("http://trademark.i-assist.jp/data/china/image_1927th/82573861.pdf","82573861")</f>
        <v>82573861</v>
      </c>
      <c r="F2318" s="9" t="s">
        <v>6401</v>
      </c>
      <c r="G2318" s="9" t="s">
        <v>6402</v>
      </c>
      <c r="H2318" s="9" t="s">
        <v>6403</v>
      </c>
      <c r="I2318" s="10">
        <v>45642</v>
      </c>
    </row>
    <row r="2319" spans="1:9" x14ac:dyDescent="0.15">
      <c r="A2319" s="9">
        <v>2318</v>
      </c>
      <c r="B2319" s="9" t="s">
        <v>9</v>
      </c>
      <c r="C2319" s="9">
        <v>1927</v>
      </c>
      <c r="D2319" s="10">
        <v>45729</v>
      </c>
      <c r="E2319" s="11" t="str">
        <f>+HYPERLINK("http://trademark.i-assist.jp/data/china/image_1927th/82574105.pdf","82574105")</f>
        <v>82574105</v>
      </c>
      <c r="F2319" s="9" t="s">
        <v>6404</v>
      </c>
      <c r="G2319" s="9" t="s">
        <v>6405</v>
      </c>
      <c r="H2319" s="12" t="s">
        <v>6406</v>
      </c>
      <c r="I2319" s="10">
        <v>45641</v>
      </c>
    </row>
    <row r="2320" spans="1:9" x14ac:dyDescent="0.15">
      <c r="A2320" s="9">
        <v>2319</v>
      </c>
      <c r="B2320" s="9" t="s">
        <v>9</v>
      </c>
      <c r="C2320" s="9">
        <v>1927</v>
      </c>
      <c r="D2320" s="10">
        <v>45729</v>
      </c>
      <c r="E2320" s="11" t="str">
        <f>+HYPERLINK("http://trademark.i-assist.jp/data/china/image_1927th/82574239.pdf","82574239")</f>
        <v>82574239</v>
      </c>
      <c r="F2320" s="9" t="s">
        <v>6407</v>
      </c>
      <c r="G2320" s="12" t="s">
        <v>71</v>
      </c>
      <c r="H2320" s="12" t="s">
        <v>6408</v>
      </c>
      <c r="I2320" s="10">
        <v>45642</v>
      </c>
    </row>
    <row r="2321" spans="1:9" x14ac:dyDescent="0.15">
      <c r="A2321" s="9">
        <v>2320</v>
      </c>
      <c r="B2321" s="9" t="s">
        <v>9</v>
      </c>
      <c r="C2321" s="9">
        <v>1927</v>
      </c>
      <c r="D2321" s="10">
        <v>45729</v>
      </c>
      <c r="E2321" s="11" t="str">
        <f>+HYPERLINK("http://trademark.i-assist.jp/data/china/image_1927th/82574466.pdf","82574466")</f>
        <v>82574466</v>
      </c>
      <c r="F2321" s="9" t="s">
        <v>6409</v>
      </c>
      <c r="G2321" s="9" t="s">
        <v>6155</v>
      </c>
      <c r="H2321" s="9" t="s">
        <v>6410</v>
      </c>
      <c r="I2321" s="10">
        <v>45642</v>
      </c>
    </row>
    <row r="2322" spans="1:9" x14ac:dyDescent="0.15">
      <c r="A2322" s="9">
        <v>2321</v>
      </c>
      <c r="B2322" s="9" t="s">
        <v>9</v>
      </c>
      <c r="C2322" s="9">
        <v>1927</v>
      </c>
      <c r="D2322" s="10">
        <v>45729</v>
      </c>
      <c r="E2322" s="11" t="str">
        <f>+HYPERLINK("http://trademark.i-assist.jp/data/china/image_1927th/82574475.pdf","82574475")</f>
        <v>82574475</v>
      </c>
      <c r="F2322" s="9" t="s">
        <v>6411</v>
      </c>
      <c r="G2322" s="9" t="s">
        <v>6412</v>
      </c>
      <c r="H2322" s="9" t="s">
        <v>6413</v>
      </c>
      <c r="I2322" s="10">
        <v>45642</v>
      </c>
    </row>
    <row r="2323" spans="1:9" x14ac:dyDescent="0.15">
      <c r="A2323" s="9">
        <v>2322</v>
      </c>
      <c r="B2323" s="9" t="s">
        <v>9</v>
      </c>
      <c r="C2323" s="9">
        <v>1927</v>
      </c>
      <c r="D2323" s="10">
        <v>45729</v>
      </c>
      <c r="E2323" s="11" t="str">
        <f>+HYPERLINK("http://trademark.i-assist.jp/data/china/image_1927th/82574524.pdf","82574524")</f>
        <v>82574524</v>
      </c>
      <c r="F2323" s="9" t="s">
        <v>6414</v>
      </c>
      <c r="G2323" s="9" t="s">
        <v>6415</v>
      </c>
      <c r="H2323" s="9" t="s">
        <v>6416</v>
      </c>
      <c r="I2323" s="10">
        <v>45642</v>
      </c>
    </row>
    <row r="2324" spans="1:9" x14ac:dyDescent="0.15">
      <c r="A2324" s="9">
        <v>2323</v>
      </c>
      <c r="B2324" s="9" t="s">
        <v>9</v>
      </c>
      <c r="C2324" s="9">
        <v>1927</v>
      </c>
      <c r="D2324" s="10">
        <v>45729</v>
      </c>
      <c r="E2324" s="11" t="str">
        <f>+HYPERLINK("http://trademark.i-assist.jp/data/china/image_1927th/82574602.pdf","82574602")</f>
        <v>82574602</v>
      </c>
      <c r="F2324" s="9" t="s">
        <v>6417</v>
      </c>
      <c r="G2324" s="9" t="s">
        <v>6418</v>
      </c>
      <c r="H2324" s="12" t="s">
        <v>6419</v>
      </c>
      <c r="I2324" s="10">
        <v>45642</v>
      </c>
    </row>
    <row r="2325" spans="1:9" x14ac:dyDescent="0.15">
      <c r="A2325" s="9">
        <v>2324</v>
      </c>
      <c r="B2325" s="9" t="s">
        <v>9</v>
      </c>
      <c r="C2325" s="9">
        <v>1927</v>
      </c>
      <c r="D2325" s="10">
        <v>45729</v>
      </c>
      <c r="E2325" s="11" t="str">
        <f>+HYPERLINK("http://trademark.i-assist.jp/data/china/image_1927th/82574691.pdf","82574691")</f>
        <v>82574691</v>
      </c>
      <c r="F2325" s="12" t="s">
        <v>16</v>
      </c>
      <c r="G2325" s="9" t="s">
        <v>6420</v>
      </c>
      <c r="H2325" s="9" t="s">
        <v>6421</v>
      </c>
      <c r="I2325" s="10">
        <v>45642</v>
      </c>
    </row>
    <row r="2326" spans="1:9" x14ac:dyDescent="0.15">
      <c r="A2326" s="9">
        <v>2325</v>
      </c>
      <c r="B2326" s="9" t="s">
        <v>9</v>
      </c>
      <c r="C2326" s="9">
        <v>1927</v>
      </c>
      <c r="D2326" s="10">
        <v>45729</v>
      </c>
      <c r="E2326" s="11" t="str">
        <f>+HYPERLINK("http://trademark.i-assist.jp/data/china/image_1927th/82574802.pdf","82574802")</f>
        <v>82574802</v>
      </c>
      <c r="F2326" s="9" t="s">
        <v>6422</v>
      </c>
      <c r="G2326" s="9" t="s">
        <v>6423</v>
      </c>
      <c r="H2326" s="9" t="s">
        <v>6424</v>
      </c>
      <c r="I2326" s="10">
        <v>45642</v>
      </c>
    </row>
    <row r="2327" spans="1:9" x14ac:dyDescent="0.15">
      <c r="A2327" s="9">
        <v>2326</v>
      </c>
      <c r="B2327" s="9" t="s">
        <v>9</v>
      </c>
      <c r="C2327" s="9">
        <v>1927</v>
      </c>
      <c r="D2327" s="10">
        <v>45729</v>
      </c>
      <c r="E2327" s="11" t="str">
        <f>+HYPERLINK("http://trademark.i-assist.jp/data/china/image_1927th/82575034.pdf","82575034")</f>
        <v>82575034</v>
      </c>
      <c r="F2327" s="12" t="s">
        <v>6425</v>
      </c>
      <c r="G2327" s="9" t="s">
        <v>6426</v>
      </c>
      <c r="H2327" s="12" t="s">
        <v>6427</v>
      </c>
      <c r="I2327" s="10">
        <v>45641</v>
      </c>
    </row>
    <row r="2328" spans="1:9" x14ac:dyDescent="0.15">
      <c r="A2328" s="9">
        <v>2327</v>
      </c>
      <c r="B2328" s="9" t="s">
        <v>9</v>
      </c>
      <c r="C2328" s="9">
        <v>1927</v>
      </c>
      <c r="D2328" s="10">
        <v>45729</v>
      </c>
      <c r="E2328" s="11" t="str">
        <f>+HYPERLINK("http://trademark.i-assist.jp/data/china/image_1927th/82575141.pdf","82575141")</f>
        <v>82575141</v>
      </c>
      <c r="F2328" s="9" t="s">
        <v>6428</v>
      </c>
      <c r="G2328" s="9" t="s">
        <v>6429</v>
      </c>
      <c r="H2328" s="9" t="s">
        <v>6430</v>
      </c>
      <c r="I2328" s="10">
        <v>45642</v>
      </c>
    </row>
    <row r="2329" spans="1:9" x14ac:dyDescent="0.15">
      <c r="A2329" s="9">
        <v>2328</v>
      </c>
      <c r="B2329" s="9" t="s">
        <v>9</v>
      </c>
      <c r="C2329" s="9">
        <v>1927</v>
      </c>
      <c r="D2329" s="10">
        <v>45729</v>
      </c>
      <c r="E2329" s="11" t="str">
        <f>+HYPERLINK("http://trademark.i-assist.jp/data/china/image_1927th/82575456.pdf","82575456")</f>
        <v>82575456</v>
      </c>
      <c r="F2329" s="9" t="s">
        <v>6431</v>
      </c>
      <c r="G2329" s="12" t="s">
        <v>6432</v>
      </c>
      <c r="H2329" s="9" t="s">
        <v>6433</v>
      </c>
      <c r="I2329" s="10">
        <v>45642</v>
      </c>
    </row>
    <row r="2330" spans="1:9" x14ac:dyDescent="0.15">
      <c r="A2330" s="9">
        <v>2329</v>
      </c>
      <c r="B2330" s="9" t="s">
        <v>9</v>
      </c>
      <c r="C2330" s="9">
        <v>1927</v>
      </c>
      <c r="D2330" s="10">
        <v>45729</v>
      </c>
      <c r="E2330" s="11" t="str">
        <f>+HYPERLINK("http://trademark.i-assist.jp/data/china/image_1927th/82576011.pdf","82576011")</f>
        <v>82576011</v>
      </c>
      <c r="F2330" s="9" t="s">
        <v>6434</v>
      </c>
      <c r="G2330" s="9" t="s">
        <v>6435</v>
      </c>
      <c r="H2330" s="9" t="s">
        <v>6436</v>
      </c>
      <c r="I2330" s="10">
        <v>45642</v>
      </c>
    </row>
    <row r="2331" spans="1:9" x14ac:dyDescent="0.15">
      <c r="A2331" s="9">
        <v>2330</v>
      </c>
      <c r="B2331" s="9" t="s">
        <v>9</v>
      </c>
      <c r="C2331" s="9">
        <v>1927</v>
      </c>
      <c r="D2331" s="10">
        <v>45729</v>
      </c>
      <c r="E2331" s="11" t="str">
        <f>+HYPERLINK("http://trademark.i-assist.jp/data/china/image_1927th/82576019.pdf","82576019")</f>
        <v>82576019</v>
      </c>
      <c r="F2331" s="9" t="s">
        <v>6437</v>
      </c>
      <c r="G2331" s="12" t="s">
        <v>6438</v>
      </c>
      <c r="H2331" s="9" t="s">
        <v>6439</v>
      </c>
      <c r="I2331" s="10">
        <v>45642</v>
      </c>
    </row>
    <row r="2332" spans="1:9" x14ac:dyDescent="0.15">
      <c r="A2332" s="9">
        <v>2331</v>
      </c>
      <c r="B2332" s="9" t="s">
        <v>9</v>
      </c>
      <c r="C2332" s="9">
        <v>1927</v>
      </c>
      <c r="D2332" s="10">
        <v>45729</v>
      </c>
      <c r="E2332" s="11" t="str">
        <f>+HYPERLINK("http://trademark.i-assist.jp/data/china/image_1927th/82576376.pdf","82576376")</f>
        <v>82576376</v>
      </c>
      <c r="F2332" s="9" t="s">
        <v>6440</v>
      </c>
      <c r="G2332" s="9" t="s">
        <v>6441</v>
      </c>
      <c r="H2332" s="9" t="s">
        <v>6442</v>
      </c>
      <c r="I2332" s="10">
        <v>45642</v>
      </c>
    </row>
    <row r="2333" spans="1:9" x14ac:dyDescent="0.15">
      <c r="A2333" s="9">
        <v>2332</v>
      </c>
      <c r="B2333" s="9" t="s">
        <v>9</v>
      </c>
      <c r="C2333" s="9">
        <v>1927</v>
      </c>
      <c r="D2333" s="10">
        <v>45729</v>
      </c>
      <c r="E2333" s="11" t="str">
        <f>+HYPERLINK("http://trademark.i-assist.jp/data/china/image_1927th/82576475.pdf","82576475")</f>
        <v>82576475</v>
      </c>
      <c r="F2333" s="12" t="s">
        <v>6443</v>
      </c>
      <c r="G2333" s="9" t="s">
        <v>6444</v>
      </c>
      <c r="H2333" s="12" t="s">
        <v>6445</v>
      </c>
      <c r="I2333" s="10">
        <v>45642</v>
      </c>
    </row>
    <row r="2334" spans="1:9" x14ac:dyDescent="0.15">
      <c r="A2334" s="9">
        <v>2333</v>
      </c>
      <c r="B2334" s="9" t="s">
        <v>9</v>
      </c>
      <c r="C2334" s="9">
        <v>1927</v>
      </c>
      <c r="D2334" s="10">
        <v>45729</v>
      </c>
      <c r="E2334" s="11" t="str">
        <f>+HYPERLINK("http://trademark.i-assist.jp/data/china/image_1927th/82576949.pdf","82576949")</f>
        <v>82576949</v>
      </c>
      <c r="F2334" s="9" t="s">
        <v>6446</v>
      </c>
      <c r="G2334" s="12" t="s">
        <v>6447</v>
      </c>
      <c r="H2334" s="12" t="s">
        <v>6448</v>
      </c>
      <c r="I2334" s="10">
        <v>45642</v>
      </c>
    </row>
    <row r="2335" spans="1:9" x14ac:dyDescent="0.15">
      <c r="A2335" s="9">
        <v>2334</v>
      </c>
      <c r="B2335" s="9" t="s">
        <v>9</v>
      </c>
      <c r="C2335" s="9">
        <v>1927</v>
      </c>
      <c r="D2335" s="10">
        <v>45729</v>
      </c>
      <c r="E2335" s="11" t="str">
        <f>+HYPERLINK("http://trademark.i-assist.jp/data/china/image_1927th/82577152.pdf","82577152")</f>
        <v>82577152</v>
      </c>
      <c r="F2335" s="12" t="s">
        <v>6449</v>
      </c>
      <c r="G2335" s="12" t="s">
        <v>6279</v>
      </c>
      <c r="H2335" s="12" t="s">
        <v>6450</v>
      </c>
      <c r="I2335" s="10">
        <v>45642</v>
      </c>
    </row>
    <row r="2336" spans="1:9" x14ac:dyDescent="0.15">
      <c r="A2336" s="9">
        <v>2335</v>
      </c>
      <c r="B2336" s="9" t="s">
        <v>9</v>
      </c>
      <c r="C2336" s="9">
        <v>1927</v>
      </c>
      <c r="D2336" s="10">
        <v>45729</v>
      </c>
      <c r="E2336" s="11" t="str">
        <f>+HYPERLINK("http://trademark.i-assist.jp/data/china/image_1927th/82577258.pdf","82577258")</f>
        <v>82577258</v>
      </c>
      <c r="F2336" s="9" t="s">
        <v>6451</v>
      </c>
      <c r="G2336" s="9" t="s">
        <v>6452</v>
      </c>
      <c r="H2336" s="9" t="s">
        <v>6453</v>
      </c>
      <c r="I2336" s="10">
        <v>45642</v>
      </c>
    </row>
    <row r="2337" spans="1:9" x14ac:dyDescent="0.15">
      <c r="A2337" s="9">
        <v>2336</v>
      </c>
      <c r="B2337" s="9" t="s">
        <v>9</v>
      </c>
      <c r="C2337" s="9">
        <v>1927</v>
      </c>
      <c r="D2337" s="10">
        <v>45729</v>
      </c>
      <c r="E2337" s="11" t="str">
        <f>+HYPERLINK("http://trademark.i-assist.jp/data/china/image_1927th/82577868.pdf","82577868")</f>
        <v>82577868</v>
      </c>
      <c r="F2337" s="9" t="s">
        <v>6454</v>
      </c>
      <c r="G2337" s="12" t="s">
        <v>6455</v>
      </c>
      <c r="H2337" s="9" t="s">
        <v>6456</v>
      </c>
      <c r="I2337" s="10">
        <v>45642</v>
      </c>
    </row>
    <row r="2338" spans="1:9" x14ac:dyDescent="0.15">
      <c r="A2338" s="9">
        <v>2337</v>
      </c>
      <c r="B2338" s="9" t="s">
        <v>9</v>
      </c>
      <c r="C2338" s="9">
        <v>1927</v>
      </c>
      <c r="D2338" s="10">
        <v>45729</v>
      </c>
      <c r="E2338" s="11" t="str">
        <f>+HYPERLINK("http://trademark.i-assist.jp/data/china/image_1927th/82578097.pdf","82578097")</f>
        <v>82578097</v>
      </c>
      <c r="F2338" s="9" t="s">
        <v>6457</v>
      </c>
      <c r="G2338" s="9" t="s">
        <v>22</v>
      </c>
      <c r="H2338" s="9" t="s">
        <v>6458</v>
      </c>
      <c r="I2338" s="10">
        <v>45642</v>
      </c>
    </row>
    <row r="2339" spans="1:9" x14ac:dyDescent="0.15">
      <c r="A2339" s="9">
        <v>2338</v>
      </c>
      <c r="B2339" s="9" t="s">
        <v>9</v>
      </c>
      <c r="C2339" s="9">
        <v>1927</v>
      </c>
      <c r="D2339" s="10">
        <v>45729</v>
      </c>
      <c r="E2339" s="11" t="str">
        <f>+HYPERLINK("http://trademark.i-assist.jp/data/china/image_1927th/82578100.pdf","82578100")</f>
        <v>82578100</v>
      </c>
      <c r="F2339" s="9" t="s">
        <v>6459</v>
      </c>
      <c r="G2339" s="9" t="s">
        <v>6460</v>
      </c>
      <c r="H2339" s="9" t="s">
        <v>6461</v>
      </c>
      <c r="I2339" s="10">
        <v>45642</v>
      </c>
    </row>
    <row r="2340" spans="1:9" x14ac:dyDescent="0.15">
      <c r="A2340" s="9">
        <v>2339</v>
      </c>
      <c r="B2340" s="9" t="s">
        <v>9</v>
      </c>
      <c r="C2340" s="9">
        <v>1927</v>
      </c>
      <c r="D2340" s="10">
        <v>45729</v>
      </c>
      <c r="E2340" s="11" t="str">
        <f>+HYPERLINK("http://trademark.i-assist.jp/data/china/image_1927th/82578500.pdf","82578500")</f>
        <v>82578500</v>
      </c>
      <c r="F2340" s="9" t="s">
        <v>6462</v>
      </c>
      <c r="G2340" s="9" t="s">
        <v>6463</v>
      </c>
      <c r="H2340" s="12" t="s">
        <v>6464</v>
      </c>
      <c r="I2340" s="10">
        <v>45642</v>
      </c>
    </row>
    <row r="2341" spans="1:9" x14ac:dyDescent="0.15">
      <c r="A2341" s="9">
        <v>2340</v>
      </c>
      <c r="B2341" s="9" t="s">
        <v>9</v>
      </c>
      <c r="C2341" s="9">
        <v>1927</v>
      </c>
      <c r="D2341" s="10">
        <v>45729</v>
      </c>
      <c r="E2341" s="11" t="str">
        <f>+HYPERLINK("http://trademark.i-assist.jp/data/china/image_1927th/82578608.pdf","82578608")</f>
        <v>82578608</v>
      </c>
      <c r="F2341" s="9" t="s">
        <v>6465</v>
      </c>
      <c r="G2341" s="9" t="s">
        <v>6466</v>
      </c>
      <c r="H2341" s="9" t="s">
        <v>6467</v>
      </c>
      <c r="I2341" s="10">
        <v>45642</v>
      </c>
    </row>
    <row r="2342" spans="1:9" x14ac:dyDescent="0.15">
      <c r="A2342" s="9">
        <v>2341</v>
      </c>
      <c r="B2342" s="9" t="s">
        <v>9</v>
      </c>
      <c r="C2342" s="9">
        <v>1927</v>
      </c>
      <c r="D2342" s="10">
        <v>45729</v>
      </c>
      <c r="E2342" s="11" t="str">
        <f>+HYPERLINK("http://trademark.i-assist.jp/data/china/image_1927th/82578694.pdf","82578694")</f>
        <v>82578694</v>
      </c>
      <c r="F2342" s="9" t="s">
        <v>6468</v>
      </c>
      <c r="G2342" s="9" t="s">
        <v>6469</v>
      </c>
      <c r="H2342" s="9" t="s">
        <v>6470</v>
      </c>
      <c r="I2342" s="10">
        <v>45642</v>
      </c>
    </row>
    <row r="2343" spans="1:9" x14ac:dyDescent="0.15">
      <c r="A2343" s="9">
        <v>2342</v>
      </c>
      <c r="B2343" s="9" t="s">
        <v>9</v>
      </c>
      <c r="C2343" s="9">
        <v>1927</v>
      </c>
      <c r="D2343" s="10">
        <v>45729</v>
      </c>
      <c r="E2343" s="11" t="str">
        <f>+HYPERLINK("http://trademark.i-assist.jp/data/china/image_1927th/82579097.pdf","82579097")</f>
        <v>82579097</v>
      </c>
      <c r="F2343" s="9" t="s">
        <v>6471</v>
      </c>
      <c r="G2343" s="12" t="s">
        <v>19</v>
      </c>
      <c r="H2343" s="9" t="s">
        <v>6472</v>
      </c>
      <c r="I2343" s="10">
        <v>45642</v>
      </c>
    </row>
    <row r="2344" spans="1:9" x14ac:dyDescent="0.15">
      <c r="A2344" s="9">
        <v>2343</v>
      </c>
      <c r="B2344" s="9" t="s">
        <v>9</v>
      </c>
      <c r="C2344" s="9">
        <v>1927</v>
      </c>
      <c r="D2344" s="10">
        <v>45729</v>
      </c>
      <c r="E2344" s="11" t="str">
        <f>+HYPERLINK("http://trademark.i-assist.jp/data/china/image_1927th/82579115.pdf","82579115")</f>
        <v>82579115</v>
      </c>
      <c r="F2344" s="9" t="s">
        <v>6473</v>
      </c>
      <c r="G2344" s="12" t="s">
        <v>6474</v>
      </c>
      <c r="H2344" s="9" t="s">
        <v>6475</v>
      </c>
      <c r="I2344" s="10">
        <v>45642</v>
      </c>
    </row>
    <row r="2345" spans="1:9" x14ac:dyDescent="0.15">
      <c r="A2345" s="9">
        <v>2344</v>
      </c>
      <c r="B2345" s="9" t="s">
        <v>9</v>
      </c>
      <c r="C2345" s="9">
        <v>1927</v>
      </c>
      <c r="D2345" s="10">
        <v>45729</v>
      </c>
      <c r="E2345" s="11" t="str">
        <f>+HYPERLINK("http://trademark.i-assist.jp/data/china/image_1927th/82579234.pdf","82579234")</f>
        <v>82579234</v>
      </c>
      <c r="F2345" s="9" t="s">
        <v>6476</v>
      </c>
      <c r="G2345" s="12" t="s">
        <v>19</v>
      </c>
      <c r="H2345" s="9" t="s">
        <v>6477</v>
      </c>
      <c r="I2345" s="10">
        <v>45642</v>
      </c>
    </row>
    <row r="2346" spans="1:9" x14ac:dyDescent="0.15">
      <c r="A2346" s="9">
        <v>2345</v>
      </c>
      <c r="B2346" s="9" t="s">
        <v>9</v>
      </c>
      <c r="C2346" s="9">
        <v>1927</v>
      </c>
      <c r="D2346" s="10">
        <v>45729</v>
      </c>
      <c r="E2346" s="11" t="str">
        <f>+HYPERLINK("http://trademark.i-assist.jp/data/china/image_1927th/82579900.pdf","82579900")</f>
        <v>82579900</v>
      </c>
      <c r="F2346" s="12" t="s">
        <v>16</v>
      </c>
      <c r="G2346" s="9" t="s">
        <v>6478</v>
      </c>
      <c r="H2346" s="12" t="s">
        <v>6479</v>
      </c>
      <c r="I2346" s="10">
        <v>45642</v>
      </c>
    </row>
    <row r="2347" spans="1:9" x14ac:dyDescent="0.15">
      <c r="A2347" s="9">
        <v>2346</v>
      </c>
      <c r="B2347" s="9" t="s">
        <v>9</v>
      </c>
      <c r="C2347" s="9">
        <v>1927</v>
      </c>
      <c r="D2347" s="10">
        <v>45729</v>
      </c>
      <c r="E2347" s="11" t="str">
        <f>+HYPERLINK("http://trademark.i-assist.jp/data/china/image_1927th/82580085.pdf","82580085")</f>
        <v>82580085</v>
      </c>
      <c r="F2347" s="12" t="s">
        <v>6480</v>
      </c>
      <c r="G2347" s="9" t="s">
        <v>6390</v>
      </c>
      <c r="H2347" s="9" t="s">
        <v>6481</v>
      </c>
      <c r="I2347" s="10">
        <v>45642</v>
      </c>
    </row>
    <row r="2348" spans="1:9" x14ac:dyDescent="0.15">
      <c r="A2348" s="9">
        <v>2347</v>
      </c>
      <c r="B2348" s="9" t="s">
        <v>9</v>
      </c>
      <c r="C2348" s="9">
        <v>1927</v>
      </c>
      <c r="D2348" s="10">
        <v>45729</v>
      </c>
      <c r="E2348" s="11" t="str">
        <f>+HYPERLINK("http://trademark.i-assist.jp/data/china/image_1927th/82580093.pdf","82580093")</f>
        <v>82580093</v>
      </c>
      <c r="F2348" s="12" t="s">
        <v>6482</v>
      </c>
      <c r="G2348" s="9" t="s">
        <v>6483</v>
      </c>
      <c r="H2348" s="9" t="s">
        <v>6484</v>
      </c>
      <c r="I2348" s="10">
        <v>45642</v>
      </c>
    </row>
    <row r="2349" spans="1:9" x14ac:dyDescent="0.15">
      <c r="A2349" s="9">
        <v>2348</v>
      </c>
      <c r="B2349" s="9" t="s">
        <v>9</v>
      </c>
      <c r="C2349" s="9">
        <v>1927</v>
      </c>
      <c r="D2349" s="10">
        <v>45729</v>
      </c>
      <c r="E2349" s="11" t="str">
        <f>+HYPERLINK("http://trademark.i-assist.jp/data/china/image_1927th/82580285.pdf","82580285")</f>
        <v>82580285</v>
      </c>
      <c r="F2349" s="9" t="s">
        <v>6485</v>
      </c>
      <c r="G2349" s="12" t="s">
        <v>6486</v>
      </c>
      <c r="H2349" s="9" t="s">
        <v>6487</v>
      </c>
      <c r="I2349" s="10">
        <v>45642</v>
      </c>
    </row>
    <row r="2350" spans="1:9" x14ac:dyDescent="0.15">
      <c r="A2350" s="9">
        <v>2349</v>
      </c>
      <c r="B2350" s="9" t="s">
        <v>9</v>
      </c>
      <c r="C2350" s="9">
        <v>1927</v>
      </c>
      <c r="D2350" s="10">
        <v>45729</v>
      </c>
      <c r="E2350" s="11" t="str">
        <f>+HYPERLINK("http://trademark.i-assist.jp/data/china/image_1927th/82580487.pdf","82580487")</f>
        <v>82580487</v>
      </c>
      <c r="F2350" s="9" t="s">
        <v>6488</v>
      </c>
      <c r="G2350" s="9" t="s">
        <v>59</v>
      </c>
      <c r="H2350" s="9" t="s">
        <v>6489</v>
      </c>
      <c r="I2350" s="10">
        <v>45641</v>
      </c>
    </row>
    <row r="2351" spans="1:9" x14ac:dyDescent="0.15">
      <c r="A2351" s="9">
        <v>2350</v>
      </c>
      <c r="B2351" s="9" t="s">
        <v>9</v>
      </c>
      <c r="C2351" s="9">
        <v>1927</v>
      </c>
      <c r="D2351" s="10">
        <v>45729</v>
      </c>
      <c r="E2351" s="11" t="str">
        <f>+HYPERLINK("http://trademark.i-assist.jp/data/china/image_1927th/82580655.pdf","82580655")</f>
        <v>82580655</v>
      </c>
      <c r="F2351" s="9" t="s">
        <v>6490</v>
      </c>
      <c r="G2351" s="9" t="s">
        <v>237</v>
      </c>
      <c r="H2351" s="9" t="s">
        <v>6491</v>
      </c>
      <c r="I2351" s="10">
        <v>45642</v>
      </c>
    </row>
    <row r="2352" spans="1:9" x14ac:dyDescent="0.15">
      <c r="A2352" s="9">
        <v>2351</v>
      </c>
      <c r="B2352" s="9" t="s">
        <v>9</v>
      </c>
      <c r="C2352" s="9">
        <v>1927</v>
      </c>
      <c r="D2352" s="10">
        <v>45729</v>
      </c>
      <c r="E2352" s="11" t="str">
        <f>+HYPERLINK("http://trademark.i-assist.jp/data/china/image_1927th/82580684.pdf","82580684")</f>
        <v>82580684</v>
      </c>
      <c r="F2352" s="9" t="s">
        <v>6492</v>
      </c>
      <c r="G2352" s="9" t="s">
        <v>6493</v>
      </c>
      <c r="H2352" s="9" t="s">
        <v>6494</v>
      </c>
      <c r="I2352" s="10">
        <v>45642</v>
      </c>
    </row>
    <row r="2353" spans="1:9" x14ac:dyDescent="0.15">
      <c r="A2353" s="9">
        <v>2352</v>
      </c>
      <c r="B2353" s="9" t="s">
        <v>9</v>
      </c>
      <c r="C2353" s="9">
        <v>1927</v>
      </c>
      <c r="D2353" s="10">
        <v>45729</v>
      </c>
      <c r="E2353" s="11" t="str">
        <f>+HYPERLINK("http://trademark.i-assist.jp/data/china/image_1927th/82580728.pdf","82580728")</f>
        <v>82580728</v>
      </c>
      <c r="F2353" s="9" t="s">
        <v>6495</v>
      </c>
      <c r="G2353" s="9" t="s">
        <v>6418</v>
      </c>
      <c r="H2353" s="9" t="s">
        <v>6496</v>
      </c>
      <c r="I2353" s="10">
        <v>45642</v>
      </c>
    </row>
    <row r="2354" spans="1:9" x14ac:dyDescent="0.15">
      <c r="A2354" s="9">
        <v>2353</v>
      </c>
      <c r="B2354" s="9" t="s">
        <v>9</v>
      </c>
      <c r="C2354" s="9">
        <v>1927</v>
      </c>
      <c r="D2354" s="10">
        <v>45729</v>
      </c>
      <c r="E2354" s="11" t="str">
        <f>+HYPERLINK("http://trademark.i-assist.jp/data/china/image_1927th/82581174.pdf","82581174")</f>
        <v>82581174</v>
      </c>
      <c r="F2354" s="9" t="s">
        <v>6497</v>
      </c>
      <c r="G2354" s="9" t="s">
        <v>229</v>
      </c>
      <c r="H2354" s="9" t="s">
        <v>6498</v>
      </c>
      <c r="I2354" s="10">
        <v>45642</v>
      </c>
    </row>
    <row r="2355" spans="1:9" x14ac:dyDescent="0.15">
      <c r="A2355" s="9">
        <v>2354</v>
      </c>
      <c r="B2355" s="9" t="s">
        <v>9</v>
      </c>
      <c r="C2355" s="9">
        <v>1927</v>
      </c>
      <c r="D2355" s="10">
        <v>45729</v>
      </c>
      <c r="E2355" s="11" t="str">
        <f>+HYPERLINK("http://trademark.i-assist.jp/data/china/image_1927th/82581295.pdf","82581295")</f>
        <v>82581295</v>
      </c>
      <c r="F2355" s="9" t="s">
        <v>6499</v>
      </c>
      <c r="G2355" s="9" t="s">
        <v>6500</v>
      </c>
      <c r="H2355" s="9" t="s">
        <v>6501</v>
      </c>
      <c r="I2355" s="10">
        <v>45642</v>
      </c>
    </row>
    <row r="2356" spans="1:9" x14ac:dyDescent="0.15">
      <c r="A2356" s="9">
        <v>2355</v>
      </c>
      <c r="B2356" s="9" t="s">
        <v>9</v>
      </c>
      <c r="C2356" s="9">
        <v>1927</v>
      </c>
      <c r="D2356" s="10">
        <v>45729</v>
      </c>
      <c r="E2356" s="11" t="str">
        <f>+HYPERLINK("http://trademark.i-assist.jp/data/china/image_1927th/82581439.pdf","82581439")</f>
        <v>82581439</v>
      </c>
      <c r="F2356" s="12" t="s">
        <v>6502</v>
      </c>
      <c r="G2356" s="9" t="s">
        <v>233</v>
      </c>
      <c r="H2356" s="9" t="s">
        <v>6503</v>
      </c>
      <c r="I2356" s="10">
        <v>45641</v>
      </c>
    </row>
    <row r="2357" spans="1:9" x14ac:dyDescent="0.15">
      <c r="A2357" s="9">
        <v>2356</v>
      </c>
      <c r="B2357" s="9" t="s">
        <v>9</v>
      </c>
      <c r="C2357" s="9">
        <v>1927</v>
      </c>
      <c r="D2357" s="10">
        <v>45729</v>
      </c>
      <c r="E2357" s="11" t="str">
        <f>+HYPERLINK("http://trademark.i-assist.jp/data/china/image_1927th/82581507.pdf","82581507")</f>
        <v>82581507</v>
      </c>
      <c r="F2357" s="9" t="s">
        <v>6504</v>
      </c>
      <c r="G2357" s="12" t="s">
        <v>6505</v>
      </c>
      <c r="H2357" s="9" t="s">
        <v>6506</v>
      </c>
      <c r="I2357" s="10">
        <v>45642</v>
      </c>
    </row>
    <row r="2358" spans="1:9" x14ac:dyDescent="0.15">
      <c r="A2358" s="9">
        <v>2357</v>
      </c>
      <c r="B2358" s="9" t="s">
        <v>9</v>
      </c>
      <c r="C2358" s="9">
        <v>1927</v>
      </c>
      <c r="D2358" s="10">
        <v>45729</v>
      </c>
      <c r="E2358" s="11" t="str">
        <f>+HYPERLINK("http://trademark.i-assist.jp/data/china/image_1927th/82581931.pdf","82581931")</f>
        <v>82581931</v>
      </c>
      <c r="F2358" s="9" t="s">
        <v>6507</v>
      </c>
      <c r="G2358" s="9" t="s">
        <v>6508</v>
      </c>
      <c r="H2358" s="9" t="s">
        <v>6509</v>
      </c>
      <c r="I2358" s="10">
        <v>45642</v>
      </c>
    </row>
    <row r="2359" spans="1:9" x14ac:dyDescent="0.15">
      <c r="A2359" s="9">
        <v>2358</v>
      </c>
      <c r="B2359" s="9" t="s">
        <v>9</v>
      </c>
      <c r="C2359" s="9">
        <v>1927</v>
      </c>
      <c r="D2359" s="10">
        <v>45729</v>
      </c>
      <c r="E2359" s="11" t="str">
        <f>+HYPERLINK("http://trademark.i-assist.jp/data/china/image_1927th/82582120.pdf","82582120")</f>
        <v>82582120</v>
      </c>
      <c r="F2359" s="9" t="s">
        <v>6510</v>
      </c>
      <c r="G2359" s="12" t="s">
        <v>6511</v>
      </c>
      <c r="H2359" s="9" t="s">
        <v>6512</v>
      </c>
      <c r="I2359" s="10">
        <v>45642</v>
      </c>
    </row>
    <row r="2360" spans="1:9" x14ac:dyDescent="0.15">
      <c r="A2360" s="9">
        <v>2359</v>
      </c>
      <c r="B2360" s="9" t="s">
        <v>9</v>
      </c>
      <c r="C2360" s="9">
        <v>1927</v>
      </c>
      <c r="D2360" s="10">
        <v>45729</v>
      </c>
      <c r="E2360" s="11" t="str">
        <f>+HYPERLINK("http://trademark.i-assist.jp/data/china/image_1927th/82582185.pdf","82582185")</f>
        <v>82582185</v>
      </c>
      <c r="F2360" s="12" t="s">
        <v>16</v>
      </c>
      <c r="G2360" s="9" t="s">
        <v>6513</v>
      </c>
      <c r="H2360" s="9" t="s">
        <v>6514</v>
      </c>
      <c r="I2360" s="10">
        <v>45642</v>
      </c>
    </row>
    <row r="2361" spans="1:9" x14ac:dyDescent="0.15">
      <c r="A2361" s="9">
        <v>2360</v>
      </c>
      <c r="B2361" s="9" t="s">
        <v>9</v>
      </c>
      <c r="C2361" s="9">
        <v>1927</v>
      </c>
      <c r="D2361" s="10">
        <v>45729</v>
      </c>
      <c r="E2361" s="11" t="str">
        <f>+HYPERLINK("http://trademark.i-assist.jp/data/china/image_1927th/82582194.pdf","82582194")</f>
        <v>82582194</v>
      </c>
      <c r="F2361" s="12" t="s">
        <v>16</v>
      </c>
      <c r="G2361" s="9" t="s">
        <v>6513</v>
      </c>
      <c r="H2361" s="9" t="s">
        <v>6515</v>
      </c>
      <c r="I2361" s="10">
        <v>45642</v>
      </c>
    </row>
    <row r="2362" spans="1:9" x14ac:dyDescent="0.15">
      <c r="A2362" s="9">
        <v>2361</v>
      </c>
      <c r="B2362" s="9" t="s">
        <v>9</v>
      </c>
      <c r="C2362" s="9">
        <v>1927</v>
      </c>
      <c r="D2362" s="10">
        <v>45729</v>
      </c>
      <c r="E2362" s="11" t="str">
        <f>+HYPERLINK("http://trademark.i-assist.jp/data/china/image_1927th/82583278.pdf","82583278")</f>
        <v>82583278</v>
      </c>
      <c r="F2362" s="9" t="s">
        <v>6516</v>
      </c>
      <c r="G2362" s="9" t="s">
        <v>6517</v>
      </c>
      <c r="H2362" s="9" t="s">
        <v>6518</v>
      </c>
      <c r="I2362" s="10">
        <v>45642</v>
      </c>
    </row>
    <row r="2363" spans="1:9" x14ac:dyDescent="0.15">
      <c r="A2363" s="9">
        <v>2362</v>
      </c>
      <c r="B2363" s="9" t="s">
        <v>9</v>
      </c>
      <c r="C2363" s="9">
        <v>1927</v>
      </c>
      <c r="D2363" s="10">
        <v>45729</v>
      </c>
      <c r="E2363" s="11" t="str">
        <f>+HYPERLINK("http://trademark.i-assist.jp/data/china/image_1927th/82583286.pdf","82583286")</f>
        <v>82583286</v>
      </c>
      <c r="F2363" s="9" t="s">
        <v>6519</v>
      </c>
      <c r="G2363" s="9" t="s">
        <v>6520</v>
      </c>
      <c r="H2363" s="9" t="s">
        <v>6521</v>
      </c>
      <c r="I2363" s="10">
        <v>45641</v>
      </c>
    </row>
    <row r="2364" spans="1:9" x14ac:dyDescent="0.15">
      <c r="A2364" s="9">
        <v>2363</v>
      </c>
      <c r="B2364" s="9" t="s">
        <v>9</v>
      </c>
      <c r="C2364" s="9">
        <v>1927</v>
      </c>
      <c r="D2364" s="10">
        <v>45729</v>
      </c>
      <c r="E2364" s="11" t="str">
        <f>+HYPERLINK("http://trademark.i-assist.jp/data/china/image_1927th/82583399.pdf","82583399")</f>
        <v>82583399</v>
      </c>
      <c r="F2364" s="9" t="s">
        <v>6522</v>
      </c>
      <c r="G2364" s="12" t="s">
        <v>6245</v>
      </c>
      <c r="H2364" s="9" t="s">
        <v>6523</v>
      </c>
      <c r="I2364" s="10">
        <v>45642</v>
      </c>
    </row>
    <row r="2365" spans="1:9" x14ac:dyDescent="0.15">
      <c r="A2365" s="9">
        <v>2364</v>
      </c>
      <c r="B2365" s="9" t="s">
        <v>9</v>
      </c>
      <c r="C2365" s="9">
        <v>1927</v>
      </c>
      <c r="D2365" s="10">
        <v>45729</v>
      </c>
      <c r="E2365" s="11" t="str">
        <f>+HYPERLINK("http://trademark.i-assist.jp/data/china/image_1927th/82583439.pdf","82583439")</f>
        <v>82583439</v>
      </c>
      <c r="F2365" s="9" t="s">
        <v>6524</v>
      </c>
      <c r="G2365" s="9" t="s">
        <v>6342</v>
      </c>
      <c r="H2365" s="9" t="s">
        <v>6525</v>
      </c>
      <c r="I2365" s="10">
        <v>45642</v>
      </c>
    </row>
    <row r="2366" spans="1:9" x14ac:dyDescent="0.15">
      <c r="A2366" s="9">
        <v>2365</v>
      </c>
      <c r="B2366" s="9" t="s">
        <v>9</v>
      </c>
      <c r="C2366" s="9">
        <v>1927</v>
      </c>
      <c r="D2366" s="10">
        <v>45729</v>
      </c>
      <c r="E2366" s="11" t="str">
        <f>+HYPERLINK("http://trademark.i-assist.jp/data/china/image_1927th/82583527.pdf","82583527")</f>
        <v>82583527</v>
      </c>
      <c r="F2366" s="9" t="s">
        <v>6526</v>
      </c>
      <c r="G2366" s="9" t="s">
        <v>3675</v>
      </c>
      <c r="H2366" s="9" t="s">
        <v>6527</v>
      </c>
      <c r="I2366" s="10">
        <v>45642</v>
      </c>
    </row>
    <row r="2367" spans="1:9" x14ac:dyDescent="0.15">
      <c r="A2367" s="9">
        <v>2366</v>
      </c>
      <c r="B2367" s="9" t="s">
        <v>9</v>
      </c>
      <c r="C2367" s="9">
        <v>1927</v>
      </c>
      <c r="D2367" s="10">
        <v>45729</v>
      </c>
      <c r="E2367" s="11" t="str">
        <f>+HYPERLINK("http://trademark.i-assist.jp/data/china/image_1927th/82583576.pdf","82583576")</f>
        <v>82583576</v>
      </c>
      <c r="F2367" s="9" t="s">
        <v>6528</v>
      </c>
      <c r="G2367" s="12" t="s">
        <v>6529</v>
      </c>
      <c r="H2367" s="9" t="s">
        <v>6530</v>
      </c>
      <c r="I2367" s="10">
        <v>45642</v>
      </c>
    </row>
    <row r="2368" spans="1:9" x14ac:dyDescent="0.15">
      <c r="A2368" s="9">
        <v>2367</v>
      </c>
      <c r="B2368" s="9" t="s">
        <v>9</v>
      </c>
      <c r="C2368" s="9">
        <v>1927</v>
      </c>
      <c r="D2368" s="10">
        <v>45729</v>
      </c>
      <c r="E2368" s="11" t="str">
        <f>+HYPERLINK("http://trademark.i-assist.jp/data/china/image_1927th/82583581.pdf","82583581")</f>
        <v>82583581</v>
      </c>
      <c r="F2368" s="12" t="s">
        <v>6531</v>
      </c>
      <c r="G2368" s="12" t="s">
        <v>6532</v>
      </c>
      <c r="H2368" s="9" t="s">
        <v>6533</v>
      </c>
      <c r="I2368" s="10">
        <v>45642</v>
      </c>
    </row>
    <row r="2369" spans="1:9" x14ac:dyDescent="0.15">
      <c r="A2369" s="9">
        <v>2368</v>
      </c>
      <c r="B2369" s="9" t="s">
        <v>9</v>
      </c>
      <c r="C2369" s="9">
        <v>1927</v>
      </c>
      <c r="D2369" s="10">
        <v>45729</v>
      </c>
      <c r="E2369" s="11" t="str">
        <f>+HYPERLINK("http://trademark.i-assist.jp/data/china/image_1927th/82583665.pdf","82583665")</f>
        <v>82583665</v>
      </c>
      <c r="F2369" s="9" t="s">
        <v>6534</v>
      </c>
      <c r="G2369" s="9" t="s">
        <v>6535</v>
      </c>
      <c r="H2369" s="9" t="s">
        <v>6536</v>
      </c>
      <c r="I2369" s="10">
        <v>45642</v>
      </c>
    </row>
    <row r="2370" spans="1:9" x14ac:dyDescent="0.15">
      <c r="A2370" s="9">
        <v>2369</v>
      </c>
      <c r="B2370" s="9" t="s">
        <v>9</v>
      </c>
      <c r="C2370" s="9">
        <v>1927</v>
      </c>
      <c r="D2370" s="10">
        <v>45729</v>
      </c>
      <c r="E2370" s="11" t="str">
        <f>+HYPERLINK("http://trademark.i-assist.jp/data/china/image_1927th/82583830.pdf","82583830")</f>
        <v>82583830</v>
      </c>
      <c r="F2370" s="9" t="s">
        <v>6537</v>
      </c>
      <c r="G2370" s="9" t="s">
        <v>95</v>
      </c>
      <c r="H2370" s="9" t="s">
        <v>6538</v>
      </c>
      <c r="I2370" s="10">
        <v>45642</v>
      </c>
    </row>
    <row r="2371" spans="1:9" x14ac:dyDescent="0.15">
      <c r="A2371" s="9">
        <v>2370</v>
      </c>
      <c r="B2371" s="9" t="s">
        <v>9</v>
      </c>
      <c r="C2371" s="9">
        <v>1927</v>
      </c>
      <c r="D2371" s="10">
        <v>45729</v>
      </c>
      <c r="E2371" s="11" t="str">
        <f>+HYPERLINK("http://trademark.i-assist.jp/data/china/image_1927th/82583848.pdf","82583848")</f>
        <v>82583848</v>
      </c>
      <c r="F2371" s="9" t="s">
        <v>6539</v>
      </c>
      <c r="G2371" s="9" t="s">
        <v>6540</v>
      </c>
      <c r="H2371" s="9" t="s">
        <v>6541</v>
      </c>
      <c r="I2371" s="10">
        <v>45642</v>
      </c>
    </row>
    <row r="2372" spans="1:9" x14ac:dyDescent="0.15">
      <c r="A2372" s="9">
        <v>2371</v>
      </c>
      <c r="B2372" s="9" t="s">
        <v>9</v>
      </c>
      <c r="C2372" s="9">
        <v>1927</v>
      </c>
      <c r="D2372" s="10">
        <v>45729</v>
      </c>
      <c r="E2372" s="11" t="str">
        <f>+HYPERLINK("http://trademark.i-assist.jp/data/china/image_1927th/82583989.pdf","82583989")</f>
        <v>82583989</v>
      </c>
      <c r="F2372" s="9" t="s">
        <v>6542</v>
      </c>
      <c r="G2372" s="12" t="s">
        <v>6543</v>
      </c>
      <c r="H2372" s="9" t="s">
        <v>6544</v>
      </c>
      <c r="I2372" s="10">
        <v>45642</v>
      </c>
    </row>
    <row r="2373" spans="1:9" x14ac:dyDescent="0.15">
      <c r="A2373" s="9">
        <v>2372</v>
      </c>
      <c r="B2373" s="9" t="s">
        <v>9</v>
      </c>
      <c r="C2373" s="9">
        <v>1927</v>
      </c>
      <c r="D2373" s="10">
        <v>45729</v>
      </c>
      <c r="E2373" s="11" t="str">
        <f>+HYPERLINK("http://trademark.i-assist.jp/data/china/image_1927th/82584052.pdf","82584052")</f>
        <v>82584052</v>
      </c>
      <c r="F2373" s="9" t="s">
        <v>6545</v>
      </c>
      <c r="G2373" s="9" t="s">
        <v>6223</v>
      </c>
      <c r="H2373" s="12" t="s">
        <v>6546</v>
      </c>
      <c r="I2373" s="10">
        <v>45642</v>
      </c>
    </row>
    <row r="2374" spans="1:9" x14ac:dyDescent="0.15">
      <c r="A2374" s="9">
        <v>2373</v>
      </c>
      <c r="B2374" s="9" t="s">
        <v>9</v>
      </c>
      <c r="C2374" s="9">
        <v>1927</v>
      </c>
      <c r="D2374" s="10">
        <v>45729</v>
      </c>
      <c r="E2374" s="11" t="str">
        <f>+HYPERLINK("http://trademark.i-assist.jp/data/china/image_1927th/82584603.pdf","82584603")</f>
        <v>82584603</v>
      </c>
      <c r="F2374" s="12" t="s">
        <v>6547</v>
      </c>
      <c r="G2374" s="9" t="s">
        <v>6548</v>
      </c>
      <c r="H2374" s="9" t="s">
        <v>6549</v>
      </c>
      <c r="I2374" s="10">
        <v>45642</v>
      </c>
    </row>
    <row r="2375" spans="1:9" x14ac:dyDescent="0.15">
      <c r="A2375" s="9">
        <v>2374</v>
      </c>
      <c r="B2375" s="9" t="s">
        <v>9</v>
      </c>
      <c r="C2375" s="9">
        <v>1927</v>
      </c>
      <c r="D2375" s="10">
        <v>45729</v>
      </c>
      <c r="E2375" s="11" t="str">
        <f>+HYPERLINK("http://trademark.i-assist.jp/data/china/image_1927th/82584694.pdf","82584694")</f>
        <v>82584694</v>
      </c>
      <c r="F2375" s="9" t="s">
        <v>6550</v>
      </c>
      <c r="G2375" s="9" t="s">
        <v>6551</v>
      </c>
      <c r="H2375" s="9" t="s">
        <v>6552</v>
      </c>
      <c r="I2375" s="10">
        <v>45642</v>
      </c>
    </row>
    <row r="2376" spans="1:9" x14ac:dyDescent="0.15">
      <c r="A2376" s="9">
        <v>2375</v>
      </c>
      <c r="B2376" s="9" t="s">
        <v>9</v>
      </c>
      <c r="C2376" s="9">
        <v>1927</v>
      </c>
      <c r="D2376" s="10">
        <v>45729</v>
      </c>
      <c r="E2376" s="11" t="str">
        <f>+HYPERLINK("http://trademark.i-assist.jp/data/china/image_1927th/82584874.pdf","82584874")</f>
        <v>82584874</v>
      </c>
      <c r="F2376" s="9" t="s">
        <v>6553</v>
      </c>
      <c r="G2376" s="9" t="s">
        <v>6190</v>
      </c>
      <c r="H2376" s="9" t="s">
        <v>6554</v>
      </c>
      <c r="I2376" s="10">
        <v>45642</v>
      </c>
    </row>
    <row r="2377" spans="1:9" x14ac:dyDescent="0.15">
      <c r="A2377" s="9">
        <v>2376</v>
      </c>
      <c r="B2377" s="9" t="s">
        <v>9</v>
      </c>
      <c r="C2377" s="9">
        <v>1927</v>
      </c>
      <c r="D2377" s="10">
        <v>45729</v>
      </c>
      <c r="E2377" s="11" t="str">
        <f>+HYPERLINK("http://trademark.i-assist.jp/data/china/image_1927th/82585064.pdf","82585064")</f>
        <v>82585064</v>
      </c>
      <c r="F2377" s="9" t="s">
        <v>6555</v>
      </c>
      <c r="G2377" s="9" t="s">
        <v>6556</v>
      </c>
      <c r="H2377" s="9" t="s">
        <v>6557</v>
      </c>
      <c r="I2377" s="10">
        <v>45642</v>
      </c>
    </row>
    <row r="2378" spans="1:9" x14ac:dyDescent="0.15">
      <c r="A2378" s="9">
        <v>2377</v>
      </c>
      <c r="B2378" s="9" t="s">
        <v>9</v>
      </c>
      <c r="C2378" s="9">
        <v>1927</v>
      </c>
      <c r="D2378" s="10">
        <v>45729</v>
      </c>
      <c r="E2378" s="11" t="str">
        <f>+HYPERLINK("http://trademark.i-assist.jp/data/china/image_1927th/82585161.pdf","82585161")</f>
        <v>82585161</v>
      </c>
      <c r="F2378" s="12" t="s">
        <v>6558</v>
      </c>
      <c r="G2378" s="12" t="s">
        <v>6559</v>
      </c>
      <c r="H2378" s="9" t="s">
        <v>6560</v>
      </c>
      <c r="I2378" s="10">
        <v>45643</v>
      </c>
    </row>
    <row r="2379" spans="1:9" x14ac:dyDescent="0.15">
      <c r="A2379" s="9">
        <v>2378</v>
      </c>
      <c r="B2379" s="9" t="s">
        <v>9</v>
      </c>
      <c r="C2379" s="9">
        <v>1927</v>
      </c>
      <c r="D2379" s="10">
        <v>45729</v>
      </c>
      <c r="E2379" s="11" t="str">
        <f>+HYPERLINK("http://trademark.i-assist.jp/data/china/image_1927th/82585376.pdf","82585376")</f>
        <v>82585376</v>
      </c>
      <c r="F2379" s="9" t="s">
        <v>6561</v>
      </c>
      <c r="G2379" s="9" t="s">
        <v>6562</v>
      </c>
      <c r="H2379" s="9" t="s">
        <v>6563</v>
      </c>
      <c r="I2379" s="10">
        <v>45643</v>
      </c>
    </row>
    <row r="2380" spans="1:9" x14ac:dyDescent="0.15">
      <c r="A2380" s="9">
        <v>2379</v>
      </c>
      <c r="B2380" s="9" t="s">
        <v>9</v>
      </c>
      <c r="C2380" s="9">
        <v>1927</v>
      </c>
      <c r="D2380" s="10">
        <v>45729</v>
      </c>
      <c r="E2380" s="11" t="str">
        <f>+HYPERLINK("http://trademark.i-assist.jp/data/china/image_1927th/82585386.pdf","82585386")</f>
        <v>82585386</v>
      </c>
      <c r="F2380" s="9" t="s">
        <v>6564</v>
      </c>
      <c r="G2380" s="9" t="s">
        <v>234</v>
      </c>
      <c r="H2380" s="9" t="s">
        <v>6565</v>
      </c>
      <c r="I2380" s="10">
        <v>45643</v>
      </c>
    </row>
    <row r="2381" spans="1:9" x14ac:dyDescent="0.15">
      <c r="A2381" s="9">
        <v>2380</v>
      </c>
      <c r="B2381" s="9" t="s">
        <v>9</v>
      </c>
      <c r="C2381" s="9">
        <v>1927</v>
      </c>
      <c r="D2381" s="10">
        <v>45729</v>
      </c>
      <c r="E2381" s="11" t="str">
        <f>+HYPERLINK("http://trademark.i-assist.jp/data/china/image_1927th/82585958.pdf","82585958")</f>
        <v>82585958</v>
      </c>
      <c r="F2381" s="12" t="s">
        <v>16</v>
      </c>
      <c r="G2381" s="9" t="s">
        <v>6566</v>
      </c>
      <c r="H2381" s="9" t="s">
        <v>6567</v>
      </c>
      <c r="I2381" s="10">
        <v>45643</v>
      </c>
    </row>
    <row r="2382" spans="1:9" x14ac:dyDescent="0.15">
      <c r="A2382" s="9">
        <v>2381</v>
      </c>
      <c r="B2382" s="9" t="s">
        <v>9</v>
      </c>
      <c r="C2382" s="9">
        <v>1927</v>
      </c>
      <c r="D2382" s="10">
        <v>45729</v>
      </c>
      <c r="E2382" s="11" t="str">
        <f>+HYPERLINK("http://trademark.i-assist.jp/data/china/image_1927th/82586159.pdf","82586159")</f>
        <v>82586159</v>
      </c>
      <c r="F2382" s="12" t="s">
        <v>6568</v>
      </c>
      <c r="G2382" s="9" t="s">
        <v>6569</v>
      </c>
      <c r="H2382" s="9" t="s">
        <v>6570</v>
      </c>
      <c r="I2382" s="10">
        <v>45643</v>
      </c>
    </row>
    <row r="2383" spans="1:9" x14ac:dyDescent="0.15">
      <c r="A2383" s="9">
        <v>2382</v>
      </c>
      <c r="B2383" s="9" t="s">
        <v>9</v>
      </c>
      <c r="C2383" s="9">
        <v>1927</v>
      </c>
      <c r="D2383" s="10">
        <v>45729</v>
      </c>
      <c r="E2383" s="11" t="str">
        <f>+HYPERLINK("http://trademark.i-assist.jp/data/china/image_1927th/82586177.pdf","82586177")</f>
        <v>82586177</v>
      </c>
      <c r="F2383" s="9" t="s">
        <v>6571</v>
      </c>
      <c r="G2383" s="9" t="s">
        <v>6572</v>
      </c>
      <c r="H2383" s="9" t="s">
        <v>6573</v>
      </c>
      <c r="I2383" s="10">
        <v>45643</v>
      </c>
    </row>
    <row r="2384" spans="1:9" x14ac:dyDescent="0.15">
      <c r="A2384" s="9">
        <v>2383</v>
      </c>
      <c r="B2384" s="9" t="s">
        <v>9</v>
      </c>
      <c r="C2384" s="9">
        <v>1927</v>
      </c>
      <c r="D2384" s="10">
        <v>45729</v>
      </c>
      <c r="E2384" s="11" t="str">
        <f>+HYPERLINK("http://trademark.i-assist.jp/data/china/image_1927th/82586411.pdf","82586411")</f>
        <v>82586411</v>
      </c>
      <c r="F2384" s="12" t="s">
        <v>6574</v>
      </c>
      <c r="G2384" s="9" t="s">
        <v>6575</v>
      </c>
      <c r="H2384" s="9" t="s">
        <v>6576</v>
      </c>
      <c r="I2384" s="10">
        <v>45643</v>
      </c>
    </row>
    <row r="2385" spans="1:9" x14ac:dyDescent="0.15">
      <c r="A2385" s="9">
        <v>2384</v>
      </c>
      <c r="B2385" s="9" t="s">
        <v>9</v>
      </c>
      <c r="C2385" s="9">
        <v>1927</v>
      </c>
      <c r="D2385" s="10">
        <v>45729</v>
      </c>
      <c r="E2385" s="11" t="str">
        <f>+HYPERLINK("http://trademark.i-assist.jp/data/china/image_1927th/82586442.pdf","82586442")</f>
        <v>82586442</v>
      </c>
      <c r="F2385" s="9" t="s">
        <v>6577</v>
      </c>
      <c r="G2385" s="9" t="s">
        <v>6578</v>
      </c>
      <c r="H2385" s="9" t="s">
        <v>6579</v>
      </c>
      <c r="I2385" s="10">
        <v>45643</v>
      </c>
    </row>
    <row r="2386" spans="1:9" x14ac:dyDescent="0.15">
      <c r="A2386" s="9">
        <v>2385</v>
      </c>
      <c r="B2386" s="9" t="s">
        <v>9</v>
      </c>
      <c r="C2386" s="9">
        <v>1927</v>
      </c>
      <c r="D2386" s="10">
        <v>45729</v>
      </c>
      <c r="E2386" s="11" t="str">
        <f>+HYPERLINK("http://trademark.i-assist.jp/data/china/image_1927th/82586525.pdf","82586525")</f>
        <v>82586525</v>
      </c>
      <c r="F2386" s="9" t="s">
        <v>6580</v>
      </c>
      <c r="G2386" s="9" t="s">
        <v>6581</v>
      </c>
      <c r="H2386" s="9" t="s">
        <v>6582</v>
      </c>
      <c r="I2386" s="10">
        <v>45643</v>
      </c>
    </row>
    <row r="2387" spans="1:9" x14ac:dyDescent="0.15">
      <c r="A2387" s="9">
        <v>2386</v>
      </c>
      <c r="B2387" s="9" t="s">
        <v>9</v>
      </c>
      <c r="C2387" s="9">
        <v>1927</v>
      </c>
      <c r="D2387" s="10">
        <v>45729</v>
      </c>
      <c r="E2387" s="11" t="str">
        <f>+HYPERLINK("http://trademark.i-assist.jp/data/china/image_1927th/82586537.pdf","82586537")</f>
        <v>82586537</v>
      </c>
      <c r="F2387" s="9" t="s">
        <v>6583</v>
      </c>
      <c r="G2387" s="9" t="s">
        <v>88</v>
      </c>
      <c r="H2387" s="9" t="s">
        <v>6584</v>
      </c>
      <c r="I2387" s="10">
        <v>45643</v>
      </c>
    </row>
    <row r="2388" spans="1:9" x14ac:dyDescent="0.15">
      <c r="A2388" s="9">
        <v>2387</v>
      </c>
      <c r="B2388" s="9" t="s">
        <v>9</v>
      </c>
      <c r="C2388" s="9">
        <v>1927</v>
      </c>
      <c r="D2388" s="10">
        <v>45729</v>
      </c>
      <c r="E2388" s="11" t="str">
        <f>+HYPERLINK("http://trademark.i-assist.jp/data/china/image_1927th/82586697.pdf","82586697")</f>
        <v>82586697</v>
      </c>
      <c r="F2388" s="9" t="s">
        <v>6585</v>
      </c>
      <c r="G2388" s="12" t="s">
        <v>6586</v>
      </c>
      <c r="H2388" s="12" t="s">
        <v>6587</v>
      </c>
      <c r="I2388" s="10">
        <v>45645</v>
      </c>
    </row>
    <row r="2389" spans="1:9" x14ac:dyDescent="0.15">
      <c r="A2389" s="9">
        <v>2388</v>
      </c>
      <c r="B2389" s="9" t="s">
        <v>9</v>
      </c>
      <c r="C2389" s="9">
        <v>1927</v>
      </c>
      <c r="D2389" s="10">
        <v>45729</v>
      </c>
      <c r="E2389" s="11" t="str">
        <f>+HYPERLINK("http://trademark.i-assist.jp/data/china/image_1927th/82587293.pdf","82587293")</f>
        <v>82587293</v>
      </c>
      <c r="F2389" s="9" t="s">
        <v>6588</v>
      </c>
      <c r="G2389" s="9" t="s">
        <v>6589</v>
      </c>
      <c r="H2389" s="9" t="s">
        <v>6590</v>
      </c>
      <c r="I2389" s="10">
        <v>45643</v>
      </c>
    </row>
    <row r="2390" spans="1:9" x14ac:dyDescent="0.15">
      <c r="A2390" s="9">
        <v>2389</v>
      </c>
      <c r="B2390" s="9" t="s">
        <v>9</v>
      </c>
      <c r="C2390" s="9">
        <v>1927</v>
      </c>
      <c r="D2390" s="10">
        <v>45729</v>
      </c>
      <c r="E2390" s="11" t="str">
        <f>+HYPERLINK("http://trademark.i-assist.jp/data/china/image_1927th/82587373.pdf","82587373")</f>
        <v>82587373</v>
      </c>
      <c r="F2390" s="9" t="s">
        <v>6591</v>
      </c>
      <c r="G2390" s="9" t="s">
        <v>6592</v>
      </c>
      <c r="H2390" s="9" t="s">
        <v>6593</v>
      </c>
      <c r="I2390" s="10">
        <v>45645</v>
      </c>
    </row>
    <row r="2391" spans="1:9" x14ac:dyDescent="0.15">
      <c r="A2391" s="9">
        <v>2390</v>
      </c>
      <c r="B2391" s="9" t="s">
        <v>9</v>
      </c>
      <c r="C2391" s="9">
        <v>1927</v>
      </c>
      <c r="D2391" s="10">
        <v>45729</v>
      </c>
      <c r="E2391" s="11" t="str">
        <f>+HYPERLINK("http://trademark.i-assist.jp/data/china/image_1927th/82587678.pdf","82587678")</f>
        <v>82587678</v>
      </c>
      <c r="F2391" s="9" t="s">
        <v>6594</v>
      </c>
      <c r="G2391" s="12" t="s">
        <v>6364</v>
      </c>
      <c r="H2391" s="9" t="s">
        <v>6595</v>
      </c>
      <c r="I2391" s="10">
        <v>45643</v>
      </c>
    </row>
    <row r="2392" spans="1:9" x14ac:dyDescent="0.15">
      <c r="A2392" s="9">
        <v>2391</v>
      </c>
      <c r="B2392" s="9" t="s">
        <v>9</v>
      </c>
      <c r="C2392" s="9">
        <v>1927</v>
      </c>
      <c r="D2392" s="10">
        <v>45729</v>
      </c>
      <c r="E2392" s="11" t="str">
        <f>+HYPERLINK("http://trademark.i-assist.jp/data/china/image_1927th/82588063.pdf","82588063")</f>
        <v>82588063</v>
      </c>
      <c r="F2392" s="12" t="s">
        <v>6596</v>
      </c>
      <c r="G2392" s="9" t="s">
        <v>6597</v>
      </c>
      <c r="H2392" s="9" t="s">
        <v>6598</v>
      </c>
      <c r="I2392" s="10">
        <v>45643</v>
      </c>
    </row>
    <row r="2393" spans="1:9" x14ac:dyDescent="0.15">
      <c r="A2393" s="9">
        <v>2392</v>
      </c>
      <c r="B2393" s="9" t="s">
        <v>9</v>
      </c>
      <c r="C2393" s="9">
        <v>1927</v>
      </c>
      <c r="D2393" s="10">
        <v>45729</v>
      </c>
      <c r="E2393" s="11" t="str">
        <f>+HYPERLINK("http://trademark.i-assist.jp/data/china/image_1927th/82588317.pdf","82588317")</f>
        <v>82588317</v>
      </c>
      <c r="F2393" s="9" t="s">
        <v>6599</v>
      </c>
      <c r="G2393" s="9" t="s">
        <v>6600</v>
      </c>
      <c r="H2393" s="9" t="s">
        <v>6601</v>
      </c>
      <c r="I2393" s="10">
        <v>45643</v>
      </c>
    </row>
    <row r="2394" spans="1:9" x14ac:dyDescent="0.15">
      <c r="A2394" s="9">
        <v>2393</v>
      </c>
      <c r="B2394" s="9" t="s">
        <v>9</v>
      </c>
      <c r="C2394" s="9">
        <v>1927</v>
      </c>
      <c r="D2394" s="10">
        <v>45729</v>
      </c>
      <c r="E2394" s="11" t="str">
        <f>+HYPERLINK("http://trademark.i-assist.jp/data/china/image_1927th/82588492.pdf","82588492")</f>
        <v>82588492</v>
      </c>
      <c r="F2394" s="9" t="s">
        <v>6602</v>
      </c>
      <c r="G2394" s="9" t="s">
        <v>6603</v>
      </c>
      <c r="H2394" s="9" t="s">
        <v>6604</v>
      </c>
      <c r="I2394" s="10">
        <v>45643</v>
      </c>
    </row>
    <row r="2395" spans="1:9" x14ac:dyDescent="0.15">
      <c r="A2395" s="9">
        <v>2394</v>
      </c>
      <c r="B2395" s="9" t="s">
        <v>9</v>
      </c>
      <c r="C2395" s="9">
        <v>1927</v>
      </c>
      <c r="D2395" s="10">
        <v>45729</v>
      </c>
      <c r="E2395" s="11" t="str">
        <f>+HYPERLINK("http://trademark.i-assist.jp/data/china/image_1927th/82588517.pdf","82588517")</f>
        <v>82588517</v>
      </c>
      <c r="F2395" s="9" t="s">
        <v>6605</v>
      </c>
      <c r="G2395" s="12" t="s">
        <v>6606</v>
      </c>
      <c r="H2395" s="9" t="s">
        <v>6607</v>
      </c>
      <c r="I2395" s="10">
        <v>45643</v>
      </c>
    </row>
    <row r="2396" spans="1:9" x14ac:dyDescent="0.15">
      <c r="A2396" s="9">
        <v>2395</v>
      </c>
      <c r="B2396" s="9" t="s">
        <v>9</v>
      </c>
      <c r="C2396" s="9">
        <v>1927</v>
      </c>
      <c r="D2396" s="10">
        <v>45729</v>
      </c>
      <c r="E2396" s="11" t="str">
        <f>+HYPERLINK("http://trademark.i-assist.jp/data/china/image_1927th/82588662.pdf","82588662")</f>
        <v>82588662</v>
      </c>
      <c r="F2396" s="12" t="s">
        <v>16</v>
      </c>
      <c r="G2396" s="12" t="s">
        <v>6608</v>
      </c>
      <c r="H2396" s="9" t="s">
        <v>6609</v>
      </c>
      <c r="I2396" s="10">
        <v>45643</v>
      </c>
    </row>
    <row r="2397" spans="1:9" x14ac:dyDescent="0.15">
      <c r="A2397" s="9">
        <v>2396</v>
      </c>
      <c r="B2397" s="9" t="s">
        <v>9</v>
      </c>
      <c r="C2397" s="9">
        <v>1927</v>
      </c>
      <c r="D2397" s="10">
        <v>45729</v>
      </c>
      <c r="E2397" s="11" t="str">
        <f>+HYPERLINK("http://trademark.i-assist.jp/data/china/image_1927th/82588975.pdf","82588975")</f>
        <v>82588975</v>
      </c>
      <c r="F2397" s="9" t="s">
        <v>6610</v>
      </c>
      <c r="G2397" s="12" t="s">
        <v>71</v>
      </c>
      <c r="H2397" s="9" t="s">
        <v>6611</v>
      </c>
      <c r="I2397" s="10">
        <v>45643</v>
      </c>
    </row>
    <row r="2398" spans="1:9" x14ac:dyDescent="0.15">
      <c r="A2398" s="9">
        <v>2397</v>
      </c>
      <c r="B2398" s="9" t="s">
        <v>9</v>
      </c>
      <c r="C2398" s="9">
        <v>1927</v>
      </c>
      <c r="D2398" s="10">
        <v>45729</v>
      </c>
      <c r="E2398" s="11" t="str">
        <f>+HYPERLINK("http://trademark.i-assist.jp/data/china/image_1927th/82589151.pdf","82589151")</f>
        <v>82589151</v>
      </c>
      <c r="F2398" s="12" t="s">
        <v>6612</v>
      </c>
      <c r="G2398" s="12" t="s">
        <v>6613</v>
      </c>
      <c r="H2398" s="9" t="s">
        <v>6614</v>
      </c>
      <c r="I2398" s="10">
        <v>45643</v>
      </c>
    </row>
    <row r="2399" spans="1:9" x14ac:dyDescent="0.15">
      <c r="A2399" s="9">
        <v>2398</v>
      </c>
      <c r="B2399" s="9" t="s">
        <v>9</v>
      </c>
      <c r="C2399" s="9">
        <v>1927</v>
      </c>
      <c r="D2399" s="10">
        <v>45729</v>
      </c>
      <c r="E2399" s="11" t="str">
        <f>+HYPERLINK("http://trademark.i-assist.jp/data/china/image_1927th/82589176.pdf","82589176")</f>
        <v>82589176</v>
      </c>
      <c r="F2399" s="9" t="s">
        <v>6615</v>
      </c>
      <c r="G2399" s="9" t="s">
        <v>6616</v>
      </c>
      <c r="H2399" s="9" t="s">
        <v>6617</v>
      </c>
      <c r="I2399" s="10">
        <v>45643</v>
      </c>
    </row>
    <row r="2400" spans="1:9" x14ac:dyDescent="0.15">
      <c r="A2400" s="9">
        <v>2399</v>
      </c>
      <c r="B2400" s="9" t="s">
        <v>9</v>
      </c>
      <c r="C2400" s="9">
        <v>1927</v>
      </c>
      <c r="D2400" s="10">
        <v>45729</v>
      </c>
      <c r="E2400" s="11" t="str">
        <f>+HYPERLINK("http://trademark.i-assist.jp/data/china/image_1927th/82589199.pdf","82589199")</f>
        <v>82589199</v>
      </c>
      <c r="F2400" s="9" t="s">
        <v>6618</v>
      </c>
      <c r="G2400" s="9" t="s">
        <v>6619</v>
      </c>
      <c r="H2400" s="9" t="s">
        <v>6620</v>
      </c>
      <c r="I2400" s="10">
        <v>45643</v>
      </c>
    </row>
    <row r="2401" spans="1:9" x14ac:dyDescent="0.15">
      <c r="A2401" s="9">
        <v>2400</v>
      </c>
      <c r="B2401" s="9" t="s">
        <v>9</v>
      </c>
      <c r="C2401" s="9">
        <v>1927</v>
      </c>
      <c r="D2401" s="10">
        <v>45729</v>
      </c>
      <c r="E2401" s="11" t="str">
        <f>+HYPERLINK("http://trademark.i-assist.jp/data/china/image_1927th/82589265.pdf","82589265")</f>
        <v>82589265</v>
      </c>
      <c r="F2401" s="9" t="s">
        <v>6621</v>
      </c>
      <c r="G2401" s="12" t="s">
        <v>6622</v>
      </c>
      <c r="H2401" s="9" t="s">
        <v>6623</v>
      </c>
      <c r="I2401" s="10">
        <v>45643</v>
      </c>
    </row>
    <row r="2402" spans="1:9" x14ac:dyDescent="0.15">
      <c r="A2402" s="9">
        <v>2401</v>
      </c>
      <c r="B2402" s="9" t="s">
        <v>9</v>
      </c>
      <c r="C2402" s="9">
        <v>1927</v>
      </c>
      <c r="D2402" s="10">
        <v>45729</v>
      </c>
      <c r="E2402" s="11" t="str">
        <f>+HYPERLINK("http://trademark.i-assist.jp/data/china/image_1927th/82589536.pdf","82589536")</f>
        <v>82589536</v>
      </c>
      <c r="F2402" s="9" t="s">
        <v>6624</v>
      </c>
      <c r="G2402" s="9" t="s">
        <v>6625</v>
      </c>
      <c r="H2402" s="9" t="s">
        <v>6626</v>
      </c>
      <c r="I2402" s="10">
        <v>45643</v>
      </c>
    </row>
    <row r="2403" spans="1:9" x14ac:dyDescent="0.15">
      <c r="A2403" s="9">
        <v>2402</v>
      </c>
      <c r="B2403" s="9" t="s">
        <v>9</v>
      </c>
      <c r="C2403" s="9">
        <v>1927</v>
      </c>
      <c r="D2403" s="10">
        <v>45729</v>
      </c>
      <c r="E2403" s="11" t="str">
        <f>+HYPERLINK("http://trademark.i-assist.jp/data/china/image_1927th/82589595.pdf","82589595")</f>
        <v>82589595</v>
      </c>
      <c r="F2403" s="9" t="s">
        <v>6627</v>
      </c>
      <c r="G2403" s="9" t="s">
        <v>6628</v>
      </c>
      <c r="H2403" s="9" t="s">
        <v>6629</v>
      </c>
      <c r="I2403" s="10">
        <v>45643</v>
      </c>
    </row>
    <row r="2404" spans="1:9" x14ac:dyDescent="0.15">
      <c r="A2404" s="9">
        <v>2403</v>
      </c>
      <c r="B2404" s="9" t="s">
        <v>9</v>
      </c>
      <c r="C2404" s="9">
        <v>1927</v>
      </c>
      <c r="D2404" s="10">
        <v>45729</v>
      </c>
      <c r="E2404" s="11" t="str">
        <f>+HYPERLINK("http://trademark.i-assist.jp/data/china/image_1927th/82589598.pdf","82589598")</f>
        <v>82589598</v>
      </c>
      <c r="F2404" s="12" t="s">
        <v>16</v>
      </c>
      <c r="G2404" s="9" t="s">
        <v>6630</v>
      </c>
      <c r="H2404" s="9" t="s">
        <v>6631</v>
      </c>
      <c r="I2404" s="10">
        <v>45643</v>
      </c>
    </row>
    <row r="2405" spans="1:9" x14ac:dyDescent="0.15">
      <c r="A2405" s="9">
        <v>2404</v>
      </c>
      <c r="B2405" s="9" t="s">
        <v>9</v>
      </c>
      <c r="C2405" s="9">
        <v>1927</v>
      </c>
      <c r="D2405" s="10">
        <v>45729</v>
      </c>
      <c r="E2405" s="11" t="str">
        <f>+HYPERLINK("http://trademark.i-assist.jp/data/china/image_1927th/82589607.pdf","82589607")</f>
        <v>82589607</v>
      </c>
      <c r="F2405" s="9" t="s">
        <v>6632</v>
      </c>
      <c r="G2405" s="9" t="s">
        <v>6633</v>
      </c>
      <c r="H2405" s="9" t="s">
        <v>6634</v>
      </c>
      <c r="I2405" s="10">
        <v>45643</v>
      </c>
    </row>
    <row r="2406" spans="1:9" x14ac:dyDescent="0.15">
      <c r="A2406" s="9">
        <v>2405</v>
      </c>
      <c r="B2406" s="9" t="s">
        <v>9</v>
      </c>
      <c r="C2406" s="9">
        <v>1927</v>
      </c>
      <c r="D2406" s="10">
        <v>45729</v>
      </c>
      <c r="E2406" s="11" t="str">
        <f>+HYPERLINK("http://trademark.i-assist.jp/data/china/image_1927th/82589907.pdf","82589907")</f>
        <v>82589907</v>
      </c>
      <c r="F2406" s="9" t="s">
        <v>6635</v>
      </c>
      <c r="G2406" s="9" t="s">
        <v>6636</v>
      </c>
      <c r="H2406" s="9" t="s">
        <v>6637</v>
      </c>
      <c r="I2406" s="10">
        <v>45643</v>
      </c>
    </row>
    <row r="2407" spans="1:9" x14ac:dyDescent="0.15">
      <c r="A2407" s="9">
        <v>2406</v>
      </c>
      <c r="B2407" s="9" t="s">
        <v>9</v>
      </c>
      <c r="C2407" s="9">
        <v>1927</v>
      </c>
      <c r="D2407" s="10">
        <v>45729</v>
      </c>
      <c r="E2407" s="11" t="str">
        <f>+HYPERLINK("http://trademark.i-assist.jp/data/china/image_1927th/82590133.pdf","82590133")</f>
        <v>82590133</v>
      </c>
      <c r="F2407" s="9" t="s">
        <v>6638</v>
      </c>
      <c r="G2407" s="12" t="s">
        <v>6613</v>
      </c>
      <c r="H2407" s="9" t="s">
        <v>6639</v>
      </c>
      <c r="I2407" s="10">
        <v>45643</v>
      </c>
    </row>
    <row r="2408" spans="1:9" x14ac:dyDescent="0.15">
      <c r="A2408" s="9">
        <v>2407</v>
      </c>
      <c r="B2408" s="9" t="s">
        <v>9</v>
      </c>
      <c r="C2408" s="9">
        <v>1927</v>
      </c>
      <c r="D2408" s="10">
        <v>45729</v>
      </c>
      <c r="E2408" s="11" t="str">
        <f>+HYPERLINK("http://trademark.i-assist.jp/data/china/image_1927th/82590497.pdf","82590497")</f>
        <v>82590497</v>
      </c>
      <c r="F2408" s="9" t="s">
        <v>6640</v>
      </c>
      <c r="G2408" s="9" t="s">
        <v>6641</v>
      </c>
      <c r="H2408" s="9" t="s">
        <v>6642</v>
      </c>
      <c r="I2408" s="10">
        <v>45643</v>
      </c>
    </row>
    <row r="2409" spans="1:9" x14ac:dyDescent="0.15">
      <c r="A2409" s="9">
        <v>2408</v>
      </c>
      <c r="B2409" s="9" t="s">
        <v>9</v>
      </c>
      <c r="C2409" s="9">
        <v>1927</v>
      </c>
      <c r="D2409" s="10">
        <v>45729</v>
      </c>
      <c r="E2409" s="11" t="str">
        <f>+HYPERLINK("http://trademark.i-assist.jp/data/china/image_1927th/82590977.pdf","82590977")</f>
        <v>82590977</v>
      </c>
      <c r="F2409" s="9" t="s">
        <v>6643</v>
      </c>
      <c r="G2409" s="9" t="s">
        <v>6644</v>
      </c>
      <c r="H2409" s="9" t="s">
        <v>6645</v>
      </c>
      <c r="I2409" s="10">
        <v>45643</v>
      </c>
    </row>
    <row r="2410" spans="1:9" x14ac:dyDescent="0.15">
      <c r="A2410" s="9">
        <v>2409</v>
      </c>
      <c r="B2410" s="9" t="s">
        <v>9</v>
      </c>
      <c r="C2410" s="9">
        <v>1927</v>
      </c>
      <c r="D2410" s="10">
        <v>45729</v>
      </c>
      <c r="E2410" s="11" t="str">
        <f>+HYPERLINK("http://trademark.i-assist.jp/data/china/image_1927th/82591020.pdf","82591020")</f>
        <v>82591020</v>
      </c>
      <c r="F2410" s="9" t="s">
        <v>6646</v>
      </c>
      <c r="G2410" s="9" t="s">
        <v>6647</v>
      </c>
      <c r="H2410" s="9" t="s">
        <v>6648</v>
      </c>
      <c r="I2410" s="10">
        <v>45643</v>
      </c>
    </row>
    <row r="2411" spans="1:9" x14ac:dyDescent="0.15">
      <c r="A2411" s="9">
        <v>2410</v>
      </c>
      <c r="B2411" s="9" t="s">
        <v>9</v>
      </c>
      <c r="C2411" s="9">
        <v>1927</v>
      </c>
      <c r="D2411" s="10">
        <v>45729</v>
      </c>
      <c r="E2411" s="11" t="str">
        <f>+HYPERLINK("http://trademark.i-assist.jp/data/china/image_1927th/82591066.pdf","82591066")</f>
        <v>82591066</v>
      </c>
      <c r="F2411" s="9" t="s">
        <v>6649</v>
      </c>
      <c r="G2411" s="9" t="s">
        <v>6650</v>
      </c>
      <c r="H2411" s="9" t="s">
        <v>6651</v>
      </c>
      <c r="I2411" s="10">
        <v>45643</v>
      </c>
    </row>
    <row r="2412" spans="1:9" x14ac:dyDescent="0.15">
      <c r="A2412" s="9">
        <v>2411</v>
      </c>
      <c r="B2412" s="9" t="s">
        <v>9</v>
      </c>
      <c r="C2412" s="9">
        <v>1927</v>
      </c>
      <c r="D2412" s="10">
        <v>45729</v>
      </c>
      <c r="E2412" s="11" t="str">
        <f>+HYPERLINK("http://trademark.i-assist.jp/data/china/image_1927th/82591441.pdf","82591441")</f>
        <v>82591441</v>
      </c>
      <c r="F2412" s="12" t="s">
        <v>6652</v>
      </c>
      <c r="G2412" s="9" t="s">
        <v>6572</v>
      </c>
      <c r="H2412" s="9" t="s">
        <v>6653</v>
      </c>
      <c r="I2412" s="10">
        <v>45643</v>
      </c>
    </row>
    <row r="2413" spans="1:9" x14ac:dyDescent="0.15">
      <c r="A2413" s="9">
        <v>2412</v>
      </c>
      <c r="B2413" s="9" t="s">
        <v>9</v>
      </c>
      <c r="C2413" s="9">
        <v>1927</v>
      </c>
      <c r="D2413" s="10">
        <v>45729</v>
      </c>
      <c r="E2413" s="11" t="str">
        <f>+HYPERLINK("http://trademark.i-assist.jp/data/china/image_1927th/82592139.pdf","82592139")</f>
        <v>82592139</v>
      </c>
      <c r="F2413" s="12" t="s">
        <v>6654</v>
      </c>
      <c r="G2413" s="9" t="s">
        <v>6655</v>
      </c>
      <c r="H2413" s="9" t="s">
        <v>6656</v>
      </c>
      <c r="I2413" s="10">
        <v>45643</v>
      </c>
    </row>
    <row r="2414" spans="1:9" x14ac:dyDescent="0.15">
      <c r="A2414" s="9">
        <v>2413</v>
      </c>
      <c r="B2414" s="9" t="s">
        <v>9</v>
      </c>
      <c r="C2414" s="9">
        <v>1927</v>
      </c>
      <c r="D2414" s="10">
        <v>45729</v>
      </c>
      <c r="E2414" s="11" t="str">
        <f>+HYPERLINK("http://trademark.i-assist.jp/data/china/image_1927th/82592160.pdf","82592160")</f>
        <v>82592160</v>
      </c>
      <c r="F2414" s="9" t="s">
        <v>6657</v>
      </c>
      <c r="G2414" s="9" t="s">
        <v>6658</v>
      </c>
      <c r="H2414" s="9" t="s">
        <v>6659</v>
      </c>
      <c r="I2414" s="10">
        <v>45643</v>
      </c>
    </row>
    <row r="2415" spans="1:9" x14ac:dyDescent="0.15">
      <c r="A2415" s="9">
        <v>2414</v>
      </c>
      <c r="B2415" s="9" t="s">
        <v>9</v>
      </c>
      <c r="C2415" s="9">
        <v>1927</v>
      </c>
      <c r="D2415" s="10">
        <v>45729</v>
      </c>
      <c r="E2415" s="11" t="str">
        <f>+HYPERLINK("http://trademark.i-assist.jp/data/china/image_1927th/82592369.pdf","82592369")</f>
        <v>82592369</v>
      </c>
      <c r="F2415" s="9" t="s">
        <v>6660</v>
      </c>
      <c r="G2415" s="9" t="s">
        <v>6661</v>
      </c>
      <c r="H2415" s="9" t="s">
        <v>6662</v>
      </c>
      <c r="I2415" s="10">
        <v>45643</v>
      </c>
    </row>
    <row r="2416" spans="1:9" x14ac:dyDescent="0.15">
      <c r="A2416" s="9">
        <v>2415</v>
      </c>
      <c r="B2416" s="9" t="s">
        <v>9</v>
      </c>
      <c r="C2416" s="9">
        <v>1927</v>
      </c>
      <c r="D2416" s="10">
        <v>45729</v>
      </c>
      <c r="E2416" s="11" t="str">
        <f>+HYPERLINK("http://trademark.i-assist.jp/data/china/image_1927th/82592708.pdf","82592708")</f>
        <v>82592708</v>
      </c>
      <c r="F2416" s="9" t="s">
        <v>6663</v>
      </c>
      <c r="G2416" s="9" t="s">
        <v>6664</v>
      </c>
      <c r="H2416" s="9" t="s">
        <v>6665</v>
      </c>
      <c r="I2416" s="10">
        <v>45643</v>
      </c>
    </row>
    <row r="2417" spans="1:9" x14ac:dyDescent="0.15">
      <c r="A2417" s="9">
        <v>2416</v>
      </c>
      <c r="B2417" s="9" t="s">
        <v>9</v>
      </c>
      <c r="C2417" s="9">
        <v>1927</v>
      </c>
      <c r="D2417" s="10">
        <v>45729</v>
      </c>
      <c r="E2417" s="11" t="str">
        <f>+HYPERLINK("http://trademark.i-assist.jp/data/china/image_1927th/82592774.pdf","82592774")</f>
        <v>82592774</v>
      </c>
      <c r="F2417" s="9" t="s">
        <v>6666</v>
      </c>
      <c r="G2417" s="12" t="s">
        <v>71</v>
      </c>
      <c r="H2417" s="9" t="s">
        <v>6667</v>
      </c>
      <c r="I2417" s="10">
        <v>45643</v>
      </c>
    </row>
    <row r="2418" spans="1:9" x14ac:dyDescent="0.15">
      <c r="A2418" s="9">
        <v>2417</v>
      </c>
      <c r="B2418" s="9" t="s">
        <v>9</v>
      </c>
      <c r="C2418" s="9">
        <v>1927</v>
      </c>
      <c r="D2418" s="10">
        <v>45729</v>
      </c>
      <c r="E2418" s="11" t="str">
        <f>+HYPERLINK("http://trademark.i-assist.jp/data/china/image_1927th/82592791.pdf","82592791")</f>
        <v>82592791</v>
      </c>
      <c r="F2418" s="9" t="s">
        <v>6668</v>
      </c>
      <c r="G2418" s="12" t="s">
        <v>6669</v>
      </c>
      <c r="H2418" s="12" t="s">
        <v>6670</v>
      </c>
      <c r="I2418" s="10">
        <v>45643</v>
      </c>
    </row>
    <row r="2419" spans="1:9" x14ac:dyDescent="0.15">
      <c r="A2419" s="9">
        <v>2418</v>
      </c>
      <c r="B2419" s="9" t="s">
        <v>9</v>
      </c>
      <c r="C2419" s="9">
        <v>1927</v>
      </c>
      <c r="D2419" s="10">
        <v>45729</v>
      </c>
      <c r="E2419" s="11" t="str">
        <f>+HYPERLINK("http://trademark.i-assist.jp/data/china/image_1927th/82592848.pdf","82592848")</f>
        <v>82592848</v>
      </c>
      <c r="F2419" s="9" t="s">
        <v>6671</v>
      </c>
      <c r="G2419" s="9" t="s">
        <v>6672</v>
      </c>
      <c r="H2419" s="9" t="s">
        <v>6673</v>
      </c>
      <c r="I2419" s="10">
        <v>45643</v>
      </c>
    </row>
    <row r="2420" spans="1:9" x14ac:dyDescent="0.15">
      <c r="A2420" s="9">
        <v>2419</v>
      </c>
      <c r="B2420" s="9" t="s">
        <v>9</v>
      </c>
      <c r="C2420" s="9">
        <v>1927</v>
      </c>
      <c r="D2420" s="10">
        <v>45729</v>
      </c>
      <c r="E2420" s="11" t="str">
        <f>+HYPERLINK("http://trademark.i-assist.jp/data/china/image_1927th/82592865.pdf","82592865")</f>
        <v>82592865</v>
      </c>
      <c r="F2420" s="12" t="s">
        <v>6674</v>
      </c>
      <c r="G2420" s="9" t="s">
        <v>6675</v>
      </c>
      <c r="H2420" s="9" t="s">
        <v>6676</v>
      </c>
      <c r="I2420" s="10">
        <v>45643</v>
      </c>
    </row>
    <row r="2421" spans="1:9" x14ac:dyDescent="0.15">
      <c r="A2421" s="9">
        <v>2420</v>
      </c>
      <c r="B2421" s="9" t="s">
        <v>9</v>
      </c>
      <c r="C2421" s="9">
        <v>1927</v>
      </c>
      <c r="D2421" s="10">
        <v>45729</v>
      </c>
      <c r="E2421" s="11" t="str">
        <f>+HYPERLINK("http://trademark.i-assist.jp/data/china/image_1927th/82592984.pdf","82592984")</f>
        <v>82592984</v>
      </c>
      <c r="F2421" s="12" t="s">
        <v>6677</v>
      </c>
      <c r="G2421" s="12" t="s">
        <v>6678</v>
      </c>
      <c r="H2421" s="9" t="s">
        <v>6679</v>
      </c>
      <c r="I2421" s="10">
        <v>45643</v>
      </c>
    </row>
    <row r="2422" spans="1:9" x14ac:dyDescent="0.15">
      <c r="A2422" s="9">
        <v>2421</v>
      </c>
      <c r="B2422" s="9" t="s">
        <v>9</v>
      </c>
      <c r="C2422" s="9">
        <v>1927</v>
      </c>
      <c r="D2422" s="10">
        <v>45729</v>
      </c>
      <c r="E2422" s="11" t="str">
        <f>+HYPERLINK("http://trademark.i-assist.jp/data/china/image_1927th/82593270.pdf","82593270")</f>
        <v>82593270</v>
      </c>
      <c r="F2422" s="9" t="s">
        <v>6680</v>
      </c>
      <c r="G2422" s="9" t="s">
        <v>6681</v>
      </c>
      <c r="H2422" s="9" t="s">
        <v>6682</v>
      </c>
      <c r="I2422" s="10">
        <v>45643</v>
      </c>
    </row>
    <row r="2423" spans="1:9" x14ac:dyDescent="0.15">
      <c r="A2423" s="9">
        <v>2422</v>
      </c>
      <c r="B2423" s="9" t="s">
        <v>9</v>
      </c>
      <c r="C2423" s="9">
        <v>1927</v>
      </c>
      <c r="D2423" s="10">
        <v>45729</v>
      </c>
      <c r="E2423" s="11" t="str">
        <f>+HYPERLINK("http://trademark.i-assist.jp/data/china/image_1927th/82593371.pdf","82593371")</f>
        <v>82593371</v>
      </c>
      <c r="F2423" s="12" t="s">
        <v>6683</v>
      </c>
      <c r="G2423" s="9" t="s">
        <v>6684</v>
      </c>
      <c r="H2423" s="9" t="s">
        <v>6685</v>
      </c>
      <c r="I2423" s="10">
        <v>45643</v>
      </c>
    </row>
    <row r="2424" spans="1:9" x14ac:dyDescent="0.15">
      <c r="A2424" s="9">
        <v>2423</v>
      </c>
      <c r="B2424" s="9" t="s">
        <v>9</v>
      </c>
      <c r="C2424" s="9">
        <v>1927</v>
      </c>
      <c r="D2424" s="10">
        <v>45729</v>
      </c>
      <c r="E2424" s="11" t="str">
        <f>+HYPERLINK("http://trademark.i-assist.jp/data/china/image_1927th/82594112.pdf","82594112")</f>
        <v>82594112</v>
      </c>
      <c r="F2424" s="9" t="s">
        <v>6686</v>
      </c>
      <c r="G2424" s="9" t="s">
        <v>6687</v>
      </c>
      <c r="H2424" s="12" t="s">
        <v>6688</v>
      </c>
      <c r="I2424" s="10">
        <v>45643</v>
      </c>
    </row>
    <row r="2425" spans="1:9" x14ac:dyDescent="0.15">
      <c r="A2425" s="9">
        <v>2424</v>
      </c>
      <c r="B2425" s="9" t="s">
        <v>9</v>
      </c>
      <c r="C2425" s="9">
        <v>1927</v>
      </c>
      <c r="D2425" s="10">
        <v>45729</v>
      </c>
      <c r="E2425" s="11" t="str">
        <f>+HYPERLINK("http://trademark.i-assist.jp/data/china/image_1927th/82594136.pdf","82594136")</f>
        <v>82594136</v>
      </c>
      <c r="F2425" s="12" t="s">
        <v>6689</v>
      </c>
      <c r="G2425" s="9" t="s">
        <v>6690</v>
      </c>
      <c r="H2425" s="9" t="s">
        <v>6691</v>
      </c>
      <c r="I2425" s="10">
        <v>45643</v>
      </c>
    </row>
    <row r="2426" spans="1:9" x14ac:dyDescent="0.15">
      <c r="A2426" s="9">
        <v>2425</v>
      </c>
      <c r="B2426" s="9" t="s">
        <v>9</v>
      </c>
      <c r="C2426" s="9">
        <v>1927</v>
      </c>
      <c r="D2426" s="10">
        <v>45729</v>
      </c>
      <c r="E2426" s="11" t="str">
        <f>+HYPERLINK("http://trademark.i-assist.jp/data/china/image_1927th/82594213.pdf","82594213")</f>
        <v>82594213</v>
      </c>
      <c r="F2426" s="9" t="s">
        <v>6692</v>
      </c>
      <c r="G2426" s="9" t="s">
        <v>6693</v>
      </c>
      <c r="H2426" s="9" t="s">
        <v>6694</v>
      </c>
      <c r="I2426" s="10">
        <v>45643</v>
      </c>
    </row>
    <row r="2427" spans="1:9" x14ac:dyDescent="0.15">
      <c r="A2427" s="9">
        <v>2426</v>
      </c>
      <c r="B2427" s="9" t="s">
        <v>9</v>
      </c>
      <c r="C2427" s="9">
        <v>1927</v>
      </c>
      <c r="D2427" s="10">
        <v>45729</v>
      </c>
      <c r="E2427" s="11" t="str">
        <f>+HYPERLINK("http://trademark.i-assist.jp/data/china/image_1927th/82594280.pdf","82594280")</f>
        <v>82594280</v>
      </c>
      <c r="F2427" s="9" t="s">
        <v>6695</v>
      </c>
      <c r="G2427" s="9" t="s">
        <v>6696</v>
      </c>
      <c r="H2427" s="9" t="s">
        <v>6697</v>
      </c>
      <c r="I2427" s="10">
        <v>45643</v>
      </c>
    </row>
    <row r="2428" spans="1:9" x14ac:dyDescent="0.15">
      <c r="A2428" s="9">
        <v>2427</v>
      </c>
      <c r="B2428" s="9" t="s">
        <v>9</v>
      </c>
      <c r="C2428" s="9">
        <v>1927</v>
      </c>
      <c r="D2428" s="10">
        <v>45729</v>
      </c>
      <c r="E2428" s="11" t="str">
        <f>+HYPERLINK("http://trademark.i-assist.jp/data/china/image_1927th/82594341.pdf","82594341")</f>
        <v>82594341</v>
      </c>
      <c r="F2428" s="9" t="s">
        <v>6698</v>
      </c>
      <c r="G2428" s="12" t="s">
        <v>6699</v>
      </c>
      <c r="H2428" s="9" t="s">
        <v>6700</v>
      </c>
      <c r="I2428" s="10">
        <v>45643</v>
      </c>
    </row>
    <row r="2429" spans="1:9" x14ac:dyDescent="0.15">
      <c r="A2429" s="9">
        <v>2428</v>
      </c>
      <c r="B2429" s="9" t="s">
        <v>9</v>
      </c>
      <c r="C2429" s="9">
        <v>1927</v>
      </c>
      <c r="D2429" s="10">
        <v>45729</v>
      </c>
      <c r="E2429" s="11" t="str">
        <f>+HYPERLINK("http://trademark.i-assist.jp/data/china/image_1927th/82594690.pdf","82594690")</f>
        <v>82594690</v>
      </c>
      <c r="F2429" s="9" t="s">
        <v>6701</v>
      </c>
      <c r="G2429" s="9" t="s">
        <v>6702</v>
      </c>
      <c r="H2429" s="9" t="s">
        <v>6703</v>
      </c>
      <c r="I2429" s="10">
        <v>45643</v>
      </c>
    </row>
    <row r="2430" spans="1:9" x14ac:dyDescent="0.15">
      <c r="A2430" s="9">
        <v>2429</v>
      </c>
      <c r="B2430" s="9" t="s">
        <v>9</v>
      </c>
      <c r="C2430" s="9">
        <v>1927</v>
      </c>
      <c r="D2430" s="10">
        <v>45729</v>
      </c>
      <c r="E2430" s="11" t="str">
        <f>+HYPERLINK("http://trademark.i-assist.jp/data/china/image_1927th/82594993.pdf","82594993")</f>
        <v>82594993</v>
      </c>
      <c r="F2430" s="9" t="s">
        <v>6704</v>
      </c>
      <c r="G2430" s="9" t="s">
        <v>6705</v>
      </c>
      <c r="H2430" s="9" t="s">
        <v>6706</v>
      </c>
      <c r="I2430" s="10">
        <v>45643</v>
      </c>
    </row>
    <row r="2431" spans="1:9" x14ac:dyDescent="0.15">
      <c r="A2431" s="9">
        <v>2430</v>
      </c>
      <c r="B2431" s="9" t="s">
        <v>9</v>
      </c>
      <c r="C2431" s="9">
        <v>1927</v>
      </c>
      <c r="D2431" s="10">
        <v>45729</v>
      </c>
      <c r="E2431" s="11" t="str">
        <f>+HYPERLINK("http://trademark.i-assist.jp/data/china/image_1927th/82595370.pdf","82595370")</f>
        <v>82595370</v>
      </c>
      <c r="F2431" s="9" t="s">
        <v>6707</v>
      </c>
      <c r="G2431" s="12" t="s">
        <v>6708</v>
      </c>
      <c r="H2431" s="9" t="s">
        <v>6709</v>
      </c>
      <c r="I2431" s="10">
        <v>45643</v>
      </c>
    </row>
    <row r="2432" spans="1:9" x14ac:dyDescent="0.15">
      <c r="A2432" s="9">
        <v>2431</v>
      </c>
      <c r="B2432" s="9" t="s">
        <v>9</v>
      </c>
      <c r="C2432" s="9">
        <v>1927</v>
      </c>
      <c r="D2432" s="10">
        <v>45729</v>
      </c>
      <c r="E2432" s="11" t="str">
        <f>+HYPERLINK("http://trademark.i-assist.jp/data/china/image_1927th/82595905.pdf","82595905")</f>
        <v>82595905</v>
      </c>
      <c r="F2432" s="12" t="s">
        <v>6710</v>
      </c>
      <c r="G2432" s="12" t="s">
        <v>6711</v>
      </c>
      <c r="H2432" s="9" t="s">
        <v>6712</v>
      </c>
      <c r="I2432" s="10">
        <v>45643</v>
      </c>
    </row>
    <row r="2433" spans="1:9" x14ac:dyDescent="0.15">
      <c r="A2433" s="9">
        <v>2432</v>
      </c>
      <c r="B2433" s="9" t="s">
        <v>9</v>
      </c>
      <c r="C2433" s="9">
        <v>1927</v>
      </c>
      <c r="D2433" s="10">
        <v>45729</v>
      </c>
      <c r="E2433" s="11" t="str">
        <f>+HYPERLINK("http://trademark.i-assist.jp/data/china/image_1927th/82595965.pdf","82595965")</f>
        <v>82595965</v>
      </c>
      <c r="F2433" s="12" t="s">
        <v>6713</v>
      </c>
      <c r="G2433" s="9" t="s">
        <v>6569</v>
      </c>
      <c r="H2433" s="9" t="s">
        <v>6714</v>
      </c>
      <c r="I2433" s="10">
        <v>45643</v>
      </c>
    </row>
    <row r="2434" spans="1:9" x14ac:dyDescent="0.15">
      <c r="A2434" s="9">
        <v>2433</v>
      </c>
      <c r="B2434" s="9" t="s">
        <v>9</v>
      </c>
      <c r="C2434" s="9">
        <v>1927</v>
      </c>
      <c r="D2434" s="10">
        <v>45729</v>
      </c>
      <c r="E2434" s="11" t="str">
        <f>+HYPERLINK("http://trademark.i-assist.jp/data/china/image_1927th/82596033.pdf","82596033")</f>
        <v>82596033</v>
      </c>
      <c r="F2434" s="9" t="s">
        <v>6627</v>
      </c>
      <c r="G2434" s="9" t="s">
        <v>6628</v>
      </c>
      <c r="H2434" s="9" t="s">
        <v>6715</v>
      </c>
      <c r="I2434" s="10">
        <v>45643</v>
      </c>
    </row>
    <row r="2435" spans="1:9" x14ac:dyDescent="0.15">
      <c r="A2435" s="9">
        <v>2434</v>
      </c>
      <c r="B2435" s="9" t="s">
        <v>9</v>
      </c>
      <c r="C2435" s="9">
        <v>1927</v>
      </c>
      <c r="D2435" s="10">
        <v>45729</v>
      </c>
      <c r="E2435" s="11" t="str">
        <f>+HYPERLINK("http://trademark.i-assist.jp/data/china/image_1927th/82596761.pdf","82596761")</f>
        <v>82596761</v>
      </c>
      <c r="F2435" s="9" t="s">
        <v>6716</v>
      </c>
      <c r="G2435" s="9" t="s">
        <v>6717</v>
      </c>
      <c r="H2435" s="9" t="s">
        <v>17</v>
      </c>
      <c r="I2435" s="10">
        <v>45643</v>
      </c>
    </row>
    <row r="2436" spans="1:9" x14ac:dyDescent="0.15">
      <c r="A2436" s="9">
        <v>2435</v>
      </c>
      <c r="B2436" s="9" t="s">
        <v>9</v>
      </c>
      <c r="C2436" s="9">
        <v>1927</v>
      </c>
      <c r="D2436" s="10">
        <v>45729</v>
      </c>
      <c r="E2436" s="11" t="str">
        <f>+HYPERLINK("http://trademark.i-assist.jp/data/china/image_1927th/82596793.pdf","82596793")</f>
        <v>82596793</v>
      </c>
      <c r="F2436" s="9" t="s">
        <v>6718</v>
      </c>
      <c r="G2436" s="9" t="s">
        <v>6719</v>
      </c>
      <c r="H2436" s="9" t="s">
        <v>6720</v>
      </c>
      <c r="I2436" s="10">
        <v>45643</v>
      </c>
    </row>
    <row r="2437" spans="1:9" x14ac:dyDescent="0.15">
      <c r="A2437" s="9">
        <v>2436</v>
      </c>
      <c r="B2437" s="9" t="s">
        <v>9</v>
      </c>
      <c r="C2437" s="9">
        <v>1927</v>
      </c>
      <c r="D2437" s="10">
        <v>45729</v>
      </c>
      <c r="E2437" s="11" t="str">
        <f>+HYPERLINK("http://trademark.i-assist.jp/data/china/image_1927th/82596965.pdf","82596965")</f>
        <v>82596965</v>
      </c>
      <c r="F2437" s="9" t="s">
        <v>6721</v>
      </c>
      <c r="G2437" s="9" t="s">
        <v>6722</v>
      </c>
      <c r="H2437" s="9" t="s">
        <v>6723</v>
      </c>
      <c r="I2437" s="10">
        <v>45643</v>
      </c>
    </row>
    <row r="2438" spans="1:9" x14ac:dyDescent="0.15">
      <c r="A2438" s="9">
        <v>2437</v>
      </c>
      <c r="B2438" s="9" t="s">
        <v>9</v>
      </c>
      <c r="C2438" s="9">
        <v>1927</v>
      </c>
      <c r="D2438" s="10">
        <v>45729</v>
      </c>
      <c r="E2438" s="11" t="str">
        <f>+HYPERLINK("http://trademark.i-assist.jp/data/china/image_1927th/82596990.pdf","82596990")</f>
        <v>82596990</v>
      </c>
      <c r="F2438" s="9" t="s">
        <v>6724</v>
      </c>
      <c r="G2438" s="9" t="s">
        <v>6725</v>
      </c>
      <c r="H2438" s="12" t="s">
        <v>6726</v>
      </c>
      <c r="I2438" s="10">
        <v>45643</v>
      </c>
    </row>
    <row r="2439" spans="1:9" x14ac:dyDescent="0.15">
      <c r="A2439" s="9">
        <v>2438</v>
      </c>
      <c r="B2439" s="9" t="s">
        <v>9</v>
      </c>
      <c r="C2439" s="9">
        <v>1927</v>
      </c>
      <c r="D2439" s="10">
        <v>45729</v>
      </c>
      <c r="E2439" s="11" t="str">
        <f>+HYPERLINK("http://trademark.i-assist.jp/data/china/image_1927th/82597017.pdf","82597017")</f>
        <v>82597017</v>
      </c>
      <c r="F2439" s="9" t="s">
        <v>6727</v>
      </c>
      <c r="G2439" s="9" t="s">
        <v>6728</v>
      </c>
      <c r="H2439" s="9" t="s">
        <v>6729</v>
      </c>
      <c r="I2439" s="10">
        <v>45643</v>
      </c>
    </row>
    <row r="2440" spans="1:9" x14ac:dyDescent="0.15">
      <c r="A2440" s="9">
        <v>2439</v>
      </c>
      <c r="B2440" s="9" t="s">
        <v>9</v>
      </c>
      <c r="C2440" s="9">
        <v>1927</v>
      </c>
      <c r="D2440" s="10">
        <v>45729</v>
      </c>
      <c r="E2440" s="11" t="str">
        <f>+HYPERLINK("http://trademark.i-assist.jp/data/china/image_1927th/82597613.pdf","82597613")</f>
        <v>82597613</v>
      </c>
      <c r="F2440" s="9" t="s">
        <v>6730</v>
      </c>
      <c r="G2440" s="9" t="s">
        <v>6731</v>
      </c>
      <c r="H2440" s="9" t="s">
        <v>6732</v>
      </c>
      <c r="I2440" s="10">
        <v>45643</v>
      </c>
    </row>
    <row r="2441" spans="1:9" x14ac:dyDescent="0.15">
      <c r="A2441" s="9">
        <v>2440</v>
      </c>
      <c r="B2441" s="9" t="s">
        <v>9</v>
      </c>
      <c r="C2441" s="9">
        <v>1927</v>
      </c>
      <c r="D2441" s="10">
        <v>45729</v>
      </c>
      <c r="E2441" s="11" t="str">
        <f>+HYPERLINK("http://trademark.i-assist.jp/data/china/image_1927th/82597772.pdf","82597772")</f>
        <v>82597772</v>
      </c>
      <c r="F2441" s="12" t="s">
        <v>6733</v>
      </c>
      <c r="G2441" s="12" t="s">
        <v>6734</v>
      </c>
      <c r="H2441" s="9" t="s">
        <v>6735</v>
      </c>
      <c r="I2441" s="10">
        <v>45643</v>
      </c>
    </row>
    <row r="2442" spans="1:9" x14ac:dyDescent="0.15">
      <c r="A2442" s="9">
        <v>2441</v>
      </c>
      <c r="B2442" s="9" t="s">
        <v>9</v>
      </c>
      <c r="C2442" s="9">
        <v>1927</v>
      </c>
      <c r="D2442" s="10">
        <v>45729</v>
      </c>
      <c r="E2442" s="11" t="str">
        <f>+HYPERLINK("http://trademark.i-assist.jp/data/china/image_1927th/82597845.pdf","82597845")</f>
        <v>82597845</v>
      </c>
      <c r="F2442" s="9" t="s">
        <v>6736</v>
      </c>
      <c r="G2442" s="9" t="s">
        <v>6737</v>
      </c>
      <c r="H2442" s="9" t="s">
        <v>6738</v>
      </c>
      <c r="I2442" s="10">
        <v>45643</v>
      </c>
    </row>
    <row r="2443" spans="1:9" x14ac:dyDescent="0.15">
      <c r="A2443" s="9">
        <v>2442</v>
      </c>
      <c r="B2443" s="9" t="s">
        <v>9</v>
      </c>
      <c r="C2443" s="9">
        <v>1927</v>
      </c>
      <c r="D2443" s="10">
        <v>45729</v>
      </c>
      <c r="E2443" s="11" t="str">
        <f>+HYPERLINK("http://trademark.i-assist.jp/data/china/image_1927th/82598060.pdf","82598060")</f>
        <v>82598060</v>
      </c>
      <c r="F2443" s="9" t="s">
        <v>6739</v>
      </c>
      <c r="G2443" s="9" t="s">
        <v>6740</v>
      </c>
      <c r="H2443" s="9" t="s">
        <v>6741</v>
      </c>
      <c r="I2443" s="10">
        <v>45643</v>
      </c>
    </row>
    <row r="2444" spans="1:9" x14ac:dyDescent="0.15">
      <c r="A2444" s="9">
        <v>2443</v>
      </c>
      <c r="B2444" s="9" t="s">
        <v>9</v>
      </c>
      <c r="C2444" s="9">
        <v>1927</v>
      </c>
      <c r="D2444" s="10">
        <v>45729</v>
      </c>
      <c r="E2444" s="11" t="str">
        <f>+HYPERLINK("http://trademark.i-assist.jp/data/china/image_1927th/82598154.pdf","82598154")</f>
        <v>82598154</v>
      </c>
      <c r="F2444" s="9" t="s">
        <v>6742</v>
      </c>
      <c r="G2444" s="9" t="s">
        <v>6743</v>
      </c>
      <c r="H2444" s="9" t="s">
        <v>6744</v>
      </c>
      <c r="I2444" s="10">
        <v>45643</v>
      </c>
    </row>
    <row r="2445" spans="1:9" x14ac:dyDescent="0.15">
      <c r="A2445" s="9">
        <v>2444</v>
      </c>
      <c r="B2445" s="9" t="s">
        <v>9</v>
      </c>
      <c r="C2445" s="9">
        <v>1927</v>
      </c>
      <c r="D2445" s="10">
        <v>45729</v>
      </c>
      <c r="E2445" s="11" t="str">
        <f>+HYPERLINK("http://trademark.i-assist.jp/data/china/image_1927th/82598640.pdf","82598640")</f>
        <v>82598640</v>
      </c>
      <c r="F2445" s="9" t="s">
        <v>6745</v>
      </c>
      <c r="G2445" s="9" t="s">
        <v>6655</v>
      </c>
      <c r="H2445" s="9" t="s">
        <v>6746</v>
      </c>
      <c r="I2445" s="10">
        <v>45643</v>
      </c>
    </row>
    <row r="2446" spans="1:9" x14ac:dyDescent="0.15">
      <c r="A2446" s="9">
        <v>2445</v>
      </c>
      <c r="B2446" s="9" t="s">
        <v>9</v>
      </c>
      <c r="C2446" s="9">
        <v>1927</v>
      </c>
      <c r="D2446" s="10">
        <v>45729</v>
      </c>
      <c r="E2446" s="11" t="str">
        <f>+HYPERLINK("http://trademark.i-assist.jp/data/china/image_1927th/82598861.pdf","82598861")</f>
        <v>82598861</v>
      </c>
      <c r="F2446" s="9" t="s">
        <v>6747</v>
      </c>
      <c r="G2446" s="9" t="s">
        <v>6748</v>
      </c>
      <c r="H2446" s="9" t="s">
        <v>6749</v>
      </c>
      <c r="I2446" s="10">
        <v>45643</v>
      </c>
    </row>
    <row r="2447" spans="1:9" x14ac:dyDescent="0.15">
      <c r="A2447" s="9">
        <v>2446</v>
      </c>
      <c r="B2447" s="9" t="s">
        <v>9</v>
      </c>
      <c r="C2447" s="9">
        <v>1927</v>
      </c>
      <c r="D2447" s="10">
        <v>45729</v>
      </c>
      <c r="E2447" s="11" t="str">
        <f>+HYPERLINK("http://trademark.i-assist.jp/data/china/image_1927th/82599103.pdf","82599103")</f>
        <v>82599103</v>
      </c>
      <c r="F2447" s="9" t="s">
        <v>6750</v>
      </c>
      <c r="G2447" s="12" t="s">
        <v>158</v>
      </c>
      <c r="H2447" s="9" t="s">
        <v>6751</v>
      </c>
      <c r="I2447" s="10">
        <v>45643</v>
      </c>
    </row>
    <row r="2448" spans="1:9" x14ac:dyDescent="0.15">
      <c r="A2448" s="9">
        <v>2447</v>
      </c>
      <c r="B2448" s="9" t="s">
        <v>9</v>
      </c>
      <c r="C2448" s="9">
        <v>1927</v>
      </c>
      <c r="D2448" s="10">
        <v>45729</v>
      </c>
      <c r="E2448" s="11" t="str">
        <f>+HYPERLINK("http://trademark.i-assist.jp/data/china/image_1927th/82599275.pdf","82599275")</f>
        <v>82599275</v>
      </c>
      <c r="F2448" s="12" t="s">
        <v>16</v>
      </c>
      <c r="G2448" s="9" t="s">
        <v>6752</v>
      </c>
      <c r="H2448" s="9" t="s">
        <v>6753</v>
      </c>
      <c r="I2448" s="10">
        <v>45643</v>
      </c>
    </row>
    <row r="2449" spans="1:9" x14ac:dyDescent="0.15">
      <c r="A2449" s="9">
        <v>2448</v>
      </c>
      <c r="B2449" s="9" t="s">
        <v>9</v>
      </c>
      <c r="C2449" s="9">
        <v>1927</v>
      </c>
      <c r="D2449" s="10">
        <v>45729</v>
      </c>
      <c r="E2449" s="11" t="str">
        <f>+HYPERLINK("http://trademark.i-assist.jp/data/china/image_1927th/82599404.pdf","82599404")</f>
        <v>82599404</v>
      </c>
      <c r="F2449" s="9" t="s">
        <v>6754</v>
      </c>
      <c r="G2449" s="12" t="s">
        <v>6711</v>
      </c>
      <c r="H2449" s="9" t="s">
        <v>6755</v>
      </c>
      <c r="I2449" s="10">
        <v>45643</v>
      </c>
    </row>
    <row r="2450" spans="1:9" x14ac:dyDescent="0.15">
      <c r="A2450" s="9">
        <v>2449</v>
      </c>
      <c r="B2450" s="9" t="s">
        <v>9</v>
      </c>
      <c r="C2450" s="9">
        <v>1927</v>
      </c>
      <c r="D2450" s="10">
        <v>45729</v>
      </c>
      <c r="E2450" s="11" t="str">
        <f>+HYPERLINK("http://trademark.i-assist.jp/data/china/image_1927th/82599442.pdf","82599442")</f>
        <v>82599442</v>
      </c>
      <c r="F2450" s="9" t="s">
        <v>6756</v>
      </c>
      <c r="G2450" s="9" t="s">
        <v>6757</v>
      </c>
      <c r="H2450" s="9" t="s">
        <v>6758</v>
      </c>
      <c r="I2450" s="10">
        <v>45643</v>
      </c>
    </row>
    <row r="2451" spans="1:9" x14ac:dyDescent="0.15">
      <c r="A2451" s="9">
        <v>2450</v>
      </c>
      <c r="B2451" s="9" t="s">
        <v>9</v>
      </c>
      <c r="C2451" s="9">
        <v>1927</v>
      </c>
      <c r="D2451" s="10">
        <v>45729</v>
      </c>
      <c r="E2451" s="11" t="str">
        <f>+HYPERLINK("http://trademark.i-assist.jp/data/china/image_1927th/82599507.pdf","82599507")</f>
        <v>82599507</v>
      </c>
      <c r="F2451" s="9" t="s">
        <v>6759</v>
      </c>
      <c r="G2451" s="12" t="s">
        <v>6760</v>
      </c>
      <c r="H2451" s="9" t="s">
        <v>6761</v>
      </c>
      <c r="I2451" s="10">
        <v>45643</v>
      </c>
    </row>
    <row r="2452" spans="1:9" x14ac:dyDescent="0.15">
      <c r="A2452" s="9">
        <v>2451</v>
      </c>
      <c r="B2452" s="9" t="s">
        <v>9</v>
      </c>
      <c r="C2452" s="9">
        <v>1927</v>
      </c>
      <c r="D2452" s="10">
        <v>45729</v>
      </c>
      <c r="E2452" s="11" t="str">
        <f>+HYPERLINK("http://trademark.i-assist.jp/data/china/image_1927th/82599738.pdf","82599738")</f>
        <v>82599738</v>
      </c>
      <c r="F2452" s="9" t="s">
        <v>6762</v>
      </c>
      <c r="G2452" s="12" t="s">
        <v>140</v>
      </c>
      <c r="H2452" s="9" t="s">
        <v>6763</v>
      </c>
      <c r="I2452" s="10">
        <v>45643</v>
      </c>
    </row>
    <row r="2453" spans="1:9" x14ac:dyDescent="0.15">
      <c r="A2453" s="9">
        <v>2452</v>
      </c>
      <c r="B2453" s="9" t="s">
        <v>9</v>
      </c>
      <c r="C2453" s="9">
        <v>1927</v>
      </c>
      <c r="D2453" s="10">
        <v>45729</v>
      </c>
      <c r="E2453" s="11" t="str">
        <f>+HYPERLINK("http://trademark.i-assist.jp/data/china/image_1927th/82600011.pdf","82600011")</f>
        <v>82600011</v>
      </c>
      <c r="F2453" s="12" t="s">
        <v>16</v>
      </c>
      <c r="G2453" s="12" t="s">
        <v>6764</v>
      </c>
      <c r="H2453" s="9" t="s">
        <v>6765</v>
      </c>
      <c r="I2453" s="10">
        <v>45643</v>
      </c>
    </row>
    <row r="2454" spans="1:9" x14ac:dyDescent="0.15">
      <c r="A2454" s="9">
        <v>2453</v>
      </c>
      <c r="B2454" s="9" t="s">
        <v>9</v>
      </c>
      <c r="C2454" s="9">
        <v>1927</v>
      </c>
      <c r="D2454" s="10">
        <v>45729</v>
      </c>
      <c r="E2454" s="11" t="str">
        <f>+HYPERLINK("http://trademark.i-assist.jp/data/china/image_1927th/82600051.pdf","82600051")</f>
        <v>82600051</v>
      </c>
      <c r="F2454" s="9" t="s">
        <v>6766</v>
      </c>
      <c r="G2454" s="9" t="s">
        <v>6767</v>
      </c>
      <c r="H2454" s="9" t="s">
        <v>6768</v>
      </c>
      <c r="I2454" s="10">
        <v>45643</v>
      </c>
    </row>
    <row r="2455" spans="1:9" x14ac:dyDescent="0.15">
      <c r="A2455" s="9">
        <v>2454</v>
      </c>
      <c r="B2455" s="9" t="s">
        <v>9</v>
      </c>
      <c r="C2455" s="9">
        <v>1927</v>
      </c>
      <c r="D2455" s="10">
        <v>45729</v>
      </c>
      <c r="E2455" s="11" t="str">
        <f>+HYPERLINK("http://trademark.i-assist.jp/data/china/image_1927th/82600274.pdf","82600274")</f>
        <v>82600274</v>
      </c>
      <c r="F2455" s="9" t="s">
        <v>6769</v>
      </c>
      <c r="G2455" s="9" t="s">
        <v>6575</v>
      </c>
      <c r="H2455" s="12" t="s">
        <v>6770</v>
      </c>
      <c r="I2455" s="10">
        <v>45643</v>
      </c>
    </row>
    <row r="2456" spans="1:9" x14ac:dyDescent="0.15">
      <c r="A2456" s="9">
        <v>2455</v>
      </c>
      <c r="B2456" s="9" t="s">
        <v>9</v>
      </c>
      <c r="C2456" s="9">
        <v>1927</v>
      </c>
      <c r="D2456" s="10">
        <v>45729</v>
      </c>
      <c r="E2456" s="11" t="str">
        <f>+HYPERLINK("http://trademark.i-assist.jp/data/china/image_1927th/82600387.pdf","82600387")</f>
        <v>82600387</v>
      </c>
      <c r="F2456" s="12" t="s">
        <v>6771</v>
      </c>
      <c r="G2456" s="9" t="s">
        <v>6772</v>
      </c>
      <c r="H2456" s="9" t="s">
        <v>6773</v>
      </c>
      <c r="I2456" s="10">
        <v>45643</v>
      </c>
    </row>
    <row r="2457" spans="1:9" x14ac:dyDescent="0.15">
      <c r="A2457" s="9">
        <v>2456</v>
      </c>
      <c r="B2457" s="9" t="s">
        <v>9</v>
      </c>
      <c r="C2457" s="9">
        <v>1927</v>
      </c>
      <c r="D2457" s="10">
        <v>45729</v>
      </c>
      <c r="E2457" s="11" t="str">
        <f>+HYPERLINK("http://trademark.i-assist.jp/data/china/image_1927th/82600410.pdf","82600410")</f>
        <v>82600410</v>
      </c>
      <c r="F2457" s="9" t="s">
        <v>6774</v>
      </c>
      <c r="G2457" s="9" t="s">
        <v>6775</v>
      </c>
      <c r="H2457" s="9" t="s">
        <v>6776</v>
      </c>
      <c r="I2457" s="10">
        <v>45643</v>
      </c>
    </row>
    <row r="2458" spans="1:9" x14ac:dyDescent="0.15">
      <c r="A2458" s="9">
        <v>2457</v>
      </c>
      <c r="B2458" s="9" t="s">
        <v>9</v>
      </c>
      <c r="C2458" s="9">
        <v>1927</v>
      </c>
      <c r="D2458" s="10">
        <v>45729</v>
      </c>
      <c r="E2458" s="11" t="str">
        <f>+HYPERLINK("http://trademark.i-assist.jp/data/china/image_1927th/82600653.pdf","82600653")</f>
        <v>82600653</v>
      </c>
      <c r="F2458" s="9" t="s">
        <v>6777</v>
      </c>
      <c r="G2458" s="9" t="s">
        <v>6778</v>
      </c>
      <c r="H2458" s="9" t="s">
        <v>6779</v>
      </c>
      <c r="I2458" s="10">
        <v>45643</v>
      </c>
    </row>
    <row r="2459" spans="1:9" x14ac:dyDescent="0.15">
      <c r="A2459" s="9">
        <v>2458</v>
      </c>
      <c r="B2459" s="9" t="s">
        <v>9</v>
      </c>
      <c r="C2459" s="9">
        <v>1927</v>
      </c>
      <c r="D2459" s="10">
        <v>45729</v>
      </c>
      <c r="E2459" s="11" t="str">
        <f>+HYPERLINK("http://trademark.i-assist.jp/data/china/image_1927th/82600679.pdf","82600679")</f>
        <v>82600679</v>
      </c>
      <c r="F2459" s="9" t="s">
        <v>6780</v>
      </c>
      <c r="G2459" s="9" t="s">
        <v>6781</v>
      </c>
      <c r="H2459" s="9" t="s">
        <v>6782</v>
      </c>
      <c r="I2459" s="10">
        <v>45643</v>
      </c>
    </row>
    <row r="2460" spans="1:9" x14ac:dyDescent="0.15">
      <c r="A2460" s="9">
        <v>2459</v>
      </c>
      <c r="B2460" s="9" t="s">
        <v>9</v>
      </c>
      <c r="C2460" s="9">
        <v>1927</v>
      </c>
      <c r="D2460" s="10">
        <v>45729</v>
      </c>
      <c r="E2460" s="11" t="str">
        <f>+HYPERLINK("http://trademark.i-assist.jp/data/china/image_1927th/82600734.pdf","82600734")</f>
        <v>82600734</v>
      </c>
      <c r="F2460" s="12" t="s">
        <v>6783</v>
      </c>
      <c r="G2460" s="9" t="s">
        <v>6784</v>
      </c>
      <c r="H2460" s="12" t="s">
        <v>6785</v>
      </c>
      <c r="I2460" s="10">
        <v>45643</v>
      </c>
    </row>
    <row r="2461" spans="1:9" x14ac:dyDescent="0.15">
      <c r="A2461" s="9">
        <v>2460</v>
      </c>
      <c r="B2461" s="9" t="s">
        <v>9</v>
      </c>
      <c r="C2461" s="9">
        <v>1927</v>
      </c>
      <c r="D2461" s="10">
        <v>45729</v>
      </c>
      <c r="E2461" s="11" t="str">
        <f>+HYPERLINK("http://trademark.i-assist.jp/data/china/image_1927th/82600958.pdf","82600958")</f>
        <v>82600958</v>
      </c>
      <c r="F2461" s="9" t="s">
        <v>6786</v>
      </c>
      <c r="G2461" s="9" t="s">
        <v>6787</v>
      </c>
      <c r="H2461" s="9" t="s">
        <v>6788</v>
      </c>
      <c r="I2461" s="10">
        <v>45643</v>
      </c>
    </row>
    <row r="2462" spans="1:9" x14ac:dyDescent="0.15">
      <c r="A2462" s="9">
        <v>2461</v>
      </c>
      <c r="B2462" s="9" t="s">
        <v>9</v>
      </c>
      <c r="C2462" s="9">
        <v>1927</v>
      </c>
      <c r="D2462" s="10">
        <v>45729</v>
      </c>
      <c r="E2462" s="11" t="str">
        <f>+HYPERLINK("http://trademark.i-assist.jp/data/china/image_1927th/82601160.pdf","82601160")</f>
        <v>82601160</v>
      </c>
      <c r="F2462" s="9" t="s">
        <v>6789</v>
      </c>
      <c r="G2462" s="9" t="s">
        <v>6655</v>
      </c>
      <c r="H2462" s="9" t="s">
        <v>6790</v>
      </c>
      <c r="I2462" s="10">
        <v>45643</v>
      </c>
    </row>
    <row r="2463" spans="1:9" x14ac:dyDescent="0.15">
      <c r="A2463" s="9">
        <v>2462</v>
      </c>
      <c r="B2463" s="9" t="s">
        <v>9</v>
      </c>
      <c r="C2463" s="9">
        <v>1927</v>
      </c>
      <c r="D2463" s="10">
        <v>45729</v>
      </c>
      <c r="E2463" s="11" t="str">
        <f>+HYPERLINK("http://trademark.i-assist.jp/data/china/image_1927th/82601208.pdf","82601208")</f>
        <v>82601208</v>
      </c>
      <c r="F2463" s="9" t="s">
        <v>6791</v>
      </c>
      <c r="G2463" s="9" t="s">
        <v>6792</v>
      </c>
      <c r="H2463" s="9" t="s">
        <v>6793</v>
      </c>
      <c r="I2463" s="10">
        <v>45643</v>
      </c>
    </row>
    <row r="2464" spans="1:9" x14ac:dyDescent="0.15">
      <c r="A2464" s="9">
        <v>2463</v>
      </c>
      <c r="B2464" s="9" t="s">
        <v>9</v>
      </c>
      <c r="C2464" s="9">
        <v>1927</v>
      </c>
      <c r="D2464" s="10">
        <v>45729</v>
      </c>
      <c r="E2464" s="11" t="str">
        <f>+HYPERLINK("http://trademark.i-assist.jp/data/china/image_1927th/82601251.pdf","82601251")</f>
        <v>82601251</v>
      </c>
      <c r="F2464" s="9" t="s">
        <v>6794</v>
      </c>
      <c r="G2464" s="9" t="s">
        <v>6795</v>
      </c>
      <c r="H2464" s="9" t="s">
        <v>6796</v>
      </c>
      <c r="I2464" s="10">
        <v>45643</v>
      </c>
    </row>
    <row r="2465" spans="1:9" x14ac:dyDescent="0.15">
      <c r="A2465" s="9">
        <v>2464</v>
      </c>
      <c r="B2465" s="9" t="s">
        <v>9</v>
      </c>
      <c r="C2465" s="9">
        <v>1927</v>
      </c>
      <c r="D2465" s="10">
        <v>45729</v>
      </c>
      <c r="E2465" s="11" t="str">
        <f>+HYPERLINK("http://trademark.i-assist.jp/data/china/image_1927th/82601460.pdf","82601460")</f>
        <v>82601460</v>
      </c>
      <c r="F2465" s="12" t="s">
        <v>6797</v>
      </c>
      <c r="G2465" s="12" t="s">
        <v>6798</v>
      </c>
      <c r="H2465" s="9" t="s">
        <v>6799</v>
      </c>
      <c r="I2465" s="10">
        <v>45643</v>
      </c>
    </row>
    <row r="2466" spans="1:9" x14ac:dyDescent="0.15">
      <c r="A2466" s="9">
        <v>2465</v>
      </c>
      <c r="B2466" s="9" t="s">
        <v>9</v>
      </c>
      <c r="C2466" s="9">
        <v>1927</v>
      </c>
      <c r="D2466" s="10">
        <v>45729</v>
      </c>
      <c r="E2466" s="11" t="str">
        <f>+HYPERLINK("http://trademark.i-assist.jp/data/china/image_1927th/82601543.pdf","82601543")</f>
        <v>82601543</v>
      </c>
      <c r="F2466" s="9" t="s">
        <v>6800</v>
      </c>
      <c r="G2466" s="9" t="s">
        <v>6801</v>
      </c>
      <c r="H2466" s="9" t="s">
        <v>6802</v>
      </c>
      <c r="I2466" s="10">
        <v>45643</v>
      </c>
    </row>
    <row r="2467" spans="1:9" x14ac:dyDescent="0.15">
      <c r="A2467" s="9">
        <v>2466</v>
      </c>
      <c r="B2467" s="9" t="s">
        <v>9</v>
      </c>
      <c r="C2467" s="9">
        <v>1927</v>
      </c>
      <c r="D2467" s="10">
        <v>45729</v>
      </c>
      <c r="E2467" s="11" t="str">
        <f>+HYPERLINK("http://trademark.i-assist.jp/data/china/image_1927th/82601728.pdf","82601728")</f>
        <v>82601728</v>
      </c>
      <c r="F2467" s="9" t="s">
        <v>6803</v>
      </c>
      <c r="G2467" s="9" t="s">
        <v>6804</v>
      </c>
      <c r="H2467" s="12" t="s">
        <v>6805</v>
      </c>
      <c r="I2467" s="10">
        <v>45643</v>
      </c>
    </row>
    <row r="2468" spans="1:9" x14ac:dyDescent="0.15">
      <c r="A2468" s="9">
        <v>2467</v>
      </c>
      <c r="B2468" s="9" t="s">
        <v>9</v>
      </c>
      <c r="C2468" s="9">
        <v>1927</v>
      </c>
      <c r="D2468" s="10">
        <v>45729</v>
      </c>
      <c r="E2468" s="11" t="str">
        <f>+HYPERLINK("http://trademark.i-assist.jp/data/china/image_1927th/82602057.pdf","82602057")</f>
        <v>82602057</v>
      </c>
      <c r="F2468" s="9" t="s">
        <v>6806</v>
      </c>
      <c r="G2468" s="9" t="s">
        <v>6575</v>
      </c>
      <c r="H2468" s="12" t="s">
        <v>6807</v>
      </c>
      <c r="I2468" s="10">
        <v>45643</v>
      </c>
    </row>
    <row r="2469" spans="1:9" x14ac:dyDescent="0.15">
      <c r="A2469" s="9">
        <v>2468</v>
      </c>
      <c r="B2469" s="9" t="s">
        <v>9</v>
      </c>
      <c r="C2469" s="9">
        <v>1927</v>
      </c>
      <c r="D2469" s="10">
        <v>45729</v>
      </c>
      <c r="E2469" s="11" t="str">
        <f>+HYPERLINK("http://trademark.i-assist.jp/data/china/image_1927th/82602071.pdf","82602071")</f>
        <v>82602071</v>
      </c>
      <c r="F2469" s="9" t="s">
        <v>6808</v>
      </c>
      <c r="G2469" s="9" t="s">
        <v>6575</v>
      </c>
      <c r="H2469" s="9" t="s">
        <v>6809</v>
      </c>
      <c r="I2469" s="10">
        <v>45643</v>
      </c>
    </row>
    <row r="2470" spans="1:9" x14ac:dyDescent="0.15">
      <c r="A2470" s="9">
        <v>2469</v>
      </c>
      <c r="B2470" s="9" t="s">
        <v>9</v>
      </c>
      <c r="C2470" s="9">
        <v>1927</v>
      </c>
      <c r="D2470" s="10">
        <v>45729</v>
      </c>
      <c r="E2470" s="11" t="str">
        <f>+HYPERLINK("http://trademark.i-assist.jp/data/china/image_1927th/82602485.pdf","82602485")</f>
        <v>82602485</v>
      </c>
      <c r="F2470" s="12" t="s">
        <v>6810</v>
      </c>
      <c r="G2470" s="9" t="s">
        <v>6811</v>
      </c>
      <c r="H2470" s="9" t="s">
        <v>6812</v>
      </c>
      <c r="I2470" s="10">
        <v>45643</v>
      </c>
    </row>
    <row r="2471" spans="1:9" x14ac:dyDescent="0.15">
      <c r="A2471" s="9">
        <v>2470</v>
      </c>
      <c r="B2471" s="9" t="s">
        <v>9</v>
      </c>
      <c r="C2471" s="9">
        <v>1927</v>
      </c>
      <c r="D2471" s="10">
        <v>45729</v>
      </c>
      <c r="E2471" s="11" t="str">
        <f>+HYPERLINK("http://trademark.i-assist.jp/data/china/image_1927th/82602634.pdf","82602634")</f>
        <v>82602634</v>
      </c>
      <c r="F2471" s="12" t="s">
        <v>6813</v>
      </c>
      <c r="G2471" s="12" t="s">
        <v>6814</v>
      </c>
      <c r="H2471" s="9" t="s">
        <v>6815</v>
      </c>
      <c r="I2471" s="10">
        <v>45643</v>
      </c>
    </row>
    <row r="2472" spans="1:9" x14ac:dyDescent="0.15">
      <c r="A2472" s="9">
        <v>2471</v>
      </c>
      <c r="B2472" s="9" t="s">
        <v>9</v>
      </c>
      <c r="C2472" s="9">
        <v>1927</v>
      </c>
      <c r="D2472" s="10">
        <v>45729</v>
      </c>
      <c r="E2472" s="11" t="str">
        <f>+HYPERLINK("http://trademark.i-assist.jp/data/china/image_1927th/82602716.pdf","82602716")</f>
        <v>82602716</v>
      </c>
      <c r="F2472" s="9" t="s">
        <v>6816</v>
      </c>
      <c r="G2472" s="9" t="s">
        <v>6569</v>
      </c>
      <c r="H2472" s="9" t="s">
        <v>6817</v>
      </c>
      <c r="I2472" s="10">
        <v>45643</v>
      </c>
    </row>
    <row r="2473" spans="1:9" x14ac:dyDescent="0.15">
      <c r="A2473" s="9">
        <v>2472</v>
      </c>
      <c r="B2473" s="9" t="s">
        <v>9</v>
      </c>
      <c r="C2473" s="9">
        <v>1927</v>
      </c>
      <c r="D2473" s="10">
        <v>45729</v>
      </c>
      <c r="E2473" s="11" t="str">
        <f>+HYPERLINK("http://trademark.i-assist.jp/data/china/image_1927th/82602737.pdf","82602737")</f>
        <v>82602737</v>
      </c>
      <c r="F2473" s="9" t="s">
        <v>6818</v>
      </c>
      <c r="G2473" s="9" t="s">
        <v>6569</v>
      </c>
      <c r="H2473" s="9" t="s">
        <v>6819</v>
      </c>
      <c r="I2473" s="10">
        <v>45643</v>
      </c>
    </row>
    <row r="2474" spans="1:9" x14ac:dyDescent="0.15">
      <c r="A2474" s="9">
        <v>2473</v>
      </c>
      <c r="B2474" s="9" t="s">
        <v>9</v>
      </c>
      <c r="C2474" s="9">
        <v>1927</v>
      </c>
      <c r="D2474" s="10">
        <v>45729</v>
      </c>
      <c r="E2474" s="11" t="str">
        <f>+HYPERLINK("http://trademark.i-assist.jp/data/china/image_1927th/82603090.pdf","82603090")</f>
        <v>82603090</v>
      </c>
      <c r="F2474" s="9" t="s">
        <v>6820</v>
      </c>
      <c r="G2474" s="9" t="s">
        <v>6821</v>
      </c>
      <c r="H2474" s="9" t="s">
        <v>6822</v>
      </c>
      <c r="I2474" s="10">
        <v>45643</v>
      </c>
    </row>
    <row r="2475" spans="1:9" x14ac:dyDescent="0.15">
      <c r="A2475" s="9">
        <v>2474</v>
      </c>
      <c r="B2475" s="9" t="s">
        <v>9</v>
      </c>
      <c r="C2475" s="9">
        <v>1927</v>
      </c>
      <c r="D2475" s="10">
        <v>45729</v>
      </c>
      <c r="E2475" s="11" t="str">
        <f>+HYPERLINK("http://trademark.i-assist.jp/data/china/image_1927th/82603123.pdf","82603123")</f>
        <v>82603123</v>
      </c>
      <c r="F2475" s="9" t="s">
        <v>6823</v>
      </c>
      <c r="G2475" s="9" t="s">
        <v>6824</v>
      </c>
      <c r="H2475" s="9" t="s">
        <v>6825</v>
      </c>
      <c r="I2475" s="10">
        <v>45643</v>
      </c>
    </row>
    <row r="2476" spans="1:9" x14ac:dyDescent="0.15">
      <c r="A2476" s="9">
        <v>2475</v>
      </c>
      <c r="B2476" s="9" t="s">
        <v>9</v>
      </c>
      <c r="C2476" s="9">
        <v>1927</v>
      </c>
      <c r="D2476" s="10">
        <v>45729</v>
      </c>
      <c r="E2476" s="11" t="str">
        <f>+HYPERLINK("http://trademark.i-assist.jp/data/china/image_1927th/82603241.pdf","82603241")</f>
        <v>82603241</v>
      </c>
      <c r="F2476" s="9" t="s">
        <v>6826</v>
      </c>
      <c r="G2476" s="9" t="s">
        <v>6827</v>
      </c>
      <c r="H2476" s="9" t="s">
        <v>6828</v>
      </c>
      <c r="I2476" s="10">
        <v>45643</v>
      </c>
    </row>
    <row r="2477" spans="1:9" x14ac:dyDescent="0.15">
      <c r="A2477" s="9">
        <v>2476</v>
      </c>
      <c r="B2477" s="9" t="s">
        <v>9</v>
      </c>
      <c r="C2477" s="9">
        <v>1927</v>
      </c>
      <c r="D2477" s="10">
        <v>45729</v>
      </c>
      <c r="E2477" s="11" t="str">
        <f>+HYPERLINK("http://trademark.i-assist.jp/data/china/image_1927th/82603402.pdf","82603402")</f>
        <v>82603402</v>
      </c>
      <c r="F2477" s="9" t="s">
        <v>6829</v>
      </c>
      <c r="G2477" s="9" t="s">
        <v>6830</v>
      </c>
      <c r="H2477" s="9" t="s">
        <v>6831</v>
      </c>
      <c r="I2477" s="10">
        <v>45643</v>
      </c>
    </row>
    <row r="2478" spans="1:9" x14ac:dyDescent="0.15">
      <c r="A2478" s="9">
        <v>2477</v>
      </c>
      <c r="B2478" s="9" t="s">
        <v>9</v>
      </c>
      <c r="C2478" s="9">
        <v>1927</v>
      </c>
      <c r="D2478" s="10">
        <v>45729</v>
      </c>
      <c r="E2478" s="11" t="str">
        <f>+HYPERLINK("http://trademark.i-assist.jp/data/china/image_1927th/82603531.pdf","82603531")</f>
        <v>82603531</v>
      </c>
      <c r="F2478" s="9" t="s">
        <v>6832</v>
      </c>
      <c r="G2478" s="9" t="s">
        <v>6833</v>
      </c>
      <c r="H2478" s="9" t="s">
        <v>6834</v>
      </c>
      <c r="I2478" s="10">
        <v>45643</v>
      </c>
    </row>
    <row r="2479" spans="1:9" x14ac:dyDescent="0.15">
      <c r="A2479" s="9">
        <v>2478</v>
      </c>
      <c r="B2479" s="9" t="s">
        <v>9</v>
      </c>
      <c r="C2479" s="9">
        <v>1927</v>
      </c>
      <c r="D2479" s="10">
        <v>45729</v>
      </c>
      <c r="E2479" s="11" t="str">
        <f>+HYPERLINK("http://trademark.i-assist.jp/data/china/image_1927th/82603542.pdf","82603542")</f>
        <v>82603542</v>
      </c>
      <c r="F2479" s="12" t="s">
        <v>6835</v>
      </c>
      <c r="G2479" s="9" t="s">
        <v>6836</v>
      </c>
      <c r="H2479" s="9" t="s">
        <v>6837</v>
      </c>
      <c r="I2479" s="10">
        <v>45643</v>
      </c>
    </row>
    <row r="2480" spans="1:9" x14ac:dyDescent="0.15">
      <c r="A2480" s="9">
        <v>2479</v>
      </c>
      <c r="B2480" s="9" t="s">
        <v>9</v>
      </c>
      <c r="C2480" s="9">
        <v>1927</v>
      </c>
      <c r="D2480" s="10">
        <v>45729</v>
      </c>
      <c r="E2480" s="11" t="str">
        <f>+HYPERLINK("http://trademark.i-assist.jp/data/china/image_1927th/82603606.pdf","82603606")</f>
        <v>82603606</v>
      </c>
      <c r="F2480" s="12" t="s">
        <v>6838</v>
      </c>
      <c r="G2480" s="9" t="s">
        <v>6839</v>
      </c>
      <c r="H2480" s="9" t="s">
        <v>6840</v>
      </c>
      <c r="I2480" s="10">
        <v>45643</v>
      </c>
    </row>
    <row r="2481" spans="1:9" x14ac:dyDescent="0.15">
      <c r="A2481" s="9">
        <v>2480</v>
      </c>
      <c r="B2481" s="9" t="s">
        <v>9</v>
      </c>
      <c r="C2481" s="9">
        <v>1927</v>
      </c>
      <c r="D2481" s="10">
        <v>45729</v>
      </c>
      <c r="E2481" s="11" t="str">
        <f>+HYPERLINK("http://trademark.i-assist.jp/data/china/image_1927th/82603853.pdf","82603853")</f>
        <v>82603853</v>
      </c>
      <c r="F2481" s="9" t="s">
        <v>6841</v>
      </c>
      <c r="G2481" s="12" t="s">
        <v>6842</v>
      </c>
      <c r="H2481" s="9" t="s">
        <v>6843</v>
      </c>
      <c r="I2481" s="10">
        <v>45643</v>
      </c>
    </row>
    <row r="2482" spans="1:9" x14ac:dyDescent="0.15">
      <c r="A2482" s="9">
        <v>2481</v>
      </c>
      <c r="B2482" s="9" t="s">
        <v>9</v>
      </c>
      <c r="C2482" s="9">
        <v>1927</v>
      </c>
      <c r="D2482" s="10">
        <v>45729</v>
      </c>
      <c r="E2482" s="11" t="str">
        <f>+HYPERLINK("http://trademark.i-assist.jp/data/china/image_1927th/82603924.pdf","82603924")</f>
        <v>82603924</v>
      </c>
      <c r="F2482" s="9" t="s">
        <v>6844</v>
      </c>
      <c r="G2482" s="9" t="s">
        <v>6845</v>
      </c>
      <c r="H2482" s="9" t="s">
        <v>6846</v>
      </c>
      <c r="I2482" s="10">
        <v>45643</v>
      </c>
    </row>
    <row r="2483" spans="1:9" x14ac:dyDescent="0.15">
      <c r="A2483" s="9">
        <v>2482</v>
      </c>
      <c r="B2483" s="9" t="s">
        <v>9</v>
      </c>
      <c r="C2483" s="9">
        <v>1927</v>
      </c>
      <c r="D2483" s="10">
        <v>45729</v>
      </c>
      <c r="E2483" s="11" t="str">
        <f>+HYPERLINK("http://trademark.i-assist.jp/data/china/image_1927th/82604034.pdf","82604034")</f>
        <v>82604034</v>
      </c>
      <c r="F2483" s="12" t="s">
        <v>6847</v>
      </c>
      <c r="G2483" s="9" t="s">
        <v>6848</v>
      </c>
      <c r="H2483" s="9" t="s">
        <v>6849</v>
      </c>
      <c r="I2483" s="10">
        <v>45643</v>
      </c>
    </row>
    <row r="2484" spans="1:9" x14ac:dyDescent="0.15">
      <c r="A2484" s="9">
        <v>2483</v>
      </c>
      <c r="B2484" s="9" t="s">
        <v>9</v>
      </c>
      <c r="C2484" s="9">
        <v>1927</v>
      </c>
      <c r="D2484" s="10">
        <v>45729</v>
      </c>
      <c r="E2484" s="11" t="str">
        <f>+HYPERLINK("http://trademark.i-assist.jp/data/china/image_1927th/82604075.pdf","82604075")</f>
        <v>82604075</v>
      </c>
      <c r="F2484" s="9" t="s">
        <v>6850</v>
      </c>
      <c r="G2484" s="9" t="s">
        <v>6851</v>
      </c>
      <c r="H2484" s="9" t="s">
        <v>6852</v>
      </c>
      <c r="I2484" s="10">
        <v>45643</v>
      </c>
    </row>
    <row r="2485" spans="1:9" x14ac:dyDescent="0.15">
      <c r="A2485" s="9">
        <v>2484</v>
      </c>
      <c r="B2485" s="9" t="s">
        <v>9</v>
      </c>
      <c r="C2485" s="9">
        <v>1927</v>
      </c>
      <c r="D2485" s="10">
        <v>45729</v>
      </c>
      <c r="E2485" s="11" t="str">
        <f>+HYPERLINK("http://trademark.i-assist.jp/data/china/image_1927th/82604168.pdf","82604168")</f>
        <v>82604168</v>
      </c>
      <c r="F2485" s="9" t="s">
        <v>6853</v>
      </c>
      <c r="G2485" s="9" t="s">
        <v>6854</v>
      </c>
      <c r="H2485" s="9" t="s">
        <v>6855</v>
      </c>
      <c r="I2485" s="10">
        <v>45643</v>
      </c>
    </row>
    <row r="2486" spans="1:9" x14ac:dyDescent="0.15">
      <c r="A2486" s="9">
        <v>2485</v>
      </c>
      <c r="B2486" s="9" t="s">
        <v>9</v>
      </c>
      <c r="C2486" s="9">
        <v>1927</v>
      </c>
      <c r="D2486" s="10">
        <v>45729</v>
      </c>
      <c r="E2486" s="11" t="str">
        <f>+HYPERLINK("http://trademark.i-assist.jp/data/china/image_1927th/82604359.pdf","82604359")</f>
        <v>82604359</v>
      </c>
      <c r="F2486" s="9" t="s">
        <v>6856</v>
      </c>
      <c r="G2486" s="9" t="s">
        <v>6857</v>
      </c>
      <c r="H2486" s="9" t="s">
        <v>6858</v>
      </c>
      <c r="I2486" s="10">
        <v>45643</v>
      </c>
    </row>
    <row r="2487" spans="1:9" x14ac:dyDescent="0.15">
      <c r="A2487" s="9">
        <v>2486</v>
      </c>
      <c r="B2487" s="9" t="s">
        <v>9</v>
      </c>
      <c r="C2487" s="9">
        <v>1927</v>
      </c>
      <c r="D2487" s="10">
        <v>45729</v>
      </c>
      <c r="E2487" s="11" t="str">
        <f>+HYPERLINK("http://trademark.i-assist.jp/data/china/image_1927th/82604441.pdf","82604441")</f>
        <v>82604441</v>
      </c>
      <c r="F2487" s="9" t="s">
        <v>6859</v>
      </c>
      <c r="G2487" s="12" t="s">
        <v>6708</v>
      </c>
      <c r="H2487" s="9" t="s">
        <v>6860</v>
      </c>
      <c r="I2487" s="10">
        <v>45643</v>
      </c>
    </row>
    <row r="2488" spans="1:9" x14ac:dyDescent="0.15">
      <c r="A2488" s="9">
        <v>2487</v>
      </c>
      <c r="B2488" s="9" t="s">
        <v>9</v>
      </c>
      <c r="C2488" s="9">
        <v>1927</v>
      </c>
      <c r="D2488" s="10">
        <v>45729</v>
      </c>
      <c r="E2488" s="11" t="str">
        <f>+HYPERLINK("http://trademark.i-assist.jp/data/china/image_1927th/82604740.pdf","82604740")</f>
        <v>82604740</v>
      </c>
      <c r="F2488" s="9" t="s">
        <v>6861</v>
      </c>
      <c r="G2488" s="9" t="s">
        <v>6862</v>
      </c>
      <c r="H2488" s="9" t="s">
        <v>6863</v>
      </c>
      <c r="I2488" s="10">
        <v>45643</v>
      </c>
    </row>
    <row r="2489" spans="1:9" x14ac:dyDescent="0.15">
      <c r="A2489" s="9">
        <v>2488</v>
      </c>
      <c r="B2489" s="9" t="s">
        <v>9</v>
      </c>
      <c r="C2489" s="9">
        <v>1927</v>
      </c>
      <c r="D2489" s="10">
        <v>45729</v>
      </c>
      <c r="E2489" s="11" t="str">
        <f>+HYPERLINK("http://trademark.i-assist.jp/data/china/image_1927th/82604799.pdf","82604799")</f>
        <v>82604799</v>
      </c>
      <c r="F2489" s="9" t="s">
        <v>238</v>
      </c>
      <c r="G2489" s="9" t="s">
        <v>239</v>
      </c>
      <c r="H2489" s="9" t="s">
        <v>6864</v>
      </c>
      <c r="I2489" s="10">
        <v>45643</v>
      </c>
    </row>
    <row r="2490" spans="1:9" x14ac:dyDescent="0.15">
      <c r="A2490" s="9">
        <v>2489</v>
      </c>
      <c r="B2490" s="9" t="s">
        <v>9</v>
      </c>
      <c r="C2490" s="9">
        <v>1927</v>
      </c>
      <c r="D2490" s="10">
        <v>45729</v>
      </c>
      <c r="E2490" s="11" t="str">
        <f>+HYPERLINK("http://trademark.i-assist.jp/data/china/image_1927th/82604952.pdf","82604952")</f>
        <v>82604952</v>
      </c>
      <c r="F2490" s="9" t="s">
        <v>6865</v>
      </c>
      <c r="G2490" s="12" t="s">
        <v>6866</v>
      </c>
      <c r="H2490" s="9" t="s">
        <v>6867</v>
      </c>
      <c r="I2490" s="10">
        <v>45643</v>
      </c>
    </row>
    <row r="2491" spans="1:9" x14ac:dyDescent="0.15">
      <c r="A2491" s="9">
        <v>2490</v>
      </c>
      <c r="B2491" s="9" t="s">
        <v>9</v>
      </c>
      <c r="C2491" s="9">
        <v>1927</v>
      </c>
      <c r="D2491" s="10">
        <v>45729</v>
      </c>
      <c r="E2491" s="11" t="str">
        <f>+HYPERLINK("http://trademark.i-assist.jp/data/china/image_1927th/82605120.pdf","82605120")</f>
        <v>82605120</v>
      </c>
      <c r="F2491" s="12" t="s">
        <v>6868</v>
      </c>
      <c r="G2491" s="9" t="s">
        <v>6690</v>
      </c>
      <c r="H2491" s="9" t="s">
        <v>6869</v>
      </c>
      <c r="I2491" s="10">
        <v>45643</v>
      </c>
    </row>
    <row r="2492" spans="1:9" x14ac:dyDescent="0.15">
      <c r="A2492" s="9">
        <v>2491</v>
      </c>
      <c r="B2492" s="9" t="s">
        <v>9</v>
      </c>
      <c r="C2492" s="9">
        <v>1927</v>
      </c>
      <c r="D2492" s="10">
        <v>45729</v>
      </c>
      <c r="E2492" s="11" t="str">
        <f>+HYPERLINK("http://trademark.i-assist.jp/data/china/image_1927th/82605159.pdf","82605159")</f>
        <v>82605159</v>
      </c>
      <c r="F2492" s="9" t="s">
        <v>6870</v>
      </c>
      <c r="G2492" s="9" t="s">
        <v>6851</v>
      </c>
      <c r="H2492" s="9" t="s">
        <v>6871</v>
      </c>
      <c r="I2492" s="10">
        <v>45643</v>
      </c>
    </row>
    <row r="2493" spans="1:9" x14ac:dyDescent="0.15">
      <c r="A2493" s="9">
        <v>2492</v>
      </c>
      <c r="B2493" s="9" t="s">
        <v>9</v>
      </c>
      <c r="C2493" s="9">
        <v>1927</v>
      </c>
      <c r="D2493" s="10">
        <v>45729</v>
      </c>
      <c r="E2493" s="11" t="str">
        <f>+HYPERLINK("http://trademark.i-assist.jp/data/china/image_1927th/82605211.pdf","82605211")</f>
        <v>82605211</v>
      </c>
      <c r="F2493" s="9" t="s">
        <v>6872</v>
      </c>
      <c r="G2493" s="9" t="s">
        <v>6873</v>
      </c>
      <c r="H2493" s="9" t="s">
        <v>6874</v>
      </c>
      <c r="I2493" s="10">
        <v>45643</v>
      </c>
    </row>
    <row r="2494" spans="1:9" x14ac:dyDescent="0.15">
      <c r="A2494" s="9">
        <v>2493</v>
      </c>
      <c r="B2494" s="9" t="s">
        <v>9</v>
      </c>
      <c r="C2494" s="9">
        <v>1927</v>
      </c>
      <c r="D2494" s="10">
        <v>45729</v>
      </c>
      <c r="E2494" s="11" t="str">
        <f>+HYPERLINK("http://trademark.i-assist.jp/data/china/image_1927th/82605478.pdf","82605478")</f>
        <v>82605478</v>
      </c>
      <c r="F2494" s="9" t="s">
        <v>6875</v>
      </c>
      <c r="G2494" s="9" t="s">
        <v>6690</v>
      </c>
      <c r="H2494" s="9" t="s">
        <v>6876</v>
      </c>
      <c r="I2494" s="10">
        <v>45643</v>
      </c>
    </row>
    <row r="2495" spans="1:9" x14ac:dyDescent="0.15">
      <c r="A2495" s="9">
        <v>2494</v>
      </c>
      <c r="B2495" s="9" t="s">
        <v>9</v>
      </c>
      <c r="C2495" s="9">
        <v>1927</v>
      </c>
      <c r="D2495" s="10">
        <v>45729</v>
      </c>
      <c r="E2495" s="11" t="str">
        <f>+HYPERLINK("http://trademark.i-assist.jp/data/china/image_1927th/82605655.pdf","82605655")</f>
        <v>82605655</v>
      </c>
      <c r="F2495" s="9" t="s">
        <v>6877</v>
      </c>
      <c r="G2495" s="9" t="s">
        <v>6878</v>
      </c>
      <c r="H2495" s="9" t="s">
        <v>6879</v>
      </c>
      <c r="I2495" s="10">
        <v>45643</v>
      </c>
    </row>
    <row r="2496" spans="1:9" x14ac:dyDescent="0.15">
      <c r="A2496" s="9">
        <v>2495</v>
      </c>
      <c r="B2496" s="9" t="s">
        <v>9</v>
      </c>
      <c r="C2496" s="9">
        <v>1927</v>
      </c>
      <c r="D2496" s="10">
        <v>45729</v>
      </c>
      <c r="E2496" s="11" t="str">
        <f>+HYPERLINK("http://trademark.i-assist.jp/data/china/image_1927th/82606311.pdf","82606311")</f>
        <v>82606311</v>
      </c>
      <c r="F2496" s="9" t="s">
        <v>6880</v>
      </c>
      <c r="G2496" s="9" t="s">
        <v>6881</v>
      </c>
      <c r="H2496" s="9" t="s">
        <v>6882</v>
      </c>
      <c r="I2496" s="10">
        <v>45643</v>
      </c>
    </row>
    <row r="2497" spans="1:9" x14ac:dyDescent="0.15">
      <c r="A2497" s="9">
        <v>2496</v>
      </c>
      <c r="B2497" s="9" t="s">
        <v>9</v>
      </c>
      <c r="C2497" s="9">
        <v>1927</v>
      </c>
      <c r="D2497" s="10">
        <v>45729</v>
      </c>
      <c r="E2497" s="11" t="str">
        <f>+HYPERLINK("http://trademark.i-assist.jp/data/china/image_1927th/82606404.pdf","82606404")</f>
        <v>82606404</v>
      </c>
      <c r="F2497" s="9" t="s">
        <v>6883</v>
      </c>
      <c r="G2497" s="12" t="s">
        <v>140</v>
      </c>
      <c r="H2497" s="9" t="s">
        <v>6884</v>
      </c>
      <c r="I2497" s="10">
        <v>45643</v>
      </c>
    </row>
    <row r="2498" spans="1:9" x14ac:dyDescent="0.15">
      <c r="A2498" s="9">
        <v>2497</v>
      </c>
      <c r="B2498" s="9" t="s">
        <v>9</v>
      </c>
      <c r="C2498" s="9">
        <v>1927</v>
      </c>
      <c r="D2498" s="10">
        <v>45729</v>
      </c>
      <c r="E2498" s="11" t="str">
        <f>+HYPERLINK("http://trademark.i-assist.jp/data/china/image_1927th/82607039.pdf","82607039")</f>
        <v>82607039</v>
      </c>
      <c r="F2498" s="9" t="s">
        <v>6885</v>
      </c>
      <c r="G2498" s="9" t="s">
        <v>6886</v>
      </c>
      <c r="H2498" s="9" t="s">
        <v>6887</v>
      </c>
      <c r="I2498" s="10">
        <v>45643</v>
      </c>
    </row>
    <row r="2499" spans="1:9" x14ac:dyDescent="0.15">
      <c r="A2499" s="9">
        <v>2498</v>
      </c>
      <c r="B2499" s="9" t="s">
        <v>9</v>
      </c>
      <c r="C2499" s="9">
        <v>1927</v>
      </c>
      <c r="D2499" s="10">
        <v>45729</v>
      </c>
      <c r="E2499" s="11" t="str">
        <f>+HYPERLINK("http://trademark.i-assist.jp/data/china/image_1927th/82607046.pdf","82607046")</f>
        <v>82607046</v>
      </c>
      <c r="F2499" s="9" t="s">
        <v>6888</v>
      </c>
      <c r="G2499" s="9" t="s">
        <v>6889</v>
      </c>
      <c r="H2499" s="9" t="s">
        <v>6890</v>
      </c>
      <c r="I2499" s="10">
        <v>45643</v>
      </c>
    </row>
    <row r="2500" spans="1:9" x14ac:dyDescent="0.15">
      <c r="A2500" s="9">
        <v>2499</v>
      </c>
      <c r="B2500" s="9" t="s">
        <v>9</v>
      </c>
      <c r="C2500" s="9">
        <v>1927</v>
      </c>
      <c r="D2500" s="10">
        <v>45729</v>
      </c>
      <c r="E2500" s="11" t="str">
        <f>+HYPERLINK("http://trademark.i-assist.jp/data/china/image_1927th/82607563.pdf","82607563")</f>
        <v>82607563</v>
      </c>
      <c r="F2500" s="9" t="s">
        <v>6891</v>
      </c>
      <c r="G2500" s="12" t="s">
        <v>6892</v>
      </c>
      <c r="H2500" s="9" t="s">
        <v>6893</v>
      </c>
      <c r="I2500" s="10">
        <v>45643</v>
      </c>
    </row>
    <row r="2501" spans="1:9" x14ac:dyDescent="0.15">
      <c r="A2501" s="9">
        <v>2500</v>
      </c>
      <c r="B2501" s="9" t="s">
        <v>9</v>
      </c>
      <c r="C2501" s="9">
        <v>1927</v>
      </c>
      <c r="D2501" s="10">
        <v>45729</v>
      </c>
      <c r="E2501" s="11" t="str">
        <f>+HYPERLINK("http://trademark.i-assist.jp/data/china/image_1927th/82607572.pdf","82607572")</f>
        <v>82607572</v>
      </c>
      <c r="F2501" s="9" t="s">
        <v>6894</v>
      </c>
      <c r="G2501" s="12" t="s">
        <v>6895</v>
      </c>
      <c r="H2501" s="9" t="s">
        <v>6896</v>
      </c>
      <c r="I2501" s="10">
        <v>45643</v>
      </c>
    </row>
    <row r="2502" spans="1:9" x14ac:dyDescent="0.15">
      <c r="A2502" s="9">
        <v>2501</v>
      </c>
      <c r="B2502" s="9" t="s">
        <v>9</v>
      </c>
      <c r="C2502" s="9">
        <v>1927</v>
      </c>
      <c r="D2502" s="10">
        <v>45729</v>
      </c>
      <c r="E2502" s="11" t="str">
        <f>+HYPERLINK("http://trademark.i-assist.jp/data/china/image_1927th/82607613.pdf","82607613")</f>
        <v>82607613</v>
      </c>
      <c r="F2502" s="9" t="s">
        <v>6897</v>
      </c>
      <c r="G2502" s="9" t="s">
        <v>240</v>
      </c>
      <c r="H2502" s="9" t="s">
        <v>6898</v>
      </c>
      <c r="I2502" s="10">
        <v>45643</v>
      </c>
    </row>
    <row r="2503" spans="1:9" x14ac:dyDescent="0.15">
      <c r="A2503" s="9">
        <v>2502</v>
      </c>
      <c r="B2503" s="9" t="s">
        <v>9</v>
      </c>
      <c r="C2503" s="9">
        <v>1927</v>
      </c>
      <c r="D2503" s="10">
        <v>45729</v>
      </c>
      <c r="E2503" s="11" t="str">
        <f>+HYPERLINK("http://trademark.i-assist.jp/data/china/image_1927th/82607888.pdf","82607888")</f>
        <v>82607888</v>
      </c>
      <c r="F2503" s="9" t="s">
        <v>6899</v>
      </c>
      <c r="G2503" s="9" t="s">
        <v>172</v>
      </c>
      <c r="H2503" s="9" t="s">
        <v>6900</v>
      </c>
      <c r="I2503" s="10">
        <v>45643</v>
      </c>
    </row>
    <row r="2504" spans="1:9" x14ac:dyDescent="0.15">
      <c r="A2504" s="9">
        <v>2503</v>
      </c>
      <c r="B2504" s="9" t="s">
        <v>9</v>
      </c>
      <c r="C2504" s="9">
        <v>1927</v>
      </c>
      <c r="D2504" s="10">
        <v>45729</v>
      </c>
      <c r="E2504" s="11" t="str">
        <f>+HYPERLINK("http://trademark.i-assist.jp/data/china/image_1927th/82608359.pdf","82608359")</f>
        <v>82608359</v>
      </c>
      <c r="F2504" s="9" t="s">
        <v>6901</v>
      </c>
      <c r="G2504" s="9" t="s">
        <v>6569</v>
      </c>
      <c r="H2504" s="9" t="s">
        <v>6902</v>
      </c>
      <c r="I2504" s="10">
        <v>45643</v>
      </c>
    </row>
    <row r="2505" spans="1:9" x14ac:dyDescent="0.15">
      <c r="A2505" s="9">
        <v>2504</v>
      </c>
      <c r="B2505" s="9" t="s">
        <v>9</v>
      </c>
      <c r="C2505" s="9">
        <v>1927</v>
      </c>
      <c r="D2505" s="10">
        <v>45729</v>
      </c>
      <c r="E2505" s="11" t="str">
        <f>+HYPERLINK("http://trademark.i-assist.jp/data/china/image_1927th/82608588.pdf","82608588")</f>
        <v>82608588</v>
      </c>
      <c r="F2505" s="12" t="s">
        <v>16</v>
      </c>
      <c r="G2505" s="9" t="s">
        <v>6903</v>
      </c>
      <c r="H2505" s="9" t="s">
        <v>6904</v>
      </c>
      <c r="I2505" s="10">
        <v>45643</v>
      </c>
    </row>
    <row r="2506" spans="1:9" x14ac:dyDescent="0.15">
      <c r="A2506" s="9">
        <v>2505</v>
      </c>
      <c r="B2506" s="9" t="s">
        <v>9</v>
      </c>
      <c r="C2506" s="9">
        <v>1927</v>
      </c>
      <c r="D2506" s="10">
        <v>45729</v>
      </c>
      <c r="E2506" s="11" t="str">
        <f>+HYPERLINK("http://trademark.i-assist.jp/data/china/image_1927th/82608598.pdf","82608598")</f>
        <v>82608598</v>
      </c>
      <c r="F2506" s="9" t="s">
        <v>6905</v>
      </c>
      <c r="G2506" s="9" t="s">
        <v>6906</v>
      </c>
      <c r="H2506" s="9" t="s">
        <v>6907</v>
      </c>
      <c r="I2506" s="10">
        <v>45643</v>
      </c>
    </row>
    <row r="2507" spans="1:9" x14ac:dyDescent="0.15">
      <c r="A2507" s="9">
        <v>2506</v>
      </c>
      <c r="B2507" s="9" t="s">
        <v>9</v>
      </c>
      <c r="C2507" s="9">
        <v>1927</v>
      </c>
      <c r="D2507" s="10">
        <v>45729</v>
      </c>
      <c r="E2507" s="11" t="str">
        <f>+HYPERLINK("http://trademark.i-assist.jp/data/china/image_1927th/82609320.pdf","82609320")</f>
        <v>82609320</v>
      </c>
      <c r="F2507" s="9" t="s">
        <v>6908</v>
      </c>
      <c r="G2507" s="12" t="s">
        <v>76</v>
      </c>
      <c r="H2507" s="9" t="s">
        <v>6909</v>
      </c>
      <c r="I2507" s="10">
        <v>45643</v>
      </c>
    </row>
    <row r="2508" spans="1:9" x14ac:dyDescent="0.15">
      <c r="A2508" s="9">
        <v>2507</v>
      </c>
      <c r="B2508" s="9" t="s">
        <v>9</v>
      </c>
      <c r="C2508" s="9">
        <v>1927</v>
      </c>
      <c r="D2508" s="10">
        <v>45729</v>
      </c>
      <c r="E2508" s="11" t="str">
        <f>+HYPERLINK("http://trademark.i-assist.jp/data/china/image_1927th/82609335.pdf","82609335")</f>
        <v>82609335</v>
      </c>
      <c r="F2508" s="9" t="s">
        <v>6910</v>
      </c>
      <c r="G2508" s="9" t="s">
        <v>6911</v>
      </c>
      <c r="H2508" s="9" t="s">
        <v>6912</v>
      </c>
      <c r="I2508" s="10">
        <v>45643</v>
      </c>
    </row>
    <row r="2509" spans="1:9" x14ac:dyDescent="0.15">
      <c r="A2509" s="9">
        <v>2508</v>
      </c>
      <c r="B2509" s="9" t="s">
        <v>9</v>
      </c>
      <c r="C2509" s="9">
        <v>1927</v>
      </c>
      <c r="D2509" s="10">
        <v>45729</v>
      </c>
      <c r="E2509" s="11" t="str">
        <f>+HYPERLINK("http://trademark.i-assist.jp/data/china/image_1927th/82609355.pdf","82609355")</f>
        <v>82609355</v>
      </c>
      <c r="F2509" s="9" t="s">
        <v>6913</v>
      </c>
      <c r="G2509" s="12" t="s">
        <v>6914</v>
      </c>
      <c r="H2509" s="9" t="s">
        <v>6915</v>
      </c>
      <c r="I2509" s="10">
        <v>45643</v>
      </c>
    </row>
    <row r="2510" spans="1:9" x14ac:dyDescent="0.15">
      <c r="A2510" s="9">
        <v>2509</v>
      </c>
      <c r="B2510" s="9" t="s">
        <v>9</v>
      </c>
      <c r="C2510" s="9">
        <v>1927</v>
      </c>
      <c r="D2510" s="10">
        <v>45729</v>
      </c>
      <c r="E2510" s="11" t="str">
        <f>+HYPERLINK("http://trademark.i-assist.jp/data/china/image_1927th/82609398.pdf","82609398")</f>
        <v>82609398</v>
      </c>
      <c r="F2510" s="12" t="s">
        <v>6916</v>
      </c>
      <c r="G2510" s="9" t="s">
        <v>128</v>
      </c>
      <c r="H2510" s="9" t="s">
        <v>6917</v>
      </c>
      <c r="I2510" s="10">
        <v>45643</v>
      </c>
    </row>
    <row r="2511" spans="1:9" x14ac:dyDescent="0.15">
      <c r="A2511" s="9">
        <v>2510</v>
      </c>
      <c r="B2511" s="9" t="s">
        <v>9</v>
      </c>
      <c r="C2511" s="9">
        <v>1927</v>
      </c>
      <c r="D2511" s="10">
        <v>45729</v>
      </c>
      <c r="E2511" s="11" t="str">
        <f>+HYPERLINK("http://trademark.i-assist.jp/data/china/image_1927th/82609650.pdf","82609650")</f>
        <v>82609650</v>
      </c>
      <c r="F2511" s="12" t="s">
        <v>6918</v>
      </c>
      <c r="G2511" s="9" t="s">
        <v>6919</v>
      </c>
      <c r="H2511" s="9" t="s">
        <v>6920</v>
      </c>
      <c r="I2511" s="10">
        <v>45643</v>
      </c>
    </row>
    <row r="2512" spans="1:9" x14ac:dyDescent="0.15">
      <c r="A2512" s="9">
        <v>2511</v>
      </c>
      <c r="B2512" s="9" t="s">
        <v>9</v>
      </c>
      <c r="C2512" s="9">
        <v>1927</v>
      </c>
      <c r="D2512" s="10">
        <v>45729</v>
      </c>
      <c r="E2512" s="11" t="str">
        <f>+HYPERLINK("http://trademark.i-assist.jp/data/china/image_1927th/82609784.pdf","82609784")</f>
        <v>82609784</v>
      </c>
      <c r="F2512" s="9" t="s">
        <v>6921</v>
      </c>
      <c r="G2512" s="9" t="s">
        <v>6922</v>
      </c>
      <c r="H2512" s="12" t="s">
        <v>6923</v>
      </c>
      <c r="I2512" s="10">
        <v>45643</v>
      </c>
    </row>
    <row r="2513" spans="1:9" x14ac:dyDescent="0.15">
      <c r="A2513" s="9">
        <v>2512</v>
      </c>
      <c r="B2513" s="9" t="s">
        <v>9</v>
      </c>
      <c r="C2513" s="9">
        <v>1927</v>
      </c>
      <c r="D2513" s="10">
        <v>45729</v>
      </c>
      <c r="E2513" s="11" t="str">
        <f>+HYPERLINK("http://trademark.i-assist.jp/data/china/image_1927th/82609957.pdf","82609957")</f>
        <v>82609957</v>
      </c>
      <c r="F2513" s="9" t="s">
        <v>6924</v>
      </c>
      <c r="G2513" s="9" t="s">
        <v>6569</v>
      </c>
      <c r="H2513" s="9" t="s">
        <v>6925</v>
      </c>
      <c r="I2513" s="10">
        <v>45643</v>
      </c>
    </row>
    <row r="2514" spans="1:9" x14ac:dyDescent="0.15">
      <c r="A2514" s="9">
        <v>2513</v>
      </c>
      <c r="B2514" s="9" t="s">
        <v>9</v>
      </c>
      <c r="C2514" s="9">
        <v>1927</v>
      </c>
      <c r="D2514" s="10">
        <v>45729</v>
      </c>
      <c r="E2514" s="11" t="str">
        <f>+HYPERLINK("http://trademark.i-assist.jp/data/china/image_1927th/82610150.pdf","82610150")</f>
        <v>82610150</v>
      </c>
      <c r="F2514" s="9" t="s">
        <v>6926</v>
      </c>
      <c r="G2514" s="9" t="s">
        <v>6927</v>
      </c>
      <c r="H2514" s="12" t="s">
        <v>6928</v>
      </c>
      <c r="I2514" s="10">
        <v>45643</v>
      </c>
    </row>
    <row r="2515" spans="1:9" x14ac:dyDescent="0.15">
      <c r="A2515" s="9">
        <v>2514</v>
      </c>
      <c r="B2515" s="9" t="s">
        <v>9</v>
      </c>
      <c r="C2515" s="9">
        <v>1927</v>
      </c>
      <c r="D2515" s="10">
        <v>45729</v>
      </c>
      <c r="E2515" s="11" t="str">
        <f>+HYPERLINK("http://trademark.i-assist.jp/data/china/image_1927th/82610212.pdf","82610212")</f>
        <v>82610212</v>
      </c>
      <c r="F2515" s="9" t="s">
        <v>6929</v>
      </c>
      <c r="G2515" s="9" t="s">
        <v>6930</v>
      </c>
      <c r="H2515" s="9" t="s">
        <v>6931</v>
      </c>
      <c r="I2515" s="10">
        <v>45643</v>
      </c>
    </row>
    <row r="2516" spans="1:9" x14ac:dyDescent="0.15">
      <c r="A2516" s="9">
        <v>2515</v>
      </c>
      <c r="B2516" s="9" t="s">
        <v>9</v>
      </c>
      <c r="C2516" s="9">
        <v>1927</v>
      </c>
      <c r="D2516" s="10">
        <v>45729</v>
      </c>
      <c r="E2516" s="11" t="str">
        <f>+HYPERLINK("http://trademark.i-assist.jp/data/china/image_1927th/82610214.pdf","82610214")</f>
        <v>82610214</v>
      </c>
      <c r="F2516" s="12" t="s">
        <v>6932</v>
      </c>
      <c r="G2516" s="9" t="s">
        <v>6655</v>
      </c>
      <c r="H2516" s="9" t="s">
        <v>6933</v>
      </c>
      <c r="I2516" s="10">
        <v>45643</v>
      </c>
    </row>
    <row r="2517" spans="1:9" x14ac:dyDescent="0.15">
      <c r="A2517" s="9">
        <v>2516</v>
      </c>
      <c r="B2517" s="9" t="s">
        <v>9</v>
      </c>
      <c r="C2517" s="9">
        <v>1927</v>
      </c>
      <c r="D2517" s="10">
        <v>45729</v>
      </c>
      <c r="E2517" s="11" t="str">
        <f>+HYPERLINK("http://trademark.i-assist.jp/data/china/image_1927th/82610230.pdf","82610230")</f>
        <v>82610230</v>
      </c>
      <c r="F2517" s="9" t="s">
        <v>6934</v>
      </c>
      <c r="G2517" s="9" t="s">
        <v>6854</v>
      </c>
      <c r="H2517" s="9" t="s">
        <v>6935</v>
      </c>
      <c r="I2517" s="10">
        <v>45643</v>
      </c>
    </row>
    <row r="2518" spans="1:9" x14ac:dyDescent="0.15">
      <c r="A2518" s="9">
        <v>2517</v>
      </c>
      <c r="B2518" s="9" t="s">
        <v>9</v>
      </c>
      <c r="C2518" s="9">
        <v>1927</v>
      </c>
      <c r="D2518" s="10">
        <v>45729</v>
      </c>
      <c r="E2518" s="11" t="str">
        <f>+HYPERLINK("http://trademark.i-assist.jp/data/china/image_1927th/82610267.pdf","82610267")</f>
        <v>82610267</v>
      </c>
      <c r="F2518" s="12" t="s">
        <v>6936</v>
      </c>
      <c r="G2518" s="9" t="s">
        <v>6655</v>
      </c>
      <c r="H2518" s="9" t="s">
        <v>6937</v>
      </c>
      <c r="I2518" s="10">
        <v>45643</v>
      </c>
    </row>
    <row r="2519" spans="1:9" x14ac:dyDescent="0.15">
      <c r="A2519" s="9">
        <v>2518</v>
      </c>
      <c r="B2519" s="9" t="s">
        <v>9</v>
      </c>
      <c r="C2519" s="9">
        <v>1927</v>
      </c>
      <c r="D2519" s="10">
        <v>45729</v>
      </c>
      <c r="E2519" s="11" t="str">
        <f>+HYPERLINK("http://trademark.i-assist.jp/data/china/image_1927th/82610566.pdf","82610566")</f>
        <v>82610566</v>
      </c>
      <c r="F2519" s="9" t="s">
        <v>6938</v>
      </c>
      <c r="G2519" s="9" t="s">
        <v>6939</v>
      </c>
      <c r="H2519" s="9" t="s">
        <v>6940</v>
      </c>
      <c r="I2519" s="10">
        <v>45643</v>
      </c>
    </row>
    <row r="2520" spans="1:9" x14ac:dyDescent="0.15">
      <c r="A2520" s="9">
        <v>2519</v>
      </c>
      <c r="B2520" s="9" t="s">
        <v>9</v>
      </c>
      <c r="C2520" s="9">
        <v>1927</v>
      </c>
      <c r="D2520" s="10">
        <v>45729</v>
      </c>
      <c r="E2520" s="11" t="str">
        <f>+HYPERLINK("http://trademark.i-assist.jp/data/china/image_1927th/82610907.pdf","82610907")</f>
        <v>82610907</v>
      </c>
      <c r="F2520" s="12" t="s">
        <v>6941</v>
      </c>
      <c r="G2520" s="9" t="s">
        <v>6690</v>
      </c>
      <c r="H2520" s="9" t="s">
        <v>6942</v>
      </c>
      <c r="I2520" s="10">
        <v>45643</v>
      </c>
    </row>
    <row r="2521" spans="1:9" x14ac:dyDescent="0.15">
      <c r="A2521" s="9">
        <v>2520</v>
      </c>
      <c r="B2521" s="9" t="s">
        <v>9</v>
      </c>
      <c r="C2521" s="9">
        <v>1927</v>
      </c>
      <c r="D2521" s="10">
        <v>45729</v>
      </c>
      <c r="E2521" s="11" t="str">
        <f>+HYPERLINK("http://trademark.i-assist.jp/data/china/image_1927th/82610911.pdf","82610911")</f>
        <v>82610911</v>
      </c>
      <c r="F2521" s="9" t="s">
        <v>6943</v>
      </c>
      <c r="G2521" s="9" t="s">
        <v>6944</v>
      </c>
      <c r="H2521" s="9" t="s">
        <v>6945</v>
      </c>
      <c r="I2521" s="10">
        <v>45643</v>
      </c>
    </row>
    <row r="2522" spans="1:9" x14ac:dyDescent="0.15">
      <c r="A2522" s="9">
        <v>2521</v>
      </c>
      <c r="B2522" s="9" t="s">
        <v>9</v>
      </c>
      <c r="C2522" s="9">
        <v>1927</v>
      </c>
      <c r="D2522" s="10">
        <v>45729</v>
      </c>
      <c r="E2522" s="11" t="str">
        <f>+HYPERLINK("http://trademark.i-assist.jp/data/china/image_1927th/82611032.pdf","82611032")</f>
        <v>82611032</v>
      </c>
      <c r="F2522" s="9" t="s">
        <v>6946</v>
      </c>
      <c r="G2522" s="9" t="s">
        <v>6824</v>
      </c>
      <c r="H2522" s="9" t="s">
        <v>6947</v>
      </c>
      <c r="I2522" s="10">
        <v>45643</v>
      </c>
    </row>
    <row r="2523" spans="1:9" x14ac:dyDescent="0.15">
      <c r="A2523" s="9">
        <v>2522</v>
      </c>
      <c r="B2523" s="9" t="s">
        <v>9</v>
      </c>
      <c r="C2523" s="9">
        <v>1927</v>
      </c>
      <c r="D2523" s="10">
        <v>45729</v>
      </c>
      <c r="E2523" s="11" t="str">
        <f>+HYPERLINK("http://trademark.i-assist.jp/data/china/image_1927th/82611189.pdf","82611189")</f>
        <v>82611189</v>
      </c>
      <c r="F2523" s="9" t="s">
        <v>6948</v>
      </c>
      <c r="G2523" s="9" t="s">
        <v>6949</v>
      </c>
      <c r="H2523" s="9" t="s">
        <v>6950</v>
      </c>
      <c r="I2523" s="10">
        <v>45643</v>
      </c>
    </row>
    <row r="2524" spans="1:9" x14ac:dyDescent="0.15">
      <c r="A2524" s="9">
        <v>2523</v>
      </c>
      <c r="B2524" s="9" t="s">
        <v>9</v>
      </c>
      <c r="C2524" s="9">
        <v>1927</v>
      </c>
      <c r="D2524" s="10">
        <v>45729</v>
      </c>
      <c r="E2524" s="11" t="str">
        <f>+HYPERLINK("http://trademark.i-assist.jp/data/china/image_1927th/82611239.pdf","82611239")</f>
        <v>82611239</v>
      </c>
      <c r="F2524" s="9" t="s">
        <v>6951</v>
      </c>
      <c r="G2524" s="9" t="s">
        <v>6952</v>
      </c>
      <c r="H2524" s="9" t="s">
        <v>6953</v>
      </c>
      <c r="I2524" s="10">
        <v>45643</v>
      </c>
    </row>
    <row r="2525" spans="1:9" x14ac:dyDescent="0.15">
      <c r="A2525" s="9">
        <v>2524</v>
      </c>
      <c r="B2525" s="9" t="s">
        <v>9</v>
      </c>
      <c r="C2525" s="9">
        <v>1927</v>
      </c>
      <c r="D2525" s="10">
        <v>45729</v>
      </c>
      <c r="E2525" s="11" t="str">
        <f>+HYPERLINK("http://trademark.i-assist.jp/data/china/image_1927th/82611367.pdf","82611367")</f>
        <v>82611367</v>
      </c>
      <c r="F2525" s="9" t="s">
        <v>6954</v>
      </c>
      <c r="G2525" s="9" t="s">
        <v>6955</v>
      </c>
      <c r="H2525" s="9" t="s">
        <v>6956</v>
      </c>
      <c r="I2525" s="10">
        <v>45644</v>
      </c>
    </row>
    <row r="2526" spans="1:9" x14ac:dyDescent="0.15">
      <c r="A2526" s="9">
        <v>2525</v>
      </c>
      <c r="B2526" s="9" t="s">
        <v>9</v>
      </c>
      <c r="C2526" s="9">
        <v>1927</v>
      </c>
      <c r="D2526" s="10">
        <v>45729</v>
      </c>
      <c r="E2526" s="11" t="str">
        <f>+HYPERLINK("http://trademark.i-assist.jp/data/china/image_1927th/82611422.pdf","82611422")</f>
        <v>82611422</v>
      </c>
      <c r="F2526" s="9" t="s">
        <v>6957</v>
      </c>
      <c r="G2526" s="12" t="s">
        <v>6958</v>
      </c>
      <c r="H2526" s="9" t="s">
        <v>6959</v>
      </c>
      <c r="I2526" s="10">
        <v>45644</v>
      </c>
    </row>
    <row r="2527" spans="1:9" x14ac:dyDescent="0.15">
      <c r="A2527" s="9">
        <v>2526</v>
      </c>
      <c r="B2527" s="9" t="s">
        <v>9</v>
      </c>
      <c r="C2527" s="9">
        <v>1927</v>
      </c>
      <c r="D2527" s="10">
        <v>45729</v>
      </c>
      <c r="E2527" s="11" t="str">
        <f>+HYPERLINK("http://trademark.i-assist.jp/data/china/image_1927th/82611554.pdf","82611554")</f>
        <v>82611554</v>
      </c>
      <c r="F2527" s="12" t="s">
        <v>6960</v>
      </c>
      <c r="G2527" s="9" t="s">
        <v>6961</v>
      </c>
      <c r="H2527" s="9" t="s">
        <v>6962</v>
      </c>
      <c r="I2527" s="10">
        <v>45644</v>
      </c>
    </row>
    <row r="2528" spans="1:9" x14ac:dyDescent="0.15">
      <c r="A2528" s="9">
        <v>2527</v>
      </c>
      <c r="B2528" s="9" t="s">
        <v>9</v>
      </c>
      <c r="C2528" s="9">
        <v>1927</v>
      </c>
      <c r="D2528" s="10">
        <v>45729</v>
      </c>
      <c r="E2528" s="11" t="str">
        <f>+HYPERLINK("http://trademark.i-assist.jp/data/china/image_1927th/82612000.pdf","82612000")</f>
        <v>82612000</v>
      </c>
      <c r="F2528" s="9" t="s">
        <v>6963</v>
      </c>
      <c r="G2528" s="9" t="s">
        <v>6964</v>
      </c>
      <c r="H2528" s="9" t="s">
        <v>6965</v>
      </c>
      <c r="I2528" s="10">
        <v>45644</v>
      </c>
    </row>
    <row r="2529" spans="1:9" x14ac:dyDescent="0.15">
      <c r="A2529" s="9">
        <v>2528</v>
      </c>
      <c r="B2529" s="9" t="s">
        <v>9</v>
      </c>
      <c r="C2529" s="9">
        <v>1927</v>
      </c>
      <c r="D2529" s="10">
        <v>45729</v>
      </c>
      <c r="E2529" s="11" t="str">
        <f>+HYPERLINK("http://trademark.i-assist.jp/data/china/image_1927th/82612020.pdf","82612020")</f>
        <v>82612020</v>
      </c>
      <c r="F2529" s="12" t="s">
        <v>16</v>
      </c>
      <c r="G2529" s="9" t="s">
        <v>6966</v>
      </c>
      <c r="H2529" s="9" t="s">
        <v>6967</v>
      </c>
      <c r="I2529" s="10">
        <v>45644</v>
      </c>
    </row>
    <row r="2530" spans="1:9" x14ac:dyDescent="0.15">
      <c r="A2530" s="9">
        <v>2529</v>
      </c>
      <c r="B2530" s="9" t="s">
        <v>9</v>
      </c>
      <c r="C2530" s="9">
        <v>1927</v>
      </c>
      <c r="D2530" s="10">
        <v>45729</v>
      </c>
      <c r="E2530" s="11" t="str">
        <f>+HYPERLINK("http://trademark.i-assist.jp/data/china/image_1927th/82612103.pdf","82612103")</f>
        <v>82612103</v>
      </c>
      <c r="F2530" s="12" t="s">
        <v>6968</v>
      </c>
      <c r="G2530" s="9" t="s">
        <v>6969</v>
      </c>
      <c r="H2530" s="9" t="s">
        <v>6970</v>
      </c>
      <c r="I2530" s="10">
        <v>45644</v>
      </c>
    </row>
    <row r="2531" spans="1:9" x14ac:dyDescent="0.15">
      <c r="A2531" s="9">
        <v>2530</v>
      </c>
      <c r="B2531" s="9" t="s">
        <v>9</v>
      </c>
      <c r="C2531" s="9">
        <v>1927</v>
      </c>
      <c r="D2531" s="10">
        <v>45729</v>
      </c>
      <c r="E2531" s="11" t="str">
        <f>+HYPERLINK("http://trademark.i-assist.jp/data/china/image_1927th/82612404.pdf","82612404")</f>
        <v>82612404</v>
      </c>
      <c r="F2531" s="9" t="s">
        <v>6971</v>
      </c>
      <c r="G2531" s="9" t="s">
        <v>6972</v>
      </c>
      <c r="H2531" s="9" t="s">
        <v>6973</v>
      </c>
      <c r="I2531" s="10">
        <v>45644</v>
      </c>
    </row>
    <row r="2532" spans="1:9" x14ac:dyDescent="0.15">
      <c r="A2532" s="9">
        <v>2531</v>
      </c>
      <c r="B2532" s="9" t="s">
        <v>9</v>
      </c>
      <c r="C2532" s="9">
        <v>1927</v>
      </c>
      <c r="D2532" s="10">
        <v>45729</v>
      </c>
      <c r="E2532" s="11" t="str">
        <f>+HYPERLINK("http://trademark.i-assist.jp/data/china/image_1927th/82612955.pdf","82612955")</f>
        <v>82612955</v>
      </c>
      <c r="F2532" s="9" t="s">
        <v>6974</v>
      </c>
      <c r="G2532" s="9" t="s">
        <v>6975</v>
      </c>
      <c r="H2532" s="9" t="s">
        <v>6976</v>
      </c>
      <c r="I2532" s="10">
        <v>45644</v>
      </c>
    </row>
    <row r="2533" spans="1:9" x14ac:dyDescent="0.15">
      <c r="A2533" s="9">
        <v>2532</v>
      </c>
      <c r="B2533" s="9" t="s">
        <v>9</v>
      </c>
      <c r="C2533" s="9">
        <v>1927</v>
      </c>
      <c r="D2533" s="10">
        <v>45729</v>
      </c>
      <c r="E2533" s="11" t="str">
        <f>+HYPERLINK("http://trademark.i-assist.jp/data/china/image_1927th/82613044.pdf","82613044")</f>
        <v>82613044</v>
      </c>
      <c r="F2533" s="9" t="s">
        <v>6977</v>
      </c>
      <c r="G2533" s="9" t="s">
        <v>6978</v>
      </c>
      <c r="H2533" s="9" t="s">
        <v>6979</v>
      </c>
      <c r="I2533" s="10">
        <v>45644</v>
      </c>
    </row>
    <row r="2534" spans="1:9" x14ac:dyDescent="0.15">
      <c r="A2534" s="9">
        <v>2533</v>
      </c>
      <c r="B2534" s="9" t="s">
        <v>9</v>
      </c>
      <c r="C2534" s="9">
        <v>1927</v>
      </c>
      <c r="D2534" s="10">
        <v>45729</v>
      </c>
      <c r="E2534" s="11" t="str">
        <f>+HYPERLINK("http://trademark.i-assist.jp/data/china/image_1927th/82613305.pdf","82613305")</f>
        <v>82613305</v>
      </c>
      <c r="F2534" s="9" t="s">
        <v>6980</v>
      </c>
      <c r="G2534" s="12" t="s">
        <v>6981</v>
      </c>
      <c r="H2534" s="9" t="s">
        <v>6982</v>
      </c>
      <c r="I2534" s="10">
        <v>45644</v>
      </c>
    </row>
    <row r="2535" spans="1:9" x14ac:dyDescent="0.15">
      <c r="A2535" s="9">
        <v>2534</v>
      </c>
      <c r="B2535" s="9" t="s">
        <v>9</v>
      </c>
      <c r="C2535" s="9">
        <v>1927</v>
      </c>
      <c r="D2535" s="10">
        <v>45729</v>
      </c>
      <c r="E2535" s="11" t="str">
        <f>+HYPERLINK("http://trademark.i-assist.jp/data/china/image_1927th/82613683.pdf","82613683")</f>
        <v>82613683</v>
      </c>
      <c r="F2535" s="9" t="s">
        <v>6983</v>
      </c>
      <c r="G2535" s="9" t="s">
        <v>6984</v>
      </c>
      <c r="H2535" s="12" t="s">
        <v>6985</v>
      </c>
      <c r="I2535" s="10">
        <v>45644</v>
      </c>
    </row>
    <row r="2536" spans="1:9" x14ac:dyDescent="0.15">
      <c r="A2536" s="9">
        <v>2535</v>
      </c>
      <c r="B2536" s="9" t="s">
        <v>9</v>
      </c>
      <c r="C2536" s="9">
        <v>1927</v>
      </c>
      <c r="D2536" s="10">
        <v>45729</v>
      </c>
      <c r="E2536" s="11" t="str">
        <f>+HYPERLINK("http://trademark.i-assist.jp/data/china/image_1927th/82613684.pdf","82613684")</f>
        <v>82613684</v>
      </c>
      <c r="F2536" s="9" t="s">
        <v>6986</v>
      </c>
      <c r="G2536" s="12" t="s">
        <v>6987</v>
      </c>
      <c r="H2536" s="9" t="s">
        <v>6988</v>
      </c>
      <c r="I2536" s="10">
        <v>45644</v>
      </c>
    </row>
    <row r="2537" spans="1:9" x14ac:dyDescent="0.15">
      <c r="A2537" s="9">
        <v>2536</v>
      </c>
      <c r="B2537" s="9" t="s">
        <v>9</v>
      </c>
      <c r="C2537" s="9">
        <v>1927</v>
      </c>
      <c r="D2537" s="10">
        <v>45729</v>
      </c>
      <c r="E2537" s="11" t="str">
        <f>+HYPERLINK("http://trademark.i-assist.jp/data/china/image_1927th/82613775.pdf","82613775")</f>
        <v>82613775</v>
      </c>
      <c r="F2537" s="9" t="s">
        <v>6989</v>
      </c>
      <c r="G2537" s="9" t="s">
        <v>228</v>
      </c>
      <c r="H2537" s="9" t="s">
        <v>6990</v>
      </c>
      <c r="I2537" s="10">
        <v>45644</v>
      </c>
    </row>
    <row r="2538" spans="1:9" x14ac:dyDescent="0.15">
      <c r="A2538" s="9">
        <v>2537</v>
      </c>
      <c r="B2538" s="9" t="s">
        <v>9</v>
      </c>
      <c r="C2538" s="9">
        <v>1927</v>
      </c>
      <c r="D2538" s="10">
        <v>45729</v>
      </c>
      <c r="E2538" s="11" t="str">
        <f>+HYPERLINK("http://trademark.i-assist.jp/data/china/image_1927th/82614055.pdf","82614055")</f>
        <v>82614055</v>
      </c>
      <c r="F2538" s="12" t="s">
        <v>6991</v>
      </c>
      <c r="G2538" s="9" t="s">
        <v>6767</v>
      </c>
      <c r="H2538" s="9" t="s">
        <v>6992</v>
      </c>
      <c r="I2538" s="10">
        <v>45644</v>
      </c>
    </row>
    <row r="2539" spans="1:9" x14ac:dyDescent="0.15">
      <c r="A2539" s="9">
        <v>2538</v>
      </c>
      <c r="B2539" s="9" t="s">
        <v>9</v>
      </c>
      <c r="C2539" s="9">
        <v>1927</v>
      </c>
      <c r="D2539" s="10">
        <v>45729</v>
      </c>
      <c r="E2539" s="11" t="str">
        <f>+HYPERLINK("http://trademark.i-assist.jp/data/china/image_1927th/82614116.pdf","82614116")</f>
        <v>82614116</v>
      </c>
      <c r="F2539" s="9" t="s">
        <v>6993</v>
      </c>
      <c r="G2539" s="9" t="s">
        <v>6994</v>
      </c>
      <c r="H2539" s="9" t="s">
        <v>6995</v>
      </c>
      <c r="I2539" s="10">
        <v>45644</v>
      </c>
    </row>
    <row r="2540" spans="1:9" x14ac:dyDescent="0.15">
      <c r="A2540" s="9">
        <v>2539</v>
      </c>
      <c r="B2540" s="9" t="s">
        <v>9</v>
      </c>
      <c r="C2540" s="9">
        <v>1927</v>
      </c>
      <c r="D2540" s="10">
        <v>45729</v>
      </c>
      <c r="E2540" s="11" t="str">
        <f>+HYPERLINK("http://trademark.i-assist.jp/data/china/image_1927th/82614338.pdf","82614338")</f>
        <v>82614338</v>
      </c>
      <c r="F2540" s="9" t="s">
        <v>6996</v>
      </c>
      <c r="G2540" s="9" t="s">
        <v>6997</v>
      </c>
      <c r="H2540" s="9" t="s">
        <v>6998</v>
      </c>
      <c r="I2540" s="10">
        <v>45644</v>
      </c>
    </row>
    <row r="2541" spans="1:9" x14ac:dyDescent="0.15">
      <c r="A2541" s="9">
        <v>2540</v>
      </c>
      <c r="B2541" s="9" t="s">
        <v>9</v>
      </c>
      <c r="C2541" s="9">
        <v>1927</v>
      </c>
      <c r="D2541" s="10">
        <v>45729</v>
      </c>
      <c r="E2541" s="11" t="str">
        <f>+HYPERLINK("http://trademark.i-assist.jp/data/china/image_1927th/82614385.pdf","82614385")</f>
        <v>82614385</v>
      </c>
      <c r="F2541" s="9" t="s">
        <v>6999</v>
      </c>
      <c r="G2541" s="9" t="s">
        <v>7000</v>
      </c>
      <c r="H2541" s="9" t="s">
        <v>7001</v>
      </c>
      <c r="I2541" s="10">
        <v>45644</v>
      </c>
    </row>
    <row r="2542" spans="1:9" x14ac:dyDescent="0.15">
      <c r="A2542" s="9">
        <v>2541</v>
      </c>
      <c r="B2542" s="9" t="s">
        <v>9</v>
      </c>
      <c r="C2542" s="9">
        <v>1927</v>
      </c>
      <c r="D2542" s="10">
        <v>45729</v>
      </c>
      <c r="E2542" s="11" t="str">
        <f>+HYPERLINK("http://trademark.i-assist.jp/data/china/image_1927th/82614813.pdf","82614813")</f>
        <v>82614813</v>
      </c>
      <c r="F2542" s="9" t="s">
        <v>7002</v>
      </c>
      <c r="G2542" s="9" t="s">
        <v>7003</v>
      </c>
      <c r="H2542" s="9" t="s">
        <v>7004</v>
      </c>
      <c r="I2542" s="10">
        <v>45644</v>
      </c>
    </row>
    <row r="2543" spans="1:9" x14ac:dyDescent="0.15">
      <c r="A2543" s="9">
        <v>2542</v>
      </c>
      <c r="B2543" s="9" t="s">
        <v>9</v>
      </c>
      <c r="C2543" s="9">
        <v>1927</v>
      </c>
      <c r="D2543" s="10">
        <v>45729</v>
      </c>
      <c r="E2543" s="11" t="str">
        <f>+HYPERLINK("http://trademark.i-assist.jp/data/china/image_1927th/82615102.pdf","82615102")</f>
        <v>82615102</v>
      </c>
      <c r="F2543" s="9" t="s">
        <v>7005</v>
      </c>
      <c r="G2543" s="9" t="s">
        <v>66</v>
      </c>
      <c r="H2543" s="12" t="s">
        <v>7006</v>
      </c>
      <c r="I2543" s="10">
        <v>45644</v>
      </c>
    </row>
    <row r="2544" spans="1:9" x14ac:dyDescent="0.15">
      <c r="A2544" s="9">
        <v>2543</v>
      </c>
      <c r="B2544" s="9" t="s">
        <v>9</v>
      </c>
      <c r="C2544" s="9">
        <v>1927</v>
      </c>
      <c r="D2544" s="10">
        <v>45729</v>
      </c>
      <c r="E2544" s="11" t="str">
        <f>+HYPERLINK("http://trademark.i-assist.jp/data/china/image_1927th/82615107.pdf","82615107")</f>
        <v>82615107</v>
      </c>
      <c r="F2544" s="12" t="s">
        <v>7007</v>
      </c>
      <c r="G2544" s="9" t="s">
        <v>7008</v>
      </c>
      <c r="H2544" s="9" t="s">
        <v>7009</v>
      </c>
      <c r="I2544" s="10">
        <v>45644</v>
      </c>
    </row>
    <row r="2545" spans="1:9" x14ac:dyDescent="0.15">
      <c r="A2545" s="9">
        <v>2544</v>
      </c>
      <c r="B2545" s="9" t="s">
        <v>9</v>
      </c>
      <c r="C2545" s="9">
        <v>1927</v>
      </c>
      <c r="D2545" s="10">
        <v>45729</v>
      </c>
      <c r="E2545" s="11" t="str">
        <f>+HYPERLINK("http://trademark.i-assist.jp/data/china/image_1927th/82615204.pdf","82615204")</f>
        <v>82615204</v>
      </c>
      <c r="F2545" s="9" t="s">
        <v>7010</v>
      </c>
      <c r="G2545" s="12" t="s">
        <v>7011</v>
      </c>
      <c r="H2545" s="9" t="s">
        <v>7012</v>
      </c>
      <c r="I2545" s="10">
        <v>45644</v>
      </c>
    </row>
    <row r="2546" spans="1:9" x14ac:dyDescent="0.15">
      <c r="A2546" s="9">
        <v>2545</v>
      </c>
      <c r="B2546" s="9" t="s">
        <v>9</v>
      </c>
      <c r="C2546" s="9">
        <v>1927</v>
      </c>
      <c r="D2546" s="10">
        <v>45729</v>
      </c>
      <c r="E2546" s="11" t="str">
        <f>+HYPERLINK("http://trademark.i-assist.jp/data/china/image_1927th/82615290.pdf","82615290")</f>
        <v>82615290</v>
      </c>
      <c r="F2546" s="9" t="s">
        <v>7013</v>
      </c>
      <c r="G2546" s="12" t="s">
        <v>7014</v>
      </c>
      <c r="H2546" s="9" t="s">
        <v>7015</v>
      </c>
      <c r="I2546" s="10">
        <v>45644</v>
      </c>
    </row>
    <row r="2547" spans="1:9" x14ac:dyDescent="0.15">
      <c r="A2547" s="9">
        <v>2546</v>
      </c>
      <c r="B2547" s="9" t="s">
        <v>9</v>
      </c>
      <c r="C2547" s="9">
        <v>1927</v>
      </c>
      <c r="D2547" s="10">
        <v>45729</v>
      </c>
      <c r="E2547" s="11" t="str">
        <f>+HYPERLINK("http://trademark.i-assist.jp/data/china/image_1927th/82615316.pdf","82615316")</f>
        <v>82615316</v>
      </c>
      <c r="F2547" s="9" t="s">
        <v>7016</v>
      </c>
      <c r="G2547" s="12" t="s">
        <v>7017</v>
      </c>
      <c r="H2547" s="9" t="s">
        <v>7018</v>
      </c>
      <c r="I2547" s="10">
        <v>45644</v>
      </c>
    </row>
    <row r="2548" spans="1:9" x14ac:dyDescent="0.15">
      <c r="A2548" s="9">
        <v>2547</v>
      </c>
      <c r="B2548" s="9" t="s">
        <v>9</v>
      </c>
      <c r="C2548" s="9">
        <v>1927</v>
      </c>
      <c r="D2548" s="10">
        <v>45729</v>
      </c>
      <c r="E2548" s="11" t="str">
        <f>+HYPERLINK("http://trademark.i-assist.jp/data/china/image_1927th/82615591.pdf","82615591")</f>
        <v>82615591</v>
      </c>
      <c r="F2548" s="9" t="s">
        <v>7019</v>
      </c>
      <c r="G2548" s="9" t="s">
        <v>7020</v>
      </c>
      <c r="H2548" s="9" t="s">
        <v>7021</v>
      </c>
      <c r="I2548" s="10">
        <v>45644</v>
      </c>
    </row>
    <row r="2549" spans="1:9" x14ac:dyDescent="0.15">
      <c r="A2549" s="9">
        <v>2548</v>
      </c>
      <c r="B2549" s="9" t="s">
        <v>9</v>
      </c>
      <c r="C2549" s="9">
        <v>1927</v>
      </c>
      <c r="D2549" s="10">
        <v>45729</v>
      </c>
      <c r="E2549" s="11" t="str">
        <f>+HYPERLINK("http://trademark.i-assist.jp/data/china/image_1927th/82615727.pdf","82615727")</f>
        <v>82615727</v>
      </c>
      <c r="F2549" s="12" t="s">
        <v>7022</v>
      </c>
      <c r="G2549" s="9" t="s">
        <v>7023</v>
      </c>
      <c r="H2549" s="9" t="s">
        <v>7024</v>
      </c>
      <c r="I2549" s="10">
        <v>45644</v>
      </c>
    </row>
    <row r="2550" spans="1:9" x14ac:dyDescent="0.15">
      <c r="A2550" s="9">
        <v>2549</v>
      </c>
      <c r="B2550" s="9" t="s">
        <v>9</v>
      </c>
      <c r="C2550" s="9">
        <v>1927</v>
      </c>
      <c r="D2550" s="10">
        <v>45729</v>
      </c>
      <c r="E2550" s="11" t="str">
        <f>+HYPERLINK("http://trademark.i-assist.jp/data/china/image_1927th/82615772.pdf","82615772")</f>
        <v>82615772</v>
      </c>
      <c r="F2550" s="9" t="s">
        <v>7025</v>
      </c>
      <c r="G2550" s="9" t="s">
        <v>7026</v>
      </c>
      <c r="H2550" s="12" t="s">
        <v>7027</v>
      </c>
      <c r="I2550" s="10">
        <v>45644</v>
      </c>
    </row>
    <row r="2551" spans="1:9" x14ac:dyDescent="0.15">
      <c r="A2551" s="9">
        <v>2550</v>
      </c>
      <c r="B2551" s="9" t="s">
        <v>9</v>
      </c>
      <c r="C2551" s="9">
        <v>1927</v>
      </c>
      <c r="D2551" s="10">
        <v>45729</v>
      </c>
      <c r="E2551" s="11" t="str">
        <f>+HYPERLINK("http://trademark.i-assist.jp/data/china/image_1927th/82616063.pdf","82616063")</f>
        <v>82616063</v>
      </c>
      <c r="F2551" s="9" t="s">
        <v>7028</v>
      </c>
      <c r="G2551" s="9" t="s">
        <v>7029</v>
      </c>
      <c r="H2551" s="9" t="s">
        <v>7030</v>
      </c>
      <c r="I2551" s="10">
        <v>45644</v>
      </c>
    </row>
    <row r="2552" spans="1:9" x14ac:dyDescent="0.15">
      <c r="A2552" s="9">
        <v>2551</v>
      </c>
      <c r="B2552" s="9" t="s">
        <v>9</v>
      </c>
      <c r="C2552" s="9">
        <v>1927</v>
      </c>
      <c r="D2552" s="10">
        <v>45729</v>
      </c>
      <c r="E2552" s="11" t="str">
        <f>+HYPERLINK("http://trademark.i-assist.jp/data/china/image_1927th/82616176.pdf","82616176")</f>
        <v>82616176</v>
      </c>
      <c r="F2552" s="9" t="s">
        <v>7031</v>
      </c>
      <c r="G2552" s="9" t="s">
        <v>7032</v>
      </c>
      <c r="H2552" s="9" t="s">
        <v>7033</v>
      </c>
      <c r="I2552" s="10">
        <v>45644</v>
      </c>
    </row>
    <row r="2553" spans="1:9" x14ac:dyDescent="0.15">
      <c r="A2553" s="9">
        <v>2552</v>
      </c>
      <c r="B2553" s="9" t="s">
        <v>9</v>
      </c>
      <c r="C2553" s="9">
        <v>1927</v>
      </c>
      <c r="D2553" s="10">
        <v>45729</v>
      </c>
      <c r="E2553" s="11" t="str">
        <f>+HYPERLINK("http://trademark.i-assist.jp/data/china/image_1927th/82616275.pdf","82616275")</f>
        <v>82616275</v>
      </c>
      <c r="F2553" s="9" t="s">
        <v>7034</v>
      </c>
      <c r="G2553" s="9" t="s">
        <v>6984</v>
      </c>
      <c r="H2553" s="9" t="s">
        <v>7035</v>
      </c>
      <c r="I2553" s="10">
        <v>45644</v>
      </c>
    </row>
    <row r="2554" spans="1:9" x14ac:dyDescent="0.15">
      <c r="A2554" s="9">
        <v>2553</v>
      </c>
      <c r="B2554" s="9" t="s">
        <v>9</v>
      </c>
      <c r="C2554" s="9">
        <v>1927</v>
      </c>
      <c r="D2554" s="10">
        <v>45729</v>
      </c>
      <c r="E2554" s="11" t="str">
        <f>+HYPERLINK("http://trademark.i-assist.jp/data/china/image_1927th/82616287.pdf","82616287")</f>
        <v>82616287</v>
      </c>
      <c r="F2554" s="9" t="s">
        <v>7036</v>
      </c>
      <c r="G2554" s="9" t="s">
        <v>6984</v>
      </c>
      <c r="H2554" s="12" t="s">
        <v>7037</v>
      </c>
      <c r="I2554" s="10">
        <v>45644</v>
      </c>
    </row>
    <row r="2555" spans="1:9" x14ac:dyDescent="0.15">
      <c r="A2555" s="9">
        <v>2554</v>
      </c>
      <c r="B2555" s="9" t="s">
        <v>9</v>
      </c>
      <c r="C2555" s="9">
        <v>1927</v>
      </c>
      <c r="D2555" s="10">
        <v>45729</v>
      </c>
      <c r="E2555" s="11" t="str">
        <f>+HYPERLINK("http://trademark.i-assist.jp/data/china/image_1927th/82616354.pdf","82616354")</f>
        <v>82616354</v>
      </c>
      <c r="F2555" s="9" t="s">
        <v>7038</v>
      </c>
      <c r="G2555" s="9" t="s">
        <v>7039</v>
      </c>
      <c r="H2555" s="9" t="s">
        <v>7040</v>
      </c>
      <c r="I2555" s="10">
        <v>45644</v>
      </c>
    </row>
    <row r="2556" spans="1:9" x14ac:dyDescent="0.15">
      <c r="A2556" s="9">
        <v>2555</v>
      </c>
      <c r="B2556" s="9" t="s">
        <v>9</v>
      </c>
      <c r="C2556" s="9">
        <v>1927</v>
      </c>
      <c r="D2556" s="10">
        <v>45729</v>
      </c>
      <c r="E2556" s="11" t="str">
        <f>+HYPERLINK("http://trademark.i-assist.jp/data/china/image_1927th/82616603.pdf","82616603")</f>
        <v>82616603</v>
      </c>
      <c r="F2556" s="9" t="s">
        <v>7041</v>
      </c>
      <c r="G2556" s="9" t="s">
        <v>7042</v>
      </c>
      <c r="H2556" s="9" t="s">
        <v>7043</v>
      </c>
      <c r="I2556" s="10">
        <v>45644</v>
      </c>
    </row>
    <row r="2557" spans="1:9" x14ac:dyDescent="0.15">
      <c r="A2557" s="9">
        <v>2556</v>
      </c>
      <c r="B2557" s="9" t="s">
        <v>9</v>
      </c>
      <c r="C2557" s="9">
        <v>1927</v>
      </c>
      <c r="D2557" s="10">
        <v>45729</v>
      </c>
      <c r="E2557" s="11" t="str">
        <f>+HYPERLINK("http://trademark.i-assist.jp/data/china/image_1927th/82617108.pdf","82617108")</f>
        <v>82617108</v>
      </c>
      <c r="F2557" s="9" t="s">
        <v>7044</v>
      </c>
      <c r="G2557" s="9" t="s">
        <v>162</v>
      </c>
      <c r="H2557" s="9" t="s">
        <v>7045</v>
      </c>
      <c r="I2557" s="10">
        <v>45644</v>
      </c>
    </row>
    <row r="2558" spans="1:9" x14ac:dyDescent="0.15">
      <c r="A2558" s="9">
        <v>2557</v>
      </c>
      <c r="B2558" s="9" t="s">
        <v>9</v>
      </c>
      <c r="C2558" s="9">
        <v>1927</v>
      </c>
      <c r="D2558" s="10">
        <v>45729</v>
      </c>
      <c r="E2558" s="11" t="str">
        <f>+HYPERLINK("http://trademark.i-assist.jp/data/china/image_1927th/82617407.pdf","82617407")</f>
        <v>82617407</v>
      </c>
      <c r="F2558" s="9" t="s">
        <v>7046</v>
      </c>
      <c r="G2558" s="9" t="s">
        <v>7047</v>
      </c>
      <c r="H2558" s="9" t="s">
        <v>7048</v>
      </c>
      <c r="I2558" s="10">
        <v>45644</v>
      </c>
    </row>
    <row r="2559" spans="1:9" x14ac:dyDescent="0.15">
      <c r="A2559" s="9">
        <v>2558</v>
      </c>
      <c r="B2559" s="9" t="s">
        <v>9</v>
      </c>
      <c r="C2559" s="9">
        <v>1927</v>
      </c>
      <c r="D2559" s="10">
        <v>45729</v>
      </c>
      <c r="E2559" s="11" t="str">
        <f>+HYPERLINK("http://trademark.i-assist.jp/data/china/image_1927th/82617462.pdf","82617462")</f>
        <v>82617462</v>
      </c>
      <c r="F2559" s="9" t="s">
        <v>7049</v>
      </c>
      <c r="G2559" s="12" t="s">
        <v>3020</v>
      </c>
      <c r="H2559" s="9" t="s">
        <v>7050</v>
      </c>
      <c r="I2559" s="10">
        <v>45644</v>
      </c>
    </row>
    <row r="2560" spans="1:9" x14ac:dyDescent="0.15">
      <c r="A2560" s="9">
        <v>2559</v>
      </c>
      <c r="B2560" s="9" t="s">
        <v>9</v>
      </c>
      <c r="C2560" s="9">
        <v>1927</v>
      </c>
      <c r="D2560" s="10">
        <v>45729</v>
      </c>
      <c r="E2560" s="11" t="str">
        <f>+HYPERLINK("http://trademark.i-assist.jp/data/china/image_1927th/82617478.pdf","82617478")</f>
        <v>82617478</v>
      </c>
      <c r="F2560" s="9" t="s">
        <v>7051</v>
      </c>
      <c r="G2560" s="9" t="s">
        <v>7052</v>
      </c>
      <c r="H2560" s="9" t="s">
        <v>7053</v>
      </c>
      <c r="I2560" s="10">
        <v>45644</v>
      </c>
    </row>
    <row r="2561" spans="1:9" x14ac:dyDescent="0.15">
      <c r="A2561" s="9">
        <v>2560</v>
      </c>
      <c r="B2561" s="9" t="s">
        <v>9</v>
      </c>
      <c r="C2561" s="9">
        <v>1927</v>
      </c>
      <c r="D2561" s="10">
        <v>45729</v>
      </c>
      <c r="E2561" s="11" t="str">
        <f>+HYPERLINK("http://trademark.i-assist.jp/data/china/image_1927th/82617667.pdf","82617667")</f>
        <v>82617667</v>
      </c>
      <c r="F2561" s="12" t="s">
        <v>16</v>
      </c>
      <c r="G2561" s="9" t="s">
        <v>7029</v>
      </c>
      <c r="H2561" s="9" t="s">
        <v>7054</v>
      </c>
      <c r="I2561" s="10">
        <v>45644</v>
      </c>
    </row>
    <row r="2562" spans="1:9" x14ac:dyDescent="0.15">
      <c r="A2562" s="9">
        <v>2561</v>
      </c>
      <c r="B2562" s="9" t="s">
        <v>9</v>
      </c>
      <c r="C2562" s="9">
        <v>1927</v>
      </c>
      <c r="D2562" s="10">
        <v>45729</v>
      </c>
      <c r="E2562" s="11" t="str">
        <f>+HYPERLINK("http://trademark.i-assist.jp/data/china/image_1927th/82617673.pdf","82617673")</f>
        <v>82617673</v>
      </c>
      <c r="F2562" s="9" t="s">
        <v>7055</v>
      </c>
      <c r="G2562" s="9" t="s">
        <v>66</v>
      </c>
      <c r="H2562" s="9" t="s">
        <v>7056</v>
      </c>
      <c r="I2562" s="10">
        <v>45644</v>
      </c>
    </row>
    <row r="2563" spans="1:9" x14ac:dyDescent="0.15">
      <c r="A2563" s="9">
        <v>2562</v>
      </c>
      <c r="B2563" s="9" t="s">
        <v>9</v>
      </c>
      <c r="C2563" s="9">
        <v>1927</v>
      </c>
      <c r="D2563" s="10">
        <v>45729</v>
      </c>
      <c r="E2563" s="11" t="str">
        <f>+HYPERLINK("http://trademark.i-assist.jp/data/china/image_1927th/82618094.pdf","82618094")</f>
        <v>82618094</v>
      </c>
      <c r="F2563" s="9" t="s">
        <v>7057</v>
      </c>
      <c r="G2563" s="9" t="s">
        <v>57</v>
      </c>
      <c r="H2563" s="9" t="s">
        <v>7058</v>
      </c>
      <c r="I2563" s="10">
        <v>45644</v>
      </c>
    </row>
    <row r="2564" spans="1:9" x14ac:dyDescent="0.15">
      <c r="A2564" s="9">
        <v>2563</v>
      </c>
      <c r="B2564" s="9" t="s">
        <v>9</v>
      </c>
      <c r="C2564" s="9">
        <v>1927</v>
      </c>
      <c r="D2564" s="10">
        <v>45729</v>
      </c>
      <c r="E2564" s="11" t="str">
        <f>+HYPERLINK("http://trademark.i-assist.jp/data/china/image_1927th/82618114.pdf","82618114")</f>
        <v>82618114</v>
      </c>
      <c r="F2564" s="12" t="s">
        <v>7059</v>
      </c>
      <c r="G2564" s="9" t="s">
        <v>7060</v>
      </c>
      <c r="H2564" s="9" t="s">
        <v>7061</v>
      </c>
      <c r="I2564" s="10">
        <v>45644</v>
      </c>
    </row>
    <row r="2565" spans="1:9" x14ac:dyDescent="0.15">
      <c r="A2565" s="9">
        <v>2564</v>
      </c>
      <c r="B2565" s="9" t="s">
        <v>9</v>
      </c>
      <c r="C2565" s="9">
        <v>1927</v>
      </c>
      <c r="D2565" s="10">
        <v>45729</v>
      </c>
      <c r="E2565" s="11" t="str">
        <f>+HYPERLINK("http://trademark.i-assist.jp/data/china/image_1927th/82618120.pdf","82618120")</f>
        <v>82618120</v>
      </c>
      <c r="F2565" s="9" t="s">
        <v>7062</v>
      </c>
      <c r="G2565" s="12" t="s">
        <v>7063</v>
      </c>
      <c r="H2565" s="9" t="s">
        <v>7064</v>
      </c>
      <c r="I2565" s="10">
        <v>45644</v>
      </c>
    </row>
    <row r="2566" spans="1:9" x14ac:dyDescent="0.15">
      <c r="A2566" s="9">
        <v>2565</v>
      </c>
      <c r="B2566" s="9" t="s">
        <v>9</v>
      </c>
      <c r="C2566" s="9">
        <v>1927</v>
      </c>
      <c r="D2566" s="10">
        <v>45729</v>
      </c>
      <c r="E2566" s="11" t="str">
        <f>+HYPERLINK("http://trademark.i-assist.jp/data/china/image_1927th/82618467.pdf","82618467")</f>
        <v>82618467</v>
      </c>
      <c r="F2566" s="12" t="s">
        <v>7065</v>
      </c>
      <c r="G2566" s="12" t="s">
        <v>7065</v>
      </c>
      <c r="H2566" s="9" t="s">
        <v>7066</v>
      </c>
      <c r="I2566" s="10">
        <v>45644</v>
      </c>
    </row>
    <row r="2567" spans="1:9" x14ac:dyDescent="0.15">
      <c r="A2567" s="9">
        <v>2566</v>
      </c>
      <c r="B2567" s="9" t="s">
        <v>9</v>
      </c>
      <c r="C2567" s="9">
        <v>1927</v>
      </c>
      <c r="D2567" s="10">
        <v>45729</v>
      </c>
      <c r="E2567" s="11" t="str">
        <f>+HYPERLINK("http://trademark.i-assist.jp/data/china/image_1927th/82618551.pdf","82618551")</f>
        <v>82618551</v>
      </c>
      <c r="F2567" s="12" t="s">
        <v>16</v>
      </c>
      <c r="G2567" s="9" t="s">
        <v>7067</v>
      </c>
      <c r="H2567" s="9" t="s">
        <v>7068</v>
      </c>
      <c r="I2567" s="10">
        <v>45644</v>
      </c>
    </row>
    <row r="2568" spans="1:9" x14ac:dyDescent="0.15">
      <c r="A2568" s="9">
        <v>2567</v>
      </c>
      <c r="B2568" s="9" t="s">
        <v>9</v>
      </c>
      <c r="C2568" s="9">
        <v>1927</v>
      </c>
      <c r="D2568" s="10">
        <v>45729</v>
      </c>
      <c r="E2568" s="11" t="str">
        <f>+HYPERLINK("http://trademark.i-assist.jp/data/china/image_1927th/82618647.pdf","82618647")</f>
        <v>82618647</v>
      </c>
      <c r="F2568" s="9" t="s">
        <v>7069</v>
      </c>
      <c r="G2568" s="9" t="s">
        <v>7070</v>
      </c>
      <c r="H2568" s="9" t="s">
        <v>7071</v>
      </c>
      <c r="I2568" s="10">
        <v>45644</v>
      </c>
    </row>
    <row r="2569" spans="1:9" x14ac:dyDescent="0.15">
      <c r="A2569" s="9">
        <v>2568</v>
      </c>
      <c r="B2569" s="9" t="s">
        <v>9</v>
      </c>
      <c r="C2569" s="9">
        <v>1927</v>
      </c>
      <c r="D2569" s="10">
        <v>45729</v>
      </c>
      <c r="E2569" s="11" t="str">
        <f>+HYPERLINK("http://trademark.i-assist.jp/data/china/image_1927th/82618937.pdf","82618937")</f>
        <v>82618937</v>
      </c>
      <c r="F2569" s="9" t="s">
        <v>7072</v>
      </c>
      <c r="G2569" s="9" t="s">
        <v>7073</v>
      </c>
      <c r="H2569" s="9" t="s">
        <v>7074</v>
      </c>
      <c r="I2569" s="10">
        <v>45644</v>
      </c>
    </row>
    <row r="2570" spans="1:9" x14ac:dyDescent="0.15">
      <c r="A2570" s="9">
        <v>2569</v>
      </c>
      <c r="B2570" s="9" t="s">
        <v>9</v>
      </c>
      <c r="C2570" s="9">
        <v>1927</v>
      </c>
      <c r="D2570" s="10">
        <v>45729</v>
      </c>
      <c r="E2570" s="11" t="str">
        <f>+HYPERLINK("http://trademark.i-assist.jp/data/china/image_1927th/82618950.pdf","82618950")</f>
        <v>82618950</v>
      </c>
      <c r="F2570" s="9" t="s">
        <v>7075</v>
      </c>
      <c r="G2570" s="9" t="s">
        <v>7076</v>
      </c>
      <c r="H2570" s="9" t="s">
        <v>7077</v>
      </c>
      <c r="I2570" s="10">
        <v>45644</v>
      </c>
    </row>
    <row r="2571" spans="1:9" x14ac:dyDescent="0.15">
      <c r="A2571" s="9">
        <v>2570</v>
      </c>
      <c r="B2571" s="9" t="s">
        <v>9</v>
      </c>
      <c r="C2571" s="9">
        <v>1927</v>
      </c>
      <c r="D2571" s="10">
        <v>45729</v>
      </c>
      <c r="E2571" s="11" t="str">
        <f>+HYPERLINK("http://trademark.i-assist.jp/data/china/image_1927th/82618997.pdf","82618997")</f>
        <v>82618997</v>
      </c>
      <c r="F2571" s="9" t="s">
        <v>7078</v>
      </c>
      <c r="G2571" s="9" t="s">
        <v>7047</v>
      </c>
      <c r="H2571" s="9" t="s">
        <v>7079</v>
      </c>
      <c r="I2571" s="10">
        <v>45644</v>
      </c>
    </row>
    <row r="2572" spans="1:9" x14ac:dyDescent="0.15">
      <c r="A2572" s="9">
        <v>2571</v>
      </c>
      <c r="B2572" s="9" t="s">
        <v>9</v>
      </c>
      <c r="C2572" s="9">
        <v>1927</v>
      </c>
      <c r="D2572" s="10">
        <v>45729</v>
      </c>
      <c r="E2572" s="11" t="str">
        <f>+HYPERLINK("http://trademark.i-assist.jp/data/china/image_1927th/82619034.pdf","82619034")</f>
        <v>82619034</v>
      </c>
      <c r="F2572" s="9" t="s">
        <v>7080</v>
      </c>
      <c r="G2572" s="9" t="s">
        <v>7081</v>
      </c>
      <c r="H2572" s="9" t="s">
        <v>7082</v>
      </c>
      <c r="I2572" s="10">
        <v>45644</v>
      </c>
    </row>
    <row r="2573" spans="1:9" x14ac:dyDescent="0.15">
      <c r="A2573" s="9">
        <v>2572</v>
      </c>
      <c r="B2573" s="9" t="s">
        <v>9</v>
      </c>
      <c r="C2573" s="9">
        <v>1927</v>
      </c>
      <c r="D2573" s="10">
        <v>45729</v>
      </c>
      <c r="E2573" s="11" t="str">
        <f>+HYPERLINK("http://trademark.i-assist.jp/data/china/image_1927th/82619066.pdf","82619066")</f>
        <v>82619066</v>
      </c>
      <c r="F2573" s="9" t="s">
        <v>7083</v>
      </c>
      <c r="G2573" s="12" t="s">
        <v>7084</v>
      </c>
      <c r="H2573" s="9" t="s">
        <v>7085</v>
      </c>
      <c r="I2573" s="10">
        <v>45644</v>
      </c>
    </row>
    <row r="2574" spans="1:9" x14ac:dyDescent="0.15">
      <c r="A2574" s="9">
        <v>2573</v>
      </c>
      <c r="B2574" s="9" t="s">
        <v>9</v>
      </c>
      <c r="C2574" s="9">
        <v>1927</v>
      </c>
      <c r="D2574" s="10">
        <v>45729</v>
      </c>
      <c r="E2574" s="11" t="str">
        <f>+HYPERLINK("http://trademark.i-assist.jp/data/china/image_1927th/82619225.pdf","82619225")</f>
        <v>82619225</v>
      </c>
      <c r="F2574" s="12" t="s">
        <v>7086</v>
      </c>
      <c r="G2574" s="12" t="s">
        <v>7014</v>
      </c>
      <c r="H2574" s="9" t="s">
        <v>7087</v>
      </c>
      <c r="I2574" s="10">
        <v>45644</v>
      </c>
    </row>
    <row r="2575" spans="1:9" x14ac:dyDescent="0.15">
      <c r="A2575" s="9">
        <v>2574</v>
      </c>
      <c r="B2575" s="9" t="s">
        <v>9</v>
      </c>
      <c r="C2575" s="9">
        <v>1927</v>
      </c>
      <c r="D2575" s="10">
        <v>45729</v>
      </c>
      <c r="E2575" s="11" t="str">
        <f>+HYPERLINK("http://trademark.i-assist.jp/data/china/image_1927th/82619351.pdf","82619351")</f>
        <v>82619351</v>
      </c>
      <c r="F2575" s="9" t="s">
        <v>7088</v>
      </c>
      <c r="G2575" s="12" t="s">
        <v>7089</v>
      </c>
      <c r="H2575" s="12" t="s">
        <v>7090</v>
      </c>
      <c r="I2575" s="10">
        <v>45644</v>
      </c>
    </row>
    <row r="2576" spans="1:9" x14ac:dyDescent="0.15">
      <c r="A2576" s="9">
        <v>2575</v>
      </c>
      <c r="B2576" s="9" t="s">
        <v>9</v>
      </c>
      <c r="C2576" s="9">
        <v>1927</v>
      </c>
      <c r="D2576" s="10">
        <v>45729</v>
      </c>
      <c r="E2576" s="11" t="str">
        <f>+HYPERLINK("http://trademark.i-assist.jp/data/china/image_1927th/82619606.pdf","82619606")</f>
        <v>82619606</v>
      </c>
      <c r="F2576" s="12" t="s">
        <v>16</v>
      </c>
      <c r="G2576" s="9" t="s">
        <v>7091</v>
      </c>
      <c r="H2576" s="9" t="s">
        <v>7092</v>
      </c>
      <c r="I2576" s="10">
        <v>45644</v>
      </c>
    </row>
    <row r="2577" spans="1:9" x14ac:dyDescent="0.15">
      <c r="A2577" s="9">
        <v>2576</v>
      </c>
      <c r="B2577" s="9" t="s">
        <v>9</v>
      </c>
      <c r="C2577" s="9">
        <v>1927</v>
      </c>
      <c r="D2577" s="10">
        <v>45729</v>
      </c>
      <c r="E2577" s="11" t="str">
        <f>+HYPERLINK("http://trademark.i-assist.jp/data/china/image_1927th/82619624.pdf","82619624")</f>
        <v>82619624</v>
      </c>
      <c r="F2577" s="12" t="s">
        <v>7093</v>
      </c>
      <c r="G2577" s="9" t="s">
        <v>7094</v>
      </c>
      <c r="H2577" s="9" t="s">
        <v>7095</v>
      </c>
      <c r="I2577" s="10">
        <v>45644</v>
      </c>
    </row>
    <row r="2578" spans="1:9" x14ac:dyDescent="0.15">
      <c r="A2578" s="9">
        <v>2577</v>
      </c>
      <c r="B2578" s="9" t="s">
        <v>9</v>
      </c>
      <c r="C2578" s="9">
        <v>1927</v>
      </c>
      <c r="D2578" s="10">
        <v>45729</v>
      </c>
      <c r="E2578" s="11" t="str">
        <f>+HYPERLINK("http://trademark.i-assist.jp/data/china/image_1927th/82619639.pdf","82619639")</f>
        <v>82619639</v>
      </c>
      <c r="F2578" s="9" t="s">
        <v>7096</v>
      </c>
      <c r="G2578" s="9" t="s">
        <v>7097</v>
      </c>
      <c r="H2578" s="9" t="s">
        <v>7098</v>
      </c>
      <c r="I2578" s="10">
        <v>45644</v>
      </c>
    </row>
    <row r="2579" spans="1:9" x14ac:dyDescent="0.15">
      <c r="A2579" s="9">
        <v>2578</v>
      </c>
      <c r="B2579" s="9" t="s">
        <v>9</v>
      </c>
      <c r="C2579" s="9">
        <v>1927</v>
      </c>
      <c r="D2579" s="10">
        <v>45729</v>
      </c>
      <c r="E2579" s="11" t="str">
        <f>+HYPERLINK("http://trademark.i-assist.jp/data/china/image_1927th/82619746.pdf","82619746")</f>
        <v>82619746</v>
      </c>
      <c r="F2579" s="9" t="s">
        <v>7099</v>
      </c>
      <c r="G2579" s="12" t="s">
        <v>7017</v>
      </c>
      <c r="H2579" s="9" t="s">
        <v>7100</v>
      </c>
      <c r="I2579" s="10">
        <v>45644</v>
      </c>
    </row>
    <row r="2580" spans="1:9" x14ac:dyDescent="0.15">
      <c r="A2580" s="9">
        <v>2579</v>
      </c>
      <c r="B2580" s="9" t="s">
        <v>9</v>
      </c>
      <c r="C2580" s="9">
        <v>1927</v>
      </c>
      <c r="D2580" s="10">
        <v>45729</v>
      </c>
      <c r="E2580" s="11" t="str">
        <f>+HYPERLINK("http://trademark.i-assist.jp/data/china/image_1927th/82619796.pdf","82619796")</f>
        <v>82619796</v>
      </c>
      <c r="F2580" s="9" t="s">
        <v>7101</v>
      </c>
      <c r="G2580" s="9" t="s">
        <v>7102</v>
      </c>
      <c r="H2580" s="9" t="s">
        <v>7103</v>
      </c>
      <c r="I2580" s="10">
        <v>45644</v>
      </c>
    </row>
    <row r="2581" spans="1:9" x14ac:dyDescent="0.15">
      <c r="A2581" s="9">
        <v>2580</v>
      </c>
      <c r="B2581" s="9" t="s">
        <v>9</v>
      </c>
      <c r="C2581" s="9">
        <v>1927</v>
      </c>
      <c r="D2581" s="10">
        <v>45729</v>
      </c>
      <c r="E2581" s="11" t="str">
        <f>+HYPERLINK("http://trademark.i-assist.jp/data/china/image_1927th/82619936.pdf","82619936")</f>
        <v>82619936</v>
      </c>
      <c r="F2581" s="9" t="s">
        <v>7104</v>
      </c>
      <c r="G2581" s="12" t="s">
        <v>7105</v>
      </c>
      <c r="H2581" s="12" t="s">
        <v>7106</v>
      </c>
      <c r="I2581" s="10">
        <v>45644</v>
      </c>
    </row>
    <row r="2582" spans="1:9" x14ac:dyDescent="0.15">
      <c r="A2582" s="9">
        <v>2581</v>
      </c>
      <c r="B2582" s="9" t="s">
        <v>9</v>
      </c>
      <c r="C2582" s="9">
        <v>1927</v>
      </c>
      <c r="D2582" s="10">
        <v>45729</v>
      </c>
      <c r="E2582" s="11" t="str">
        <f>+HYPERLINK("http://trademark.i-assist.jp/data/china/image_1927th/82619975.pdf","82619975")</f>
        <v>82619975</v>
      </c>
      <c r="F2582" s="9" t="s">
        <v>7107</v>
      </c>
      <c r="G2582" s="9" t="s">
        <v>7108</v>
      </c>
      <c r="H2582" s="9" t="s">
        <v>7109</v>
      </c>
      <c r="I2582" s="10">
        <v>45644</v>
      </c>
    </row>
    <row r="2583" spans="1:9" x14ac:dyDescent="0.15">
      <c r="A2583" s="9">
        <v>2582</v>
      </c>
      <c r="B2583" s="9" t="s">
        <v>9</v>
      </c>
      <c r="C2583" s="9">
        <v>1927</v>
      </c>
      <c r="D2583" s="10">
        <v>45729</v>
      </c>
      <c r="E2583" s="11" t="str">
        <f>+HYPERLINK("http://trademark.i-assist.jp/data/china/image_1927th/82620026.pdf","82620026")</f>
        <v>82620026</v>
      </c>
      <c r="F2583" s="9" t="s">
        <v>7110</v>
      </c>
      <c r="G2583" s="9" t="s">
        <v>162</v>
      </c>
      <c r="H2583" s="9" t="s">
        <v>7111</v>
      </c>
      <c r="I2583" s="10">
        <v>45644</v>
      </c>
    </row>
    <row r="2584" spans="1:9" x14ac:dyDescent="0.15">
      <c r="A2584" s="9">
        <v>2583</v>
      </c>
      <c r="B2584" s="9" t="s">
        <v>9</v>
      </c>
      <c r="C2584" s="9">
        <v>1927</v>
      </c>
      <c r="D2584" s="10">
        <v>45729</v>
      </c>
      <c r="E2584" s="11" t="str">
        <f>+HYPERLINK("http://trademark.i-assist.jp/data/china/image_1927th/82620208.pdf","82620208")</f>
        <v>82620208</v>
      </c>
      <c r="F2584" s="9" t="s">
        <v>7112</v>
      </c>
      <c r="G2584" s="9" t="s">
        <v>7113</v>
      </c>
      <c r="H2584" s="9" t="s">
        <v>7114</v>
      </c>
      <c r="I2584" s="10">
        <v>45644</v>
      </c>
    </row>
    <row r="2585" spans="1:9" x14ac:dyDescent="0.15">
      <c r="A2585" s="9">
        <v>2584</v>
      </c>
      <c r="B2585" s="9" t="s">
        <v>9</v>
      </c>
      <c r="C2585" s="9">
        <v>1927</v>
      </c>
      <c r="D2585" s="10">
        <v>45729</v>
      </c>
      <c r="E2585" s="11" t="str">
        <f>+HYPERLINK("http://trademark.i-assist.jp/data/china/image_1927th/82620380.pdf","82620380")</f>
        <v>82620380</v>
      </c>
      <c r="F2585" s="9" t="s">
        <v>7115</v>
      </c>
      <c r="G2585" s="9" t="s">
        <v>67</v>
      </c>
      <c r="H2585" s="9" t="s">
        <v>7116</v>
      </c>
      <c r="I2585" s="10">
        <v>45644</v>
      </c>
    </row>
    <row r="2586" spans="1:9" x14ac:dyDescent="0.15">
      <c r="A2586" s="9">
        <v>2585</v>
      </c>
      <c r="B2586" s="9" t="s">
        <v>9</v>
      </c>
      <c r="C2586" s="9">
        <v>1927</v>
      </c>
      <c r="D2586" s="10">
        <v>45729</v>
      </c>
      <c r="E2586" s="11" t="str">
        <f>+HYPERLINK("http://trademark.i-assist.jp/data/china/image_1927th/82620402.pdf","82620402")</f>
        <v>82620402</v>
      </c>
      <c r="F2586" s="9" t="s">
        <v>7117</v>
      </c>
      <c r="G2586" s="12" t="s">
        <v>7118</v>
      </c>
      <c r="H2586" s="9" t="s">
        <v>7119</v>
      </c>
      <c r="I2586" s="10">
        <v>45644</v>
      </c>
    </row>
    <row r="2587" spans="1:9" x14ac:dyDescent="0.15">
      <c r="A2587" s="9">
        <v>2586</v>
      </c>
      <c r="B2587" s="9" t="s">
        <v>9</v>
      </c>
      <c r="C2587" s="9">
        <v>1927</v>
      </c>
      <c r="D2587" s="10">
        <v>45729</v>
      </c>
      <c r="E2587" s="11" t="str">
        <f>+HYPERLINK("http://trademark.i-assist.jp/data/china/image_1927th/82620460.pdf","82620460")</f>
        <v>82620460</v>
      </c>
      <c r="F2587" s="9" t="s">
        <v>7120</v>
      </c>
      <c r="G2587" s="9" t="s">
        <v>7121</v>
      </c>
      <c r="H2587" s="9" t="s">
        <v>7122</v>
      </c>
      <c r="I2587" s="10">
        <v>45644</v>
      </c>
    </row>
    <row r="2588" spans="1:9" x14ac:dyDescent="0.15">
      <c r="A2588" s="9">
        <v>2587</v>
      </c>
      <c r="B2588" s="9" t="s">
        <v>9</v>
      </c>
      <c r="C2588" s="9">
        <v>1927</v>
      </c>
      <c r="D2588" s="10">
        <v>45729</v>
      </c>
      <c r="E2588" s="11" t="str">
        <f>+HYPERLINK("http://trademark.i-assist.jp/data/china/image_1927th/82620547.pdf","82620547")</f>
        <v>82620547</v>
      </c>
      <c r="F2588" s="9" t="s">
        <v>7123</v>
      </c>
      <c r="G2588" s="9" t="s">
        <v>7124</v>
      </c>
      <c r="H2588" s="9" t="s">
        <v>7125</v>
      </c>
      <c r="I2588" s="10">
        <v>45644</v>
      </c>
    </row>
    <row r="2589" spans="1:9" x14ac:dyDescent="0.15">
      <c r="A2589" s="9">
        <v>2588</v>
      </c>
      <c r="B2589" s="9" t="s">
        <v>9</v>
      </c>
      <c r="C2589" s="9">
        <v>1927</v>
      </c>
      <c r="D2589" s="10">
        <v>45729</v>
      </c>
      <c r="E2589" s="11" t="str">
        <f>+HYPERLINK("http://trademark.i-assist.jp/data/china/image_1927th/82621392.pdf","82621392")</f>
        <v>82621392</v>
      </c>
      <c r="F2589" s="9" t="s">
        <v>7126</v>
      </c>
      <c r="G2589" s="12" t="s">
        <v>4021</v>
      </c>
      <c r="H2589" s="9" t="s">
        <v>7127</v>
      </c>
      <c r="I2589" s="10">
        <v>45644</v>
      </c>
    </row>
    <row r="2590" spans="1:9" x14ac:dyDescent="0.15">
      <c r="A2590" s="9">
        <v>2589</v>
      </c>
      <c r="B2590" s="9" t="s">
        <v>9</v>
      </c>
      <c r="C2590" s="9">
        <v>1927</v>
      </c>
      <c r="D2590" s="10">
        <v>45729</v>
      </c>
      <c r="E2590" s="11" t="str">
        <f>+HYPERLINK("http://trademark.i-assist.jp/data/china/image_1927th/82621587.pdf","82621587")</f>
        <v>82621587</v>
      </c>
      <c r="F2590" s="9" t="s">
        <v>7128</v>
      </c>
      <c r="G2590" s="9" t="s">
        <v>7129</v>
      </c>
      <c r="H2590" s="9" t="s">
        <v>7130</v>
      </c>
      <c r="I2590" s="10">
        <v>45644</v>
      </c>
    </row>
    <row r="2591" spans="1:9" x14ac:dyDescent="0.15">
      <c r="A2591" s="9">
        <v>2590</v>
      </c>
      <c r="B2591" s="9" t="s">
        <v>9</v>
      </c>
      <c r="C2591" s="9">
        <v>1927</v>
      </c>
      <c r="D2591" s="10">
        <v>45729</v>
      </c>
      <c r="E2591" s="11" t="str">
        <f>+HYPERLINK("http://trademark.i-assist.jp/data/china/image_1927th/82621658.pdf","82621658")</f>
        <v>82621658</v>
      </c>
      <c r="F2591" s="12" t="s">
        <v>7131</v>
      </c>
      <c r="G2591" s="12" t="s">
        <v>7132</v>
      </c>
      <c r="H2591" s="9" t="s">
        <v>7133</v>
      </c>
      <c r="I2591" s="10">
        <v>45644</v>
      </c>
    </row>
    <row r="2592" spans="1:9" x14ac:dyDescent="0.15">
      <c r="A2592" s="9">
        <v>2591</v>
      </c>
      <c r="B2592" s="9" t="s">
        <v>9</v>
      </c>
      <c r="C2592" s="9">
        <v>1927</v>
      </c>
      <c r="D2592" s="10">
        <v>45729</v>
      </c>
      <c r="E2592" s="11" t="str">
        <f>+HYPERLINK("http://trademark.i-assist.jp/data/china/image_1927th/82621790.pdf","82621790")</f>
        <v>82621790</v>
      </c>
      <c r="F2592" s="9" t="s">
        <v>7134</v>
      </c>
      <c r="G2592" s="9" t="s">
        <v>7135</v>
      </c>
      <c r="H2592" s="9" t="s">
        <v>7136</v>
      </c>
      <c r="I2592" s="10">
        <v>45644</v>
      </c>
    </row>
    <row r="2593" spans="1:9" x14ac:dyDescent="0.15">
      <c r="A2593" s="9">
        <v>2592</v>
      </c>
      <c r="B2593" s="9" t="s">
        <v>9</v>
      </c>
      <c r="C2593" s="9">
        <v>1927</v>
      </c>
      <c r="D2593" s="10">
        <v>45729</v>
      </c>
      <c r="E2593" s="11" t="str">
        <f>+HYPERLINK("http://trademark.i-assist.jp/data/china/image_1927th/82621945.pdf","82621945")</f>
        <v>82621945</v>
      </c>
      <c r="F2593" s="9" t="s">
        <v>7137</v>
      </c>
      <c r="G2593" s="12" t="s">
        <v>7138</v>
      </c>
      <c r="H2593" s="9" t="s">
        <v>7139</v>
      </c>
      <c r="I2593" s="10">
        <v>45644</v>
      </c>
    </row>
    <row r="2594" spans="1:9" x14ac:dyDescent="0.15">
      <c r="A2594" s="9">
        <v>2593</v>
      </c>
      <c r="B2594" s="9" t="s">
        <v>9</v>
      </c>
      <c r="C2594" s="9">
        <v>1927</v>
      </c>
      <c r="D2594" s="10">
        <v>45729</v>
      </c>
      <c r="E2594" s="11" t="str">
        <f>+HYPERLINK("http://trademark.i-assist.jp/data/china/image_1927th/82621979.pdf","82621979")</f>
        <v>82621979</v>
      </c>
      <c r="F2594" s="12" t="s">
        <v>7140</v>
      </c>
      <c r="G2594" s="9" t="s">
        <v>47</v>
      </c>
      <c r="H2594" s="9" t="s">
        <v>7141</v>
      </c>
      <c r="I2594" s="10">
        <v>45644</v>
      </c>
    </row>
    <row r="2595" spans="1:9" x14ac:dyDescent="0.15">
      <c r="A2595" s="9">
        <v>2594</v>
      </c>
      <c r="B2595" s="9" t="s">
        <v>9</v>
      </c>
      <c r="C2595" s="9">
        <v>1927</v>
      </c>
      <c r="D2595" s="10">
        <v>45729</v>
      </c>
      <c r="E2595" s="11" t="str">
        <f>+HYPERLINK("http://trademark.i-assist.jp/data/china/image_1927th/82622152.pdf","82622152")</f>
        <v>82622152</v>
      </c>
      <c r="F2595" s="9" t="s">
        <v>7142</v>
      </c>
      <c r="G2595" s="9" t="s">
        <v>7143</v>
      </c>
      <c r="H2595" s="9" t="s">
        <v>7144</v>
      </c>
      <c r="I2595" s="10">
        <v>45644</v>
      </c>
    </row>
    <row r="2596" spans="1:9" x14ac:dyDescent="0.15">
      <c r="A2596" s="9">
        <v>2595</v>
      </c>
      <c r="B2596" s="9" t="s">
        <v>9</v>
      </c>
      <c r="C2596" s="9">
        <v>1927</v>
      </c>
      <c r="D2596" s="10">
        <v>45729</v>
      </c>
      <c r="E2596" s="11" t="str">
        <f>+HYPERLINK("http://trademark.i-assist.jp/data/china/image_1927th/82622186.pdf","82622186")</f>
        <v>82622186</v>
      </c>
      <c r="F2596" s="9" t="s">
        <v>7145</v>
      </c>
      <c r="G2596" s="9" t="s">
        <v>7146</v>
      </c>
      <c r="H2596" s="9" t="s">
        <v>7147</v>
      </c>
      <c r="I2596" s="10">
        <v>45644</v>
      </c>
    </row>
    <row r="2597" spans="1:9" x14ac:dyDescent="0.15">
      <c r="A2597" s="9">
        <v>2596</v>
      </c>
      <c r="B2597" s="9" t="s">
        <v>9</v>
      </c>
      <c r="C2597" s="9">
        <v>1927</v>
      </c>
      <c r="D2597" s="10">
        <v>45729</v>
      </c>
      <c r="E2597" s="11" t="str">
        <f>+HYPERLINK("http://trademark.i-assist.jp/data/china/image_1927th/82622459.pdf","82622459")</f>
        <v>82622459</v>
      </c>
      <c r="F2597" s="9" t="s">
        <v>7148</v>
      </c>
      <c r="G2597" s="9" t="s">
        <v>66</v>
      </c>
      <c r="H2597" s="9" t="s">
        <v>7149</v>
      </c>
      <c r="I2597" s="10">
        <v>45644</v>
      </c>
    </row>
    <row r="2598" spans="1:9" x14ac:dyDescent="0.15">
      <c r="A2598" s="9">
        <v>2597</v>
      </c>
      <c r="B2598" s="9" t="s">
        <v>9</v>
      </c>
      <c r="C2598" s="9">
        <v>1927</v>
      </c>
      <c r="D2598" s="10">
        <v>45729</v>
      </c>
      <c r="E2598" s="11" t="str">
        <f>+HYPERLINK("http://trademark.i-assist.jp/data/china/image_1927th/82622485.pdf","82622485")</f>
        <v>82622485</v>
      </c>
      <c r="F2598" s="9" t="s">
        <v>7150</v>
      </c>
      <c r="G2598" s="9" t="s">
        <v>7151</v>
      </c>
      <c r="H2598" s="9" t="s">
        <v>7152</v>
      </c>
      <c r="I2598" s="10">
        <v>45644</v>
      </c>
    </row>
    <row r="2599" spans="1:9" x14ac:dyDescent="0.15">
      <c r="A2599" s="9">
        <v>2598</v>
      </c>
      <c r="B2599" s="9" t="s">
        <v>9</v>
      </c>
      <c r="C2599" s="9">
        <v>1927</v>
      </c>
      <c r="D2599" s="10">
        <v>45729</v>
      </c>
      <c r="E2599" s="11" t="str">
        <f>+HYPERLINK("http://trademark.i-assist.jp/data/china/image_1927th/82622593.pdf","82622593")</f>
        <v>82622593</v>
      </c>
      <c r="F2599" s="12" t="s">
        <v>7153</v>
      </c>
      <c r="G2599" s="9" t="s">
        <v>7154</v>
      </c>
      <c r="H2599" s="9" t="s">
        <v>7155</v>
      </c>
      <c r="I2599" s="10">
        <v>45644</v>
      </c>
    </row>
    <row r="2600" spans="1:9" x14ac:dyDescent="0.15">
      <c r="A2600" s="9">
        <v>2599</v>
      </c>
      <c r="B2600" s="9" t="s">
        <v>9</v>
      </c>
      <c r="C2600" s="9">
        <v>1927</v>
      </c>
      <c r="D2600" s="10">
        <v>45729</v>
      </c>
      <c r="E2600" s="11" t="str">
        <f>+HYPERLINK("http://trademark.i-assist.jp/data/china/image_1927th/82622681.pdf","82622681")</f>
        <v>82622681</v>
      </c>
      <c r="F2600" s="9" t="s">
        <v>7156</v>
      </c>
      <c r="G2600" s="12" t="s">
        <v>7118</v>
      </c>
      <c r="H2600" s="9" t="s">
        <v>7157</v>
      </c>
      <c r="I2600" s="10">
        <v>45644</v>
      </c>
    </row>
    <row r="2601" spans="1:9" x14ac:dyDescent="0.15">
      <c r="A2601" s="9">
        <v>2600</v>
      </c>
      <c r="B2601" s="9" t="s">
        <v>9</v>
      </c>
      <c r="C2601" s="9">
        <v>1927</v>
      </c>
      <c r="D2601" s="10">
        <v>45729</v>
      </c>
      <c r="E2601" s="11" t="str">
        <f>+HYPERLINK("http://trademark.i-assist.jp/data/china/image_1927th/82622822.pdf","82622822")</f>
        <v>82622822</v>
      </c>
      <c r="F2601" s="9" t="s">
        <v>7158</v>
      </c>
      <c r="G2601" s="9" t="s">
        <v>7159</v>
      </c>
      <c r="H2601" s="9" t="s">
        <v>7160</v>
      </c>
      <c r="I2601" s="10">
        <v>45644</v>
      </c>
    </row>
    <row r="2602" spans="1:9" x14ac:dyDescent="0.15">
      <c r="A2602" s="9">
        <v>2601</v>
      </c>
      <c r="B2602" s="9" t="s">
        <v>9</v>
      </c>
      <c r="C2602" s="9">
        <v>1927</v>
      </c>
      <c r="D2602" s="10">
        <v>45729</v>
      </c>
      <c r="E2602" s="11" t="str">
        <f>+HYPERLINK("http://trademark.i-assist.jp/data/china/image_1927th/82623162.pdf","82623162")</f>
        <v>82623162</v>
      </c>
      <c r="F2602" s="9" t="s">
        <v>7161</v>
      </c>
      <c r="G2602" s="9" t="s">
        <v>7162</v>
      </c>
      <c r="H2602" s="9" t="s">
        <v>7163</v>
      </c>
      <c r="I2602" s="10">
        <v>45644</v>
      </c>
    </row>
    <row r="2603" spans="1:9" x14ac:dyDescent="0.15">
      <c r="A2603" s="9">
        <v>2602</v>
      </c>
      <c r="B2603" s="9" t="s">
        <v>9</v>
      </c>
      <c r="C2603" s="9">
        <v>1927</v>
      </c>
      <c r="D2603" s="10">
        <v>45729</v>
      </c>
      <c r="E2603" s="11" t="str">
        <f>+HYPERLINK("http://trademark.i-assist.jp/data/china/image_1927th/82623334.pdf","82623334")</f>
        <v>82623334</v>
      </c>
      <c r="F2603" s="9" t="s">
        <v>7164</v>
      </c>
      <c r="G2603" s="9" t="s">
        <v>7165</v>
      </c>
      <c r="H2603" s="9" t="s">
        <v>7166</v>
      </c>
      <c r="I2603" s="10">
        <v>45644</v>
      </c>
    </row>
    <row r="2604" spans="1:9" x14ac:dyDescent="0.15">
      <c r="A2604" s="9">
        <v>2603</v>
      </c>
      <c r="B2604" s="9" t="s">
        <v>9</v>
      </c>
      <c r="C2604" s="9">
        <v>1927</v>
      </c>
      <c r="D2604" s="10">
        <v>45729</v>
      </c>
      <c r="E2604" s="11" t="str">
        <f>+HYPERLINK("http://trademark.i-assist.jp/data/china/image_1927th/82623701.pdf","82623701")</f>
        <v>82623701</v>
      </c>
      <c r="F2604" s="9" t="s">
        <v>7167</v>
      </c>
      <c r="G2604" s="12" t="s">
        <v>7168</v>
      </c>
      <c r="H2604" s="9" t="s">
        <v>7169</v>
      </c>
      <c r="I2604" s="10">
        <v>45644</v>
      </c>
    </row>
    <row r="2605" spans="1:9" x14ac:dyDescent="0.15">
      <c r="A2605" s="9">
        <v>2604</v>
      </c>
      <c r="B2605" s="9" t="s">
        <v>9</v>
      </c>
      <c r="C2605" s="9">
        <v>1927</v>
      </c>
      <c r="D2605" s="10">
        <v>45729</v>
      </c>
      <c r="E2605" s="11" t="str">
        <f>+HYPERLINK("http://trademark.i-assist.jp/data/china/image_1927th/82624305.pdf","82624305")</f>
        <v>82624305</v>
      </c>
      <c r="F2605" s="9" t="s">
        <v>7170</v>
      </c>
      <c r="G2605" s="9" t="s">
        <v>144</v>
      </c>
      <c r="H2605" s="9" t="s">
        <v>7171</v>
      </c>
      <c r="I2605" s="10">
        <v>45644</v>
      </c>
    </row>
    <row r="2606" spans="1:9" x14ac:dyDescent="0.15">
      <c r="A2606" s="9">
        <v>2605</v>
      </c>
      <c r="B2606" s="9" t="s">
        <v>9</v>
      </c>
      <c r="C2606" s="9">
        <v>1927</v>
      </c>
      <c r="D2606" s="10">
        <v>45729</v>
      </c>
      <c r="E2606" s="11" t="str">
        <f>+HYPERLINK("http://trademark.i-assist.jp/data/china/image_1927th/82624442.pdf","82624442")</f>
        <v>82624442</v>
      </c>
      <c r="F2606" s="12" t="s">
        <v>7172</v>
      </c>
      <c r="G2606" s="9" t="s">
        <v>7173</v>
      </c>
      <c r="H2606" s="9" t="s">
        <v>7174</v>
      </c>
      <c r="I2606" s="10">
        <v>45644</v>
      </c>
    </row>
    <row r="2607" spans="1:9" x14ac:dyDescent="0.15">
      <c r="A2607" s="9">
        <v>2606</v>
      </c>
      <c r="B2607" s="9" t="s">
        <v>9</v>
      </c>
      <c r="C2607" s="9">
        <v>1927</v>
      </c>
      <c r="D2607" s="10">
        <v>45729</v>
      </c>
      <c r="E2607" s="11" t="str">
        <f>+HYPERLINK("http://trademark.i-assist.jp/data/china/image_1927th/82624803.pdf","82624803")</f>
        <v>82624803</v>
      </c>
      <c r="F2607" s="9" t="s">
        <v>7175</v>
      </c>
      <c r="G2607" s="9" t="s">
        <v>7176</v>
      </c>
      <c r="H2607" s="9" t="s">
        <v>7177</v>
      </c>
      <c r="I2607" s="10">
        <v>45644</v>
      </c>
    </row>
    <row r="2608" spans="1:9" x14ac:dyDescent="0.15">
      <c r="A2608" s="9">
        <v>2607</v>
      </c>
      <c r="B2608" s="9" t="s">
        <v>9</v>
      </c>
      <c r="C2608" s="9">
        <v>1927</v>
      </c>
      <c r="D2608" s="10">
        <v>45729</v>
      </c>
      <c r="E2608" s="11" t="str">
        <f>+HYPERLINK("http://trademark.i-assist.jp/data/china/image_1927th/82625509.pdf","82625509")</f>
        <v>82625509</v>
      </c>
      <c r="F2608" s="9" t="s">
        <v>7178</v>
      </c>
      <c r="G2608" s="12" t="s">
        <v>7179</v>
      </c>
      <c r="H2608" s="9" t="s">
        <v>7180</v>
      </c>
      <c r="I2608" s="10">
        <v>45644</v>
      </c>
    </row>
    <row r="2609" spans="1:9" x14ac:dyDescent="0.15">
      <c r="A2609" s="9">
        <v>2608</v>
      </c>
      <c r="B2609" s="9" t="s">
        <v>9</v>
      </c>
      <c r="C2609" s="9">
        <v>1927</v>
      </c>
      <c r="D2609" s="10">
        <v>45729</v>
      </c>
      <c r="E2609" s="11" t="str">
        <f>+HYPERLINK("http://trademark.i-assist.jp/data/china/image_1927th/82626198.pdf","82626198")</f>
        <v>82626198</v>
      </c>
      <c r="F2609" s="9" t="s">
        <v>7181</v>
      </c>
      <c r="G2609" s="9" t="s">
        <v>3373</v>
      </c>
      <c r="H2609" s="9" t="s">
        <v>7182</v>
      </c>
      <c r="I2609" s="10">
        <v>45644</v>
      </c>
    </row>
    <row r="2610" spans="1:9" x14ac:dyDescent="0.15">
      <c r="A2610" s="9">
        <v>2609</v>
      </c>
      <c r="B2610" s="9" t="s">
        <v>9</v>
      </c>
      <c r="C2610" s="9">
        <v>1927</v>
      </c>
      <c r="D2610" s="10">
        <v>45729</v>
      </c>
      <c r="E2610" s="11" t="str">
        <f>+HYPERLINK("http://trademark.i-assist.jp/data/china/image_1927th/82626479.pdf","82626479")</f>
        <v>82626479</v>
      </c>
      <c r="F2610" s="9" t="s">
        <v>7183</v>
      </c>
      <c r="G2610" s="12" t="s">
        <v>7014</v>
      </c>
      <c r="H2610" s="9" t="s">
        <v>7184</v>
      </c>
      <c r="I2610" s="10">
        <v>45644</v>
      </c>
    </row>
    <row r="2611" spans="1:9" x14ac:dyDescent="0.15">
      <c r="A2611" s="9">
        <v>2610</v>
      </c>
      <c r="B2611" s="9" t="s">
        <v>9</v>
      </c>
      <c r="C2611" s="9">
        <v>1927</v>
      </c>
      <c r="D2611" s="10">
        <v>45729</v>
      </c>
      <c r="E2611" s="11" t="str">
        <f>+HYPERLINK("http://trademark.i-assist.jp/data/china/image_1927th/82626504.pdf","82626504")</f>
        <v>82626504</v>
      </c>
      <c r="F2611" s="9" t="s">
        <v>7185</v>
      </c>
      <c r="G2611" s="9" t="s">
        <v>7186</v>
      </c>
      <c r="H2611" s="9" t="s">
        <v>7187</v>
      </c>
      <c r="I2611" s="10">
        <v>45644</v>
      </c>
    </row>
    <row r="2612" spans="1:9" x14ac:dyDescent="0.15">
      <c r="A2612" s="9">
        <v>2611</v>
      </c>
      <c r="B2612" s="9" t="s">
        <v>9</v>
      </c>
      <c r="C2612" s="9">
        <v>1927</v>
      </c>
      <c r="D2612" s="10">
        <v>45729</v>
      </c>
      <c r="E2612" s="11" t="str">
        <f>+HYPERLINK("http://trademark.i-assist.jp/data/china/image_1927th/82626534.pdf","82626534")</f>
        <v>82626534</v>
      </c>
      <c r="F2612" s="12" t="s">
        <v>7188</v>
      </c>
      <c r="G2612" s="9" t="s">
        <v>7189</v>
      </c>
      <c r="H2612" s="9" t="s">
        <v>7190</v>
      </c>
      <c r="I2612" s="10">
        <v>45644</v>
      </c>
    </row>
    <row r="2613" spans="1:9" x14ac:dyDescent="0.15">
      <c r="A2613" s="9">
        <v>2612</v>
      </c>
      <c r="B2613" s="9" t="s">
        <v>9</v>
      </c>
      <c r="C2613" s="9">
        <v>1927</v>
      </c>
      <c r="D2613" s="10">
        <v>45729</v>
      </c>
      <c r="E2613" s="11" t="str">
        <f>+HYPERLINK("http://trademark.i-assist.jp/data/china/image_1927th/82626601.pdf","82626601")</f>
        <v>82626601</v>
      </c>
      <c r="F2613" s="13" t="s">
        <v>7191</v>
      </c>
      <c r="G2613" s="9" t="s">
        <v>7192</v>
      </c>
      <c r="H2613" s="9" t="s">
        <v>7193</v>
      </c>
      <c r="I2613" s="10">
        <v>45644</v>
      </c>
    </row>
    <row r="2614" spans="1:9" x14ac:dyDescent="0.15">
      <c r="A2614" s="9">
        <v>2613</v>
      </c>
      <c r="B2614" s="9" t="s">
        <v>9</v>
      </c>
      <c r="C2614" s="9">
        <v>1927</v>
      </c>
      <c r="D2614" s="10">
        <v>45729</v>
      </c>
      <c r="E2614" s="11" t="str">
        <f>+HYPERLINK("http://trademark.i-assist.jp/data/china/image_1927th/82627394.pdf","82627394")</f>
        <v>82627394</v>
      </c>
      <c r="F2614" s="9" t="s">
        <v>7194</v>
      </c>
      <c r="G2614" s="9" t="s">
        <v>7195</v>
      </c>
      <c r="H2614" s="9" t="s">
        <v>7196</v>
      </c>
      <c r="I2614" s="10">
        <v>45644</v>
      </c>
    </row>
    <row r="2615" spans="1:9" x14ac:dyDescent="0.15">
      <c r="A2615" s="9">
        <v>2614</v>
      </c>
      <c r="B2615" s="9" t="s">
        <v>9</v>
      </c>
      <c r="C2615" s="9">
        <v>1927</v>
      </c>
      <c r="D2615" s="10">
        <v>45729</v>
      </c>
      <c r="E2615" s="11" t="str">
        <f>+HYPERLINK("http://trademark.i-assist.jp/data/china/image_1927th/82627452.pdf","82627452")</f>
        <v>82627452</v>
      </c>
      <c r="F2615" s="9" t="s">
        <v>7197</v>
      </c>
      <c r="G2615" s="12" t="s">
        <v>4770</v>
      </c>
      <c r="H2615" s="9" t="s">
        <v>7198</v>
      </c>
      <c r="I2615" s="10">
        <v>45644</v>
      </c>
    </row>
    <row r="2616" spans="1:9" x14ac:dyDescent="0.15">
      <c r="A2616" s="9">
        <v>2615</v>
      </c>
      <c r="B2616" s="9" t="s">
        <v>9</v>
      </c>
      <c r="C2616" s="9">
        <v>1927</v>
      </c>
      <c r="D2616" s="10">
        <v>45729</v>
      </c>
      <c r="E2616" s="11" t="str">
        <f>+HYPERLINK("http://trademark.i-assist.jp/data/china/image_1927th/82627591.pdf","82627591")</f>
        <v>82627591</v>
      </c>
      <c r="F2616" s="9" t="s">
        <v>7199</v>
      </c>
      <c r="G2616" s="12" t="s">
        <v>7200</v>
      </c>
      <c r="H2616" s="9" t="s">
        <v>7201</v>
      </c>
      <c r="I2616" s="10">
        <v>45644</v>
      </c>
    </row>
    <row r="2617" spans="1:9" x14ac:dyDescent="0.15">
      <c r="A2617" s="9">
        <v>2616</v>
      </c>
      <c r="B2617" s="9" t="s">
        <v>9</v>
      </c>
      <c r="C2617" s="9">
        <v>1927</v>
      </c>
      <c r="D2617" s="10">
        <v>45729</v>
      </c>
      <c r="E2617" s="11" t="str">
        <f>+HYPERLINK("http://trademark.i-assist.jp/data/china/image_1927th/82627617.pdf","82627617")</f>
        <v>82627617</v>
      </c>
      <c r="F2617" s="9" t="s">
        <v>7202</v>
      </c>
      <c r="G2617" s="12" t="s">
        <v>7203</v>
      </c>
      <c r="H2617" s="9" t="s">
        <v>7204</v>
      </c>
      <c r="I2617" s="10">
        <v>45644</v>
      </c>
    </row>
    <row r="2618" spans="1:9" x14ac:dyDescent="0.15">
      <c r="A2618" s="9">
        <v>2617</v>
      </c>
      <c r="B2618" s="9" t="s">
        <v>9</v>
      </c>
      <c r="C2618" s="9">
        <v>1927</v>
      </c>
      <c r="D2618" s="10">
        <v>45729</v>
      </c>
      <c r="E2618" s="11" t="str">
        <f>+HYPERLINK("http://trademark.i-assist.jp/data/china/image_1927th/82627699.pdf","82627699")</f>
        <v>82627699</v>
      </c>
      <c r="F2618" s="9" t="s">
        <v>7205</v>
      </c>
      <c r="G2618" s="9" t="s">
        <v>7206</v>
      </c>
      <c r="H2618" s="9" t="s">
        <v>7207</v>
      </c>
      <c r="I2618" s="10">
        <v>45644</v>
      </c>
    </row>
    <row r="2619" spans="1:9" x14ac:dyDescent="0.15">
      <c r="A2619" s="9">
        <v>2618</v>
      </c>
      <c r="B2619" s="9" t="s">
        <v>9</v>
      </c>
      <c r="C2619" s="9">
        <v>1927</v>
      </c>
      <c r="D2619" s="10">
        <v>45729</v>
      </c>
      <c r="E2619" s="11" t="str">
        <f>+HYPERLINK("http://trademark.i-assist.jp/data/china/image_1927th/82627811.pdf","82627811")</f>
        <v>82627811</v>
      </c>
      <c r="F2619" s="9" t="s">
        <v>7208</v>
      </c>
      <c r="G2619" s="12" t="s">
        <v>7209</v>
      </c>
      <c r="H2619" s="9" t="s">
        <v>7210</v>
      </c>
      <c r="I2619" s="10">
        <v>45644</v>
      </c>
    </row>
    <row r="2620" spans="1:9" x14ac:dyDescent="0.15">
      <c r="A2620" s="9">
        <v>2619</v>
      </c>
      <c r="B2620" s="9" t="s">
        <v>9</v>
      </c>
      <c r="C2620" s="9">
        <v>1927</v>
      </c>
      <c r="D2620" s="10">
        <v>45729</v>
      </c>
      <c r="E2620" s="11" t="str">
        <f>+HYPERLINK("http://trademark.i-assist.jp/data/china/image_1927th/82627859.pdf","82627859")</f>
        <v>82627859</v>
      </c>
      <c r="F2620" s="9" t="s">
        <v>7211</v>
      </c>
      <c r="G2620" s="9" t="s">
        <v>7212</v>
      </c>
      <c r="H2620" s="12" t="s">
        <v>7213</v>
      </c>
      <c r="I2620" s="10">
        <v>45644</v>
      </c>
    </row>
    <row r="2621" spans="1:9" x14ac:dyDescent="0.15">
      <c r="A2621" s="9">
        <v>2620</v>
      </c>
      <c r="B2621" s="9" t="s">
        <v>9</v>
      </c>
      <c r="C2621" s="9">
        <v>1927</v>
      </c>
      <c r="D2621" s="10">
        <v>45729</v>
      </c>
      <c r="E2621" s="11" t="str">
        <f>+HYPERLINK("http://trademark.i-assist.jp/data/china/image_1927th/82627917.pdf","82627917")</f>
        <v>82627917</v>
      </c>
      <c r="F2621" s="9" t="s">
        <v>7214</v>
      </c>
      <c r="G2621" s="9" t="s">
        <v>7215</v>
      </c>
      <c r="H2621" s="9" t="s">
        <v>7216</v>
      </c>
      <c r="I2621" s="10">
        <v>45644</v>
      </c>
    </row>
    <row r="2622" spans="1:9" x14ac:dyDescent="0.15">
      <c r="A2622" s="9">
        <v>2621</v>
      </c>
      <c r="B2622" s="9" t="s">
        <v>9</v>
      </c>
      <c r="C2622" s="9">
        <v>1927</v>
      </c>
      <c r="D2622" s="10">
        <v>45729</v>
      </c>
      <c r="E2622" s="11" t="str">
        <f>+HYPERLINK("http://trademark.i-assist.jp/data/china/image_1927th/82628418.pdf","82628418")</f>
        <v>82628418</v>
      </c>
      <c r="F2622" s="9" t="s">
        <v>7217</v>
      </c>
      <c r="G2622" s="9" t="s">
        <v>7218</v>
      </c>
      <c r="H2622" s="9" t="s">
        <v>7219</v>
      </c>
      <c r="I2622" s="10">
        <v>45644</v>
      </c>
    </row>
    <row r="2623" spans="1:9" x14ac:dyDescent="0.15">
      <c r="A2623" s="9">
        <v>2622</v>
      </c>
      <c r="B2623" s="9" t="s">
        <v>9</v>
      </c>
      <c r="C2623" s="9">
        <v>1927</v>
      </c>
      <c r="D2623" s="10">
        <v>45729</v>
      </c>
      <c r="E2623" s="11" t="str">
        <f>+HYPERLINK("http://trademark.i-assist.jp/data/china/image_1927th/82628435.pdf","82628435")</f>
        <v>82628435</v>
      </c>
      <c r="F2623" s="12" t="s">
        <v>7220</v>
      </c>
      <c r="G2623" s="9" t="s">
        <v>7221</v>
      </c>
      <c r="H2623" s="9" t="s">
        <v>7222</v>
      </c>
      <c r="I2623" s="10">
        <v>45644</v>
      </c>
    </row>
    <row r="2624" spans="1:9" x14ac:dyDescent="0.15">
      <c r="A2624" s="9">
        <v>2623</v>
      </c>
      <c r="B2624" s="9" t="s">
        <v>9</v>
      </c>
      <c r="C2624" s="9">
        <v>1927</v>
      </c>
      <c r="D2624" s="10">
        <v>45729</v>
      </c>
      <c r="E2624" s="11" t="str">
        <f>+HYPERLINK("http://trademark.i-assist.jp/data/china/image_1927th/82628511.pdf","82628511")</f>
        <v>82628511</v>
      </c>
      <c r="F2624" s="12" t="s">
        <v>16</v>
      </c>
      <c r="G2624" s="9" t="s">
        <v>7223</v>
      </c>
      <c r="H2624" s="9" t="s">
        <v>7224</v>
      </c>
      <c r="I2624" s="10">
        <v>45644</v>
      </c>
    </row>
    <row r="2625" spans="1:9" x14ac:dyDescent="0.15">
      <c r="A2625" s="9">
        <v>2624</v>
      </c>
      <c r="B2625" s="9" t="s">
        <v>9</v>
      </c>
      <c r="C2625" s="9">
        <v>1927</v>
      </c>
      <c r="D2625" s="10">
        <v>45729</v>
      </c>
      <c r="E2625" s="11" t="str">
        <f>+HYPERLINK("http://trademark.i-assist.jp/data/china/image_1927th/82628573.pdf","82628573")</f>
        <v>82628573</v>
      </c>
      <c r="F2625" s="9" t="s">
        <v>7225</v>
      </c>
      <c r="G2625" s="12" t="s">
        <v>7226</v>
      </c>
      <c r="H2625" s="9" t="s">
        <v>7227</v>
      </c>
      <c r="I2625" s="10">
        <v>45644</v>
      </c>
    </row>
    <row r="2626" spans="1:9" x14ac:dyDescent="0.15">
      <c r="A2626" s="9">
        <v>2625</v>
      </c>
      <c r="B2626" s="9" t="s">
        <v>9</v>
      </c>
      <c r="C2626" s="9">
        <v>1927</v>
      </c>
      <c r="D2626" s="10">
        <v>45729</v>
      </c>
      <c r="E2626" s="11" t="str">
        <f>+HYPERLINK("http://trademark.i-assist.jp/data/china/image_1927th/82628804.pdf","82628804")</f>
        <v>82628804</v>
      </c>
      <c r="F2626" s="12" t="s">
        <v>7228</v>
      </c>
      <c r="G2626" s="12" t="s">
        <v>7229</v>
      </c>
      <c r="H2626" s="9" t="s">
        <v>7230</v>
      </c>
      <c r="I2626" s="10">
        <v>45644</v>
      </c>
    </row>
    <row r="2627" spans="1:9" x14ac:dyDescent="0.15">
      <c r="A2627" s="9">
        <v>2626</v>
      </c>
      <c r="B2627" s="9" t="s">
        <v>9</v>
      </c>
      <c r="C2627" s="9">
        <v>1927</v>
      </c>
      <c r="D2627" s="10">
        <v>45729</v>
      </c>
      <c r="E2627" s="11" t="str">
        <f>+HYPERLINK("http://trademark.i-assist.jp/data/china/image_1927th/82628944.pdf","82628944")</f>
        <v>82628944</v>
      </c>
      <c r="F2627" s="9" t="s">
        <v>7231</v>
      </c>
      <c r="G2627" s="9" t="s">
        <v>7232</v>
      </c>
      <c r="H2627" s="9" t="s">
        <v>7233</v>
      </c>
      <c r="I2627" s="10">
        <v>45644</v>
      </c>
    </row>
    <row r="2628" spans="1:9" x14ac:dyDescent="0.15">
      <c r="A2628" s="9">
        <v>2627</v>
      </c>
      <c r="B2628" s="9" t="s">
        <v>9</v>
      </c>
      <c r="C2628" s="9">
        <v>1927</v>
      </c>
      <c r="D2628" s="10">
        <v>45729</v>
      </c>
      <c r="E2628" s="11" t="str">
        <f>+HYPERLINK("http://trademark.i-assist.jp/data/china/image_1927th/82628971.pdf","82628971")</f>
        <v>82628971</v>
      </c>
      <c r="F2628" s="9" t="s">
        <v>7234</v>
      </c>
      <c r="G2628" s="12" t="s">
        <v>7105</v>
      </c>
      <c r="H2628" s="9" t="s">
        <v>7235</v>
      </c>
      <c r="I2628" s="10">
        <v>45644</v>
      </c>
    </row>
    <row r="2629" spans="1:9" x14ac:dyDescent="0.15">
      <c r="A2629" s="9">
        <v>2628</v>
      </c>
      <c r="B2629" s="9" t="s">
        <v>9</v>
      </c>
      <c r="C2629" s="9">
        <v>1927</v>
      </c>
      <c r="D2629" s="10">
        <v>45729</v>
      </c>
      <c r="E2629" s="11" t="str">
        <f>+HYPERLINK("http://trademark.i-assist.jp/data/china/image_1927th/82629358.pdf","82629358")</f>
        <v>82629358</v>
      </c>
      <c r="F2629" s="9" t="s">
        <v>7236</v>
      </c>
      <c r="G2629" s="9" t="s">
        <v>7237</v>
      </c>
      <c r="H2629" s="9" t="s">
        <v>7238</v>
      </c>
      <c r="I2629" s="10">
        <v>45644</v>
      </c>
    </row>
    <row r="2630" spans="1:9" x14ac:dyDescent="0.15">
      <c r="A2630" s="9">
        <v>2629</v>
      </c>
      <c r="B2630" s="9" t="s">
        <v>9</v>
      </c>
      <c r="C2630" s="9">
        <v>1927</v>
      </c>
      <c r="D2630" s="10">
        <v>45729</v>
      </c>
      <c r="E2630" s="11" t="str">
        <f>+HYPERLINK("http://trademark.i-assist.jp/data/china/image_1927th/82629366.pdf","82629366")</f>
        <v>82629366</v>
      </c>
      <c r="F2630" s="9" t="s">
        <v>7239</v>
      </c>
      <c r="G2630" s="9" t="s">
        <v>7240</v>
      </c>
      <c r="H2630" s="9" t="s">
        <v>7241</v>
      </c>
      <c r="I2630" s="10">
        <v>45644</v>
      </c>
    </row>
    <row r="2631" spans="1:9" x14ac:dyDescent="0.15">
      <c r="A2631" s="9">
        <v>2630</v>
      </c>
      <c r="B2631" s="9" t="s">
        <v>9</v>
      </c>
      <c r="C2631" s="9">
        <v>1927</v>
      </c>
      <c r="D2631" s="10">
        <v>45729</v>
      </c>
      <c r="E2631" s="11" t="str">
        <f>+HYPERLINK("http://trademark.i-assist.jp/data/china/image_1927th/82629604.pdf","82629604")</f>
        <v>82629604</v>
      </c>
      <c r="F2631" s="12" t="s">
        <v>7242</v>
      </c>
      <c r="G2631" s="12" t="s">
        <v>7243</v>
      </c>
      <c r="H2631" s="9" t="s">
        <v>7244</v>
      </c>
      <c r="I2631" s="10">
        <v>45644</v>
      </c>
    </row>
    <row r="2632" spans="1:9" x14ac:dyDescent="0.15">
      <c r="A2632" s="9">
        <v>2631</v>
      </c>
      <c r="B2632" s="9" t="s">
        <v>9</v>
      </c>
      <c r="C2632" s="9">
        <v>1927</v>
      </c>
      <c r="D2632" s="10">
        <v>45729</v>
      </c>
      <c r="E2632" s="11" t="str">
        <f>+HYPERLINK("http://trademark.i-assist.jp/data/china/image_1927th/82629628.pdf","82629628")</f>
        <v>82629628</v>
      </c>
      <c r="F2632" s="12" t="s">
        <v>7245</v>
      </c>
      <c r="G2632" s="9" t="s">
        <v>7246</v>
      </c>
      <c r="H2632" s="9" t="s">
        <v>7247</v>
      </c>
      <c r="I2632" s="10">
        <v>45644</v>
      </c>
    </row>
    <row r="2633" spans="1:9" x14ac:dyDescent="0.15">
      <c r="A2633" s="9">
        <v>2632</v>
      </c>
      <c r="B2633" s="9" t="s">
        <v>9</v>
      </c>
      <c r="C2633" s="9">
        <v>1927</v>
      </c>
      <c r="D2633" s="10">
        <v>45729</v>
      </c>
      <c r="E2633" s="11" t="str">
        <f>+HYPERLINK("http://trademark.i-assist.jp/data/china/image_1927th/82630016.pdf","82630016")</f>
        <v>82630016</v>
      </c>
      <c r="F2633" s="12" t="s">
        <v>7248</v>
      </c>
      <c r="G2633" s="9" t="s">
        <v>105</v>
      </c>
      <c r="H2633" s="9" t="s">
        <v>7249</v>
      </c>
      <c r="I2633" s="10">
        <v>45644</v>
      </c>
    </row>
    <row r="2634" spans="1:9" x14ac:dyDescent="0.15">
      <c r="A2634" s="9">
        <v>2633</v>
      </c>
      <c r="B2634" s="9" t="s">
        <v>9</v>
      </c>
      <c r="C2634" s="9">
        <v>1927</v>
      </c>
      <c r="D2634" s="10">
        <v>45729</v>
      </c>
      <c r="E2634" s="11" t="str">
        <f>+HYPERLINK("http://trademark.i-assist.jp/data/china/image_1927th/82630191.pdf","82630191")</f>
        <v>82630191</v>
      </c>
      <c r="F2634" s="9" t="s">
        <v>7250</v>
      </c>
      <c r="G2634" s="12" t="s">
        <v>7168</v>
      </c>
      <c r="H2634" s="9" t="s">
        <v>7251</v>
      </c>
      <c r="I2634" s="10">
        <v>45644</v>
      </c>
    </row>
    <row r="2635" spans="1:9" x14ac:dyDescent="0.15">
      <c r="A2635" s="9">
        <v>2634</v>
      </c>
      <c r="B2635" s="9" t="s">
        <v>9</v>
      </c>
      <c r="C2635" s="9">
        <v>1927</v>
      </c>
      <c r="D2635" s="10">
        <v>45729</v>
      </c>
      <c r="E2635" s="11" t="str">
        <f>+HYPERLINK("http://trademark.i-assist.jp/data/china/image_1927th/82630202.pdf","82630202")</f>
        <v>82630202</v>
      </c>
      <c r="F2635" s="9" t="s">
        <v>7252</v>
      </c>
      <c r="G2635" s="9" t="s">
        <v>7047</v>
      </c>
      <c r="H2635" s="9" t="s">
        <v>7253</v>
      </c>
      <c r="I2635" s="10">
        <v>45644</v>
      </c>
    </row>
    <row r="2636" spans="1:9" x14ac:dyDescent="0.15">
      <c r="A2636" s="9">
        <v>2635</v>
      </c>
      <c r="B2636" s="9" t="s">
        <v>9</v>
      </c>
      <c r="C2636" s="9">
        <v>1927</v>
      </c>
      <c r="D2636" s="10">
        <v>45729</v>
      </c>
      <c r="E2636" s="11" t="str">
        <f>+HYPERLINK("http://trademark.i-assist.jp/data/china/image_1927th/82630277.pdf","82630277")</f>
        <v>82630277</v>
      </c>
      <c r="F2636" s="9" t="s">
        <v>7254</v>
      </c>
      <c r="G2636" s="9" t="s">
        <v>7255</v>
      </c>
      <c r="H2636" s="9" t="s">
        <v>7256</v>
      </c>
      <c r="I2636" s="10">
        <v>45644</v>
      </c>
    </row>
    <row r="2637" spans="1:9" x14ac:dyDescent="0.15">
      <c r="A2637" s="9">
        <v>2636</v>
      </c>
      <c r="B2637" s="9" t="s">
        <v>9</v>
      </c>
      <c r="C2637" s="9">
        <v>1927</v>
      </c>
      <c r="D2637" s="10">
        <v>45729</v>
      </c>
      <c r="E2637" s="11" t="str">
        <f>+HYPERLINK("http://trademark.i-assist.jp/data/china/image_1927th/82630301.pdf","82630301")</f>
        <v>82630301</v>
      </c>
      <c r="F2637" s="9" t="s">
        <v>7257</v>
      </c>
      <c r="G2637" s="9" t="s">
        <v>7258</v>
      </c>
      <c r="H2637" s="12" t="s">
        <v>7259</v>
      </c>
      <c r="I2637" s="10">
        <v>45644</v>
      </c>
    </row>
    <row r="2638" spans="1:9" x14ac:dyDescent="0.15">
      <c r="A2638" s="9">
        <v>2637</v>
      </c>
      <c r="B2638" s="9" t="s">
        <v>9</v>
      </c>
      <c r="C2638" s="9">
        <v>1927</v>
      </c>
      <c r="D2638" s="10">
        <v>45729</v>
      </c>
      <c r="E2638" s="11" t="str">
        <f>+HYPERLINK("http://trademark.i-assist.jp/data/china/image_1927th/82630411.pdf","82630411")</f>
        <v>82630411</v>
      </c>
      <c r="F2638" s="9" t="s">
        <v>7260</v>
      </c>
      <c r="G2638" s="9" t="s">
        <v>7261</v>
      </c>
      <c r="H2638" s="9" t="s">
        <v>7262</v>
      </c>
      <c r="I2638" s="10">
        <v>45644</v>
      </c>
    </row>
    <row r="2639" spans="1:9" x14ac:dyDescent="0.15">
      <c r="A2639" s="9">
        <v>2638</v>
      </c>
      <c r="B2639" s="9" t="s">
        <v>9</v>
      </c>
      <c r="C2639" s="9">
        <v>1927</v>
      </c>
      <c r="D2639" s="10">
        <v>45729</v>
      </c>
      <c r="E2639" s="11" t="str">
        <f>+HYPERLINK("http://trademark.i-assist.jp/data/china/image_1927th/82630547.pdf","82630547")</f>
        <v>82630547</v>
      </c>
      <c r="F2639" s="9" t="s">
        <v>6974</v>
      </c>
      <c r="G2639" s="9" t="s">
        <v>6975</v>
      </c>
      <c r="H2639" s="12" t="s">
        <v>7263</v>
      </c>
      <c r="I2639" s="10">
        <v>45644</v>
      </c>
    </row>
    <row r="2640" spans="1:9" x14ac:dyDescent="0.15">
      <c r="A2640" s="9">
        <v>2639</v>
      </c>
      <c r="B2640" s="9" t="s">
        <v>9</v>
      </c>
      <c r="C2640" s="9">
        <v>1927</v>
      </c>
      <c r="D2640" s="10">
        <v>45729</v>
      </c>
      <c r="E2640" s="11" t="str">
        <f>+HYPERLINK("http://trademark.i-assist.jp/data/china/image_1927th/82630727.pdf","82630727")</f>
        <v>82630727</v>
      </c>
      <c r="F2640" s="9" t="s">
        <v>7264</v>
      </c>
      <c r="G2640" s="9" t="s">
        <v>7008</v>
      </c>
      <c r="H2640" s="9" t="s">
        <v>7265</v>
      </c>
      <c r="I2640" s="10">
        <v>45644</v>
      </c>
    </row>
    <row r="2641" spans="1:9" x14ac:dyDescent="0.15">
      <c r="A2641" s="9">
        <v>2640</v>
      </c>
      <c r="B2641" s="9" t="s">
        <v>9</v>
      </c>
      <c r="C2641" s="9">
        <v>1927</v>
      </c>
      <c r="D2641" s="10">
        <v>45729</v>
      </c>
      <c r="E2641" s="11" t="str">
        <f>+HYPERLINK("http://trademark.i-assist.jp/data/china/image_1927th/82630738.pdf","82630738")</f>
        <v>82630738</v>
      </c>
      <c r="F2641" s="9" t="s">
        <v>7266</v>
      </c>
      <c r="G2641" s="9" t="s">
        <v>66</v>
      </c>
      <c r="H2641" s="9" t="s">
        <v>7267</v>
      </c>
      <c r="I2641" s="10">
        <v>45644</v>
      </c>
    </row>
    <row r="2642" spans="1:9" x14ac:dyDescent="0.15">
      <c r="A2642" s="9">
        <v>2641</v>
      </c>
      <c r="B2642" s="9" t="s">
        <v>9</v>
      </c>
      <c r="C2642" s="9">
        <v>1927</v>
      </c>
      <c r="D2642" s="10">
        <v>45729</v>
      </c>
      <c r="E2642" s="11" t="str">
        <f>+HYPERLINK("http://trademark.i-assist.jp/data/china/image_1927th/82631067.pdf","82631067")</f>
        <v>82631067</v>
      </c>
      <c r="F2642" s="9" t="s">
        <v>7268</v>
      </c>
      <c r="G2642" s="9" t="s">
        <v>7269</v>
      </c>
      <c r="H2642" s="12" t="s">
        <v>7270</v>
      </c>
      <c r="I2642" s="10">
        <v>45644</v>
      </c>
    </row>
    <row r="2643" spans="1:9" x14ac:dyDescent="0.15">
      <c r="A2643" s="9">
        <v>2642</v>
      </c>
      <c r="B2643" s="9" t="s">
        <v>9</v>
      </c>
      <c r="C2643" s="9">
        <v>1927</v>
      </c>
      <c r="D2643" s="10">
        <v>45729</v>
      </c>
      <c r="E2643" s="11" t="str">
        <f>+HYPERLINK("http://trademark.i-assist.jp/data/china/image_1927th/82631245.pdf","82631245")</f>
        <v>82631245</v>
      </c>
      <c r="F2643" s="9" t="s">
        <v>7271</v>
      </c>
      <c r="G2643" s="9" t="s">
        <v>7272</v>
      </c>
      <c r="H2643" s="9" t="s">
        <v>7273</v>
      </c>
      <c r="I2643" s="10">
        <v>45644</v>
      </c>
    </row>
    <row r="2644" spans="1:9" x14ac:dyDescent="0.15">
      <c r="A2644" s="9">
        <v>2643</v>
      </c>
      <c r="B2644" s="9" t="s">
        <v>9</v>
      </c>
      <c r="C2644" s="9">
        <v>1927</v>
      </c>
      <c r="D2644" s="10">
        <v>45729</v>
      </c>
      <c r="E2644" s="11" t="str">
        <f>+HYPERLINK("http://trademark.i-assist.jp/data/china/image_1927th/82631345.pdf","82631345")</f>
        <v>82631345</v>
      </c>
      <c r="F2644" s="12" t="s">
        <v>16</v>
      </c>
      <c r="G2644" s="9" t="s">
        <v>7274</v>
      </c>
      <c r="H2644" s="9" t="s">
        <v>7275</v>
      </c>
      <c r="I2644" s="10">
        <v>45644</v>
      </c>
    </row>
    <row r="2645" spans="1:9" x14ac:dyDescent="0.15">
      <c r="A2645" s="9">
        <v>2644</v>
      </c>
      <c r="B2645" s="9" t="s">
        <v>9</v>
      </c>
      <c r="C2645" s="9">
        <v>1927</v>
      </c>
      <c r="D2645" s="10">
        <v>45729</v>
      </c>
      <c r="E2645" s="11" t="str">
        <f>+HYPERLINK("http://trademark.i-assist.jp/data/china/image_1927th/82631538.pdf","82631538")</f>
        <v>82631538</v>
      </c>
      <c r="F2645" s="12" t="s">
        <v>16</v>
      </c>
      <c r="G2645" s="9" t="s">
        <v>7276</v>
      </c>
      <c r="H2645" s="12" t="s">
        <v>7277</v>
      </c>
      <c r="I2645" s="10">
        <v>45644</v>
      </c>
    </row>
    <row r="2646" spans="1:9" x14ac:dyDescent="0.15">
      <c r="A2646" s="9">
        <v>2645</v>
      </c>
      <c r="B2646" s="9" t="s">
        <v>9</v>
      </c>
      <c r="C2646" s="9">
        <v>1927</v>
      </c>
      <c r="D2646" s="10">
        <v>45729</v>
      </c>
      <c r="E2646" s="11" t="str">
        <f>+HYPERLINK("http://trademark.i-assist.jp/data/china/image_1927th/82631551.pdf","82631551")</f>
        <v>82631551</v>
      </c>
      <c r="F2646" s="12" t="s">
        <v>16</v>
      </c>
      <c r="G2646" s="9" t="s">
        <v>7278</v>
      </c>
      <c r="H2646" s="9" t="s">
        <v>7279</v>
      </c>
      <c r="I2646" s="10">
        <v>45644</v>
      </c>
    </row>
    <row r="2647" spans="1:9" x14ac:dyDescent="0.15">
      <c r="A2647" s="9">
        <v>2646</v>
      </c>
      <c r="B2647" s="9" t="s">
        <v>9</v>
      </c>
      <c r="C2647" s="9">
        <v>1927</v>
      </c>
      <c r="D2647" s="10">
        <v>45729</v>
      </c>
      <c r="E2647" s="11" t="str">
        <f>+HYPERLINK("http://trademark.i-assist.jp/data/china/image_1927th/82631632.pdf","82631632")</f>
        <v>82631632</v>
      </c>
      <c r="F2647" s="9" t="s">
        <v>7280</v>
      </c>
      <c r="G2647" s="9" t="s">
        <v>6969</v>
      </c>
      <c r="H2647" s="9" t="s">
        <v>7281</v>
      </c>
      <c r="I2647" s="10">
        <v>45644</v>
      </c>
    </row>
    <row r="2648" spans="1:9" x14ac:dyDescent="0.15">
      <c r="A2648" s="9">
        <v>2647</v>
      </c>
      <c r="B2648" s="9" t="s">
        <v>9</v>
      </c>
      <c r="C2648" s="9">
        <v>1927</v>
      </c>
      <c r="D2648" s="10">
        <v>45729</v>
      </c>
      <c r="E2648" s="11" t="str">
        <f>+HYPERLINK("http://trademark.i-assist.jp/data/china/image_1927th/82631700.pdf","82631700")</f>
        <v>82631700</v>
      </c>
      <c r="F2648" s="9" t="s">
        <v>7282</v>
      </c>
      <c r="G2648" s="9" t="s">
        <v>7070</v>
      </c>
      <c r="H2648" s="9" t="s">
        <v>7283</v>
      </c>
      <c r="I2648" s="10">
        <v>45644</v>
      </c>
    </row>
    <row r="2649" spans="1:9" x14ac:dyDescent="0.15">
      <c r="A2649" s="9">
        <v>2648</v>
      </c>
      <c r="B2649" s="9" t="s">
        <v>9</v>
      </c>
      <c r="C2649" s="9">
        <v>1927</v>
      </c>
      <c r="D2649" s="10">
        <v>45729</v>
      </c>
      <c r="E2649" s="11" t="str">
        <f>+HYPERLINK("http://trademark.i-assist.jp/data/china/image_1927th/82632105.pdf","82632105")</f>
        <v>82632105</v>
      </c>
      <c r="F2649" s="9" t="s">
        <v>7284</v>
      </c>
      <c r="G2649" s="9" t="s">
        <v>7258</v>
      </c>
      <c r="H2649" s="9" t="s">
        <v>7285</v>
      </c>
      <c r="I2649" s="10">
        <v>45644</v>
      </c>
    </row>
    <row r="2650" spans="1:9" x14ac:dyDescent="0.15">
      <c r="A2650" s="9">
        <v>2649</v>
      </c>
      <c r="B2650" s="9" t="s">
        <v>9</v>
      </c>
      <c r="C2650" s="9">
        <v>1927</v>
      </c>
      <c r="D2650" s="10">
        <v>45729</v>
      </c>
      <c r="E2650" s="11" t="str">
        <f>+HYPERLINK("http://trademark.i-assist.jp/data/china/image_1927th/82632329.pdf","82632329")</f>
        <v>82632329</v>
      </c>
      <c r="F2650" s="12" t="s">
        <v>7286</v>
      </c>
      <c r="G2650" s="9" t="s">
        <v>7287</v>
      </c>
      <c r="H2650" s="9" t="s">
        <v>7288</v>
      </c>
      <c r="I2650" s="10">
        <v>45644</v>
      </c>
    </row>
    <row r="2651" spans="1:9" x14ac:dyDescent="0.15">
      <c r="A2651" s="9">
        <v>2650</v>
      </c>
      <c r="B2651" s="9" t="s">
        <v>9</v>
      </c>
      <c r="C2651" s="9">
        <v>1927</v>
      </c>
      <c r="D2651" s="10">
        <v>45729</v>
      </c>
      <c r="E2651" s="11" t="str">
        <f>+HYPERLINK("http://trademark.i-assist.jp/data/china/image_1927th/82632722.pdf","82632722")</f>
        <v>82632722</v>
      </c>
      <c r="F2651" s="9" t="s">
        <v>7289</v>
      </c>
      <c r="G2651" s="9" t="s">
        <v>7261</v>
      </c>
      <c r="H2651" s="9" t="s">
        <v>7290</v>
      </c>
      <c r="I2651" s="10">
        <v>45644</v>
      </c>
    </row>
    <row r="2652" spans="1:9" x14ac:dyDescent="0.15">
      <c r="A2652" s="9">
        <v>2651</v>
      </c>
      <c r="B2652" s="9" t="s">
        <v>9</v>
      </c>
      <c r="C2652" s="9">
        <v>1927</v>
      </c>
      <c r="D2652" s="10">
        <v>45729</v>
      </c>
      <c r="E2652" s="11" t="str">
        <f>+HYPERLINK("http://trademark.i-assist.jp/data/china/image_1927th/82632773.pdf","82632773")</f>
        <v>82632773</v>
      </c>
      <c r="F2652" s="9" t="s">
        <v>7291</v>
      </c>
      <c r="G2652" s="9" t="s">
        <v>7292</v>
      </c>
      <c r="H2652" s="9" t="s">
        <v>7293</v>
      </c>
      <c r="I2652" s="10">
        <v>45644</v>
      </c>
    </row>
    <row r="2653" spans="1:9" x14ac:dyDescent="0.15">
      <c r="A2653" s="9">
        <v>2652</v>
      </c>
      <c r="B2653" s="9" t="s">
        <v>9</v>
      </c>
      <c r="C2653" s="9">
        <v>1927</v>
      </c>
      <c r="D2653" s="10">
        <v>45729</v>
      </c>
      <c r="E2653" s="11" t="str">
        <f>+HYPERLINK("http://trademark.i-assist.jp/data/china/image_1927th/82632903.pdf","82632903")</f>
        <v>82632903</v>
      </c>
      <c r="F2653" s="9" t="s">
        <v>7294</v>
      </c>
      <c r="G2653" s="9" t="s">
        <v>7295</v>
      </c>
      <c r="H2653" s="9" t="s">
        <v>7296</v>
      </c>
      <c r="I2653" s="10">
        <v>45644</v>
      </c>
    </row>
    <row r="2654" spans="1:9" x14ac:dyDescent="0.15">
      <c r="A2654" s="9">
        <v>2653</v>
      </c>
      <c r="B2654" s="9" t="s">
        <v>9</v>
      </c>
      <c r="C2654" s="9">
        <v>1927</v>
      </c>
      <c r="D2654" s="10">
        <v>45729</v>
      </c>
      <c r="E2654" s="11" t="str">
        <f>+HYPERLINK("http://trademark.i-assist.jp/data/china/image_1927th/82633376.pdf","82633376")</f>
        <v>82633376</v>
      </c>
      <c r="F2654" s="9" t="s">
        <v>7297</v>
      </c>
      <c r="G2654" s="9" t="s">
        <v>7298</v>
      </c>
      <c r="H2654" s="9" t="s">
        <v>7299</v>
      </c>
      <c r="I2654" s="10">
        <v>45644</v>
      </c>
    </row>
    <row r="2655" spans="1:9" x14ac:dyDescent="0.15">
      <c r="A2655" s="9">
        <v>2654</v>
      </c>
      <c r="B2655" s="9" t="s">
        <v>9</v>
      </c>
      <c r="C2655" s="9">
        <v>1927</v>
      </c>
      <c r="D2655" s="10">
        <v>45729</v>
      </c>
      <c r="E2655" s="11" t="str">
        <f>+HYPERLINK("http://trademark.i-assist.jp/data/china/image_1927th/82633806.pdf","82633806")</f>
        <v>82633806</v>
      </c>
      <c r="F2655" s="9" t="s">
        <v>7300</v>
      </c>
      <c r="G2655" s="9" t="s">
        <v>6969</v>
      </c>
      <c r="H2655" s="9" t="s">
        <v>7301</v>
      </c>
      <c r="I2655" s="10">
        <v>45644</v>
      </c>
    </row>
    <row r="2656" spans="1:9" x14ac:dyDescent="0.15">
      <c r="A2656" s="9">
        <v>2655</v>
      </c>
      <c r="B2656" s="9" t="s">
        <v>9</v>
      </c>
      <c r="C2656" s="9">
        <v>1927</v>
      </c>
      <c r="D2656" s="10">
        <v>45729</v>
      </c>
      <c r="E2656" s="11" t="str">
        <f>+HYPERLINK("http://trademark.i-assist.jp/data/china/image_1927th/82633828.pdf","82633828")</f>
        <v>82633828</v>
      </c>
      <c r="F2656" s="9" t="s">
        <v>7302</v>
      </c>
      <c r="G2656" s="9" t="s">
        <v>7303</v>
      </c>
      <c r="H2656" s="9" t="s">
        <v>7304</v>
      </c>
      <c r="I2656" s="10">
        <v>45644</v>
      </c>
    </row>
    <row r="2657" spans="1:9" x14ac:dyDescent="0.15">
      <c r="A2657" s="9">
        <v>2656</v>
      </c>
      <c r="B2657" s="9" t="s">
        <v>9</v>
      </c>
      <c r="C2657" s="9">
        <v>1927</v>
      </c>
      <c r="D2657" s="10">
        <v>45729</v>
      </c>
      <c r="E2657" s="11" t="str">
        <f>+HYPERLINK("http://trademark.i-assist.jp/data/china/image_1927th/82633948.pdf","82633948")</f>
        <v>82633948</v>
      </c>
      <c r="F2657" s="9" t="s">
        <v>7305</v>
      </c>
      <c r="G2657" s="9" t="s">
        <v>162</v>
      </c>
      <c r="H2657" s="9" t="s">
        <v>7306</v>
      </c>
      <c r="I2657" s="10">
        <v>45644</v>
      </c>
    </row>
    <row r="2658" spans="1:9" x14ac:dyDescent="0.15">
      <c r="A2658" s="9">
        <v>2657</v>
      </c>
      <c r="B2658" s="9" t="s">
        <v>9</v>
      </c>
      <c r="C2658" s="9">
        <v>1927</v>
      </c>
      <c r="D2658" s="10">
        <v>45729</v>
      </c>
      <c r="E2658" s="11" t="str">
        <f>+HYPERLINK("http://trademark.i-assist.jp/data/china/image_1927th/82634073.pdf","82634073")</f>
        <v>82634073</v>
      </c>
      <c r="F2658" s="9" t="s">
        <v>7307</v>
      </c>
      <c r="G2658" s="9" t="s">
        <v>7102</v>
      </c>
      <c r="H2658" s="9" t="s">
        <v>7308</v>
      </c>
      <c r="I2658" s="10">
        <v>45644</v>
      </c>
    </row>
    <row r="2659" spans="1:9" x14ac:dyDescent="0.15">
      <c r="A2659" s="9">
        <v>2658</v>
      </c>
      <c r="B2659" s="9" t="s">
        <v>9</v>
      </c>
      <c r="C2659" s="9">
        <v>1927</v>
      </c>
      <c r="D2659" s="10">
        <v>45729</v>
      </c>
      <c r="E2659" s="11" t="str">
        <f>+HYPERLINK("http://trademark.i-assist.jp/data/china/image_1927th/82634084.pdf","82634084")</f>
        <v>82634084</v>
      </c>
      <c r="F2659" s="9" t="s">
        <v>7309</v>
      </c>
      <c r="G2659" s="9" t="s">
        <v>7102</v>
      </c>
      <c r="H2659" s="9" t="s">
        <v>7310</v>
      </c>
      <c r="I2659" s="10">
        <v>45644</v>
      </c>
    </row>
    <row r="2660" spans="1:9" x14ac:dyDescent="0.15">
      <c r="A2660" s="9">
        <v>2659</v>
      </c>
      <c r="B2660" s="9" t="s">
        <v>9</v>
      </c>
      <c r="C2660" s="9">
        <v>1927</v>
      </c>
      <c r="D2660" s="10">
        <v>45729</v>
      </c>
      <c r="E2660" s="11" t="str">
        <f>+HYPERLINK("http://trademark.i-assist.jp/data/china/image_1927th/82634095.pdf","82634095")</f>
        <v>82634095</v>
      </c>
      <c r="F2660" s="9" t="s">
        <v>7311</v>
      </c>
      <c r="G2660" s="9" t="s">
        <v>7312</v>
      </c>
      <c r="H2660" s="9" t="s">
        <v>7313</v>
      </c>
      <c r="I2660" s="10">
        <v>45644</v>
      </c>
    </row>
    <row r="2661" spans="1:9" x14ac:dyDescent="0.15">
      <c r="A2661" s="9">
        <v>2660</v>
      </c>
      <c r="B2661" s="9" t="s">
        <v>9</v>
      </c>
      <c r="C2661" s="9">
        <v>1927</v>
      </c>
      <c r="D2661" s="10">
        <v>45729</v>
      </c>
      <c r="E2661" s="11" t="str">
        <f>+HYPERLINK("http://trademark.i-assist.jp/data/china/image_1927th/82635041.pdf","82635041")</f>
        <v>82635041</v>
      </c>
      <c r="F2661" s="9" t="s">
        <v>7314</v>
      </c>
      <c r="G2661" s="9" t="s">
        <v>7315</v>
      </c>
      <c r="H2661" s="9" t="s">
        <v>7316</v>
      </c>
      <c r="I2661" s="10">
        <v>45644</v>
      </c>
    </row>
    <row r="2662" spans="1:9" x14ac:dyDescent="0.15">
      <c r="A2662" s="9">
        <v>2661</v>
      </c>
      <c r="B2662" s="9" t="s">
        <v>9</v>
      </c>
      <c r="C2662" s="9">
        <v>1927</v>
      </c>
      <c r="D2662" s="10">
        <v>45729</v>
      </c>
      <c r="E2662" s="11" t="str">
        <f>+HYPERLINK("http://trademark.i-assist.jp/data/china/image_1927th/82635242.pdf","82635242")</f>
        <v>82635242</v>
      </c>
      <c r="F2662" s="9" t="s">
        <v>7317</v>
      </c>
      <c r="G2662" s="12" t="s">
        <v>7318</v>
      </c>
      <c r="H2662" s="9" t="s">
        <v>7319</v>
      </c>
      <c r="I2662" s="10">
        <v>45644</v>
      </c>
    </row>
    <row r="2663" spans="1:9" x14ac:dyDescent="0.15">
      <c r="A2663" s="9">
        <v>2662</v>
      </c>
      <c r="B2663" s="9" t="s">
        <v>9</v>
      </c>
      <c r="C2663" s="9">
        <v>1927</v>
      </c>
      <c r="D2663" s="10">
        <v>45729</v>
      </c>
      <c r="E2663" s="11" t="str">
        <f>+HYPERLINK("http://trademark.i-assist.jp/data/china/image_1927th/82635306.pdf","82635306")</f>
        <v>82635306</v>
      </c>
      <c r="F2663" s="9" t="s">
        <v>7320</v>
      </c>
      <c r="G2663" s="12" t="s">
        <v>7321</v>
      </c>
      <c r="H2663" s="9" t="s">
        <v>7322</v>
      </c>
      <c r="I2663" s="10">
        <v>45644</v>
      </c>
    </row>
    <row r="2664" spans="1:9" x14ac:dyDescent="0.15">
      <c r="A2664" s="9">
        <v>2663</v>
      </c>
      <c r="B2664" s="9" t="s">
        <v>9</v>
      </c>
      <c r="C2664" s="9">
        <v>1927</v>
      </c>
      <c r="D2664" s="10">
        <v>45729</v>
      </c>
      <c r="E2664" s="11" t="str">
        <f>+HYPERLINK("http://trademark.i-assist.jp/data/china/image_1927th/82635438.pdf","82635438")</f>
        <v>82635438</v>
      </c>
      <c r="F2664" s="9" t="s">
        <v>7323</v>
      </c>
      <c r="G2664" s="9" t="s">
        <v>153</v>
      </c>
      <c r="H2664" s="9" t="s">
        <v>7324</v>
      </c>
      <c r="I2664" s="10">
        <v>45644</v>
      </c>
    </row>
    <row r="2665" spans="1:9" x14ac:dyDescent="0.15">
      <c r="A2665" s="9">
        <v>2664</v>
      </c>
      <c r="B2665" s="9" t="s">
        <v>9</v>
      </c>
      <c r="C2665" s="9">
        <v>1927</v>
      </c>
      <c r="D2665" s="10">
        <v>45729</v>
      </c>
      <c r="E2665" s="11" t="str">
        <f>+HYPERLINK("http://trademark.i-assist.jp/data/china/image_1927th/82635499.pdf","82635499")</f>
        <v>82635499</v>
      </c>
      <c r="F2665" s="9" t="s">
        <v>7325</v>
      </c>
      <c r="G2665" s="12" t="s">
        <v>7326</v>
      </c>
      <c r="H2665" s="9" t="s">
        <v>7327</v>
      </c>
      <c r="I2665" s="10">
        <v>45644</v>
      </c>
    </row>
    <row r="2666" spans="1:9" x14ac:dyDescent="0.15">
      <c r="A2666" s="9">
        <v>2665</v>
      </c>
      <c r="B2666" s="9" t="s">
        <v>9</v>
      </c>
      <c r="C2666" s="9">
        <v>1927</v>
      </c>
      <c r="D2666" s="10">
        <v>45729</v>
      </c>
      <c r="E2666" s="11" t="str">
        <f>+HYPERLINK("http://trademark.i-assist.jp/data/china/image_1927th/82636048.pdf","82636048")</f>
        <v>82636048</v>
      </c>
      <c r="F2666" s="9" t="s">
        <v>7328</v>
      </c>
      <c r="G2666" s="9" t="s">
        <v>7329</v>
      </c>
      <c r="H2666" s="9" t="s">
        <v>7330</v>
      </c>
      <c r="I2666" s="10">
        <v>45644</v>
      </c>
    </row>
    <row r="2667" spans="1:9" x14ac:dyDescent="0.15">
      <c r="A2667" s="9">
        <v>2666</v>
      </c>
      <c r="B2667" s="9" t="s">
        <v>9</v>
      </c>
      <c r="C2667" s="9">
        <v>1927</v>
      </c>
      <c r="D2667" s="10">
        <v>45729</v>
      </c>
      <c r="E2667" s="11" t="str">
        <f>+HYPERLINK("http://trademark.i-assist.jp/data/china/image_1927th/82636247.pdf","82636247")</f>
        <v>82636247</v>
      </c>
      <c r="F2667" s="12" t="s">
        <v>7331</v>
      </c>
      <c r="G2667" s="9" t="s">
        <v>6767</v>
      </c>
      <c r="H2667" s="9" t="s">
        <v>7332</v>
      </c>
      <c r="I2667" s="10">
        <v>45644</v>
      </c>
    </row>
    <row r="2668" spans="1:9" x14ac:dyDescent="0.15">
      <c r="A2668" s="9">
        <v>2667</v>
      </c>
      <c r="B2668" s="9" t="s">
        <v>9</v>
      </c>
      <c r="C2668" s="9">
        <v>1927</v>
      </c>
      <c r="D2668" s="10">
        <v>45729</v>
      </c>
      <c r="E2668" s="11" t="str">
        <f>+HYPERLINK("http://trademark.i-assist.jp/data/china/image_1927th/82636529.pdf","82636529")</f>
        <v>82636529</v>
      </c>
      <c r="F2668" s="9" t="s">
        <v>7333</v>
      </c>
      <c r="G2668" s="9" t="s">
        <v>7334</v>
      </c>
      <c r="H2668" s="9" t="s">
        <v>7335</v>
      </c>
      <c r="I2668" s="10">
        <v>45645</v>
      </c>
    </row>
    <row r="2669" spans="1:9" x14ac:dyDescent="0.15">
      <c r="A2669" s="9">
        <v>2668</v>
      </c>
      <c r="B2669" s="9" t="s">
        <v>9</v>
      </c>
      <c r="C2669" s="9">
        <v>1927</v>
      </c>
      <c r="D2669" s="10">
        <v>45729</v>
      </c>
      <c r="E2669" s="11" t="str">
        <f>+HYPERLINK("http://trademark.i-assist.jp/data/china/image_1927th/82636699.pdf","82636699")</f>
        <v>82636699</v>
      </c>
      <c r="F2669" s="9" t="s">
        <v>7336</v>
      </c>
      <c r="G2669" s="9" t="s">
        <v>7337</v>
      </c>
      <c r="H2669" s="9" t="s">
        <v>7338</v>
      </c>
      <c r="I2669" s="10">
        <v>45645</v>
      </c>
    </row>
    <row r="2670" spans="1:9" x14ac:dyDescent="0.15">
      <c r="A2670" s="9">
        <v>2669</v>
      </c>
      <c r="B2670" s="9" t="s">
        <v>9</v>
      </c>
      <c r="C2670" s="9">
        <v>1927</v>
      </c>
      <c r="D2670" s="10">
        <v>45729</v>
      </c>
      <c r="E2670" s="11" t="str">
        <f>+HYPERLINK("http://trademark.i-assist.jp/data/china/image_1927th/82637296.pdf","82637296")</f>
        <v>82637296</v>
      </c>
      <c r="F2670" s="9" t="s">
        <v>7339</v>
      </c>
      <c r="G2670" s="9" t="s">
        <v>7340</v>
      </c>
      <c r="H2670" s="12" t="s">
        <v>7341</v>
      </c>
      <c r="I2670" s="10">
        <v>45645</v>
      </c>
    </row>
    <row r="2671" spans="1:9" x14ac:dyDescent="0.15">
      <c r="A2671" s="9">
        <v>2670</v>
      </c>
      <c r="B2671" s="9" t="s">
        <v>9</v>
      </c>
      <c r="C2671" s="9">
        <v>1927</v>
      </c>
      <c r="D2671" s="10">
        <v>45729</v>
      </c>
      <c r="E2671" s="11" t="str">
        <f>+HYPERLINK("http://trademark.i-assist.jp/data/china/image_1927th/82638354.pdf","82638354")</f>
        <v>82638354</v>
      </c>
      <c r="F2671" s="9" t="s">
        <v>7342</v>
      </c>
      <c r="G2671" s="9" t="s">
        <v>7343</v>
      </c>
      <c r="H2671" s="9" t="s">
        <v>7344</v>
      </c>
      <c r="I2671" s="10">
        <v>45645</v>
      </c>
    </row>
    <row r="2672" spans="1:9" x14ac:dyDescent="0.15">
      <c r="A2672" s="9">
        <v>2671</v>
      </c>
      <c r="B2672" s="9" t="s">
        <v>9</v>
      </c>
      <c r="C2672" s="9">
        <v>1927</v>
      </c>
      <c r="D2672" s="10">
        <v>45729</v>
      </c>
      <c r="E2672" s="11" t="str">
        <f>+HYPERLINK("http://trademark.i-assist.jp/data/china/image_1927th/82638400.pdf","82638400")</f>
        <v>82638400</v>
      </c>
      <c r="F2672" s="9" t="s">
        <v>7345</v>
      </c>
      <c r="G2672" s="9" t="s">
        <v>7346</v>
      </c>
      <c r="H2672" s="12" t="s">
        <v>7347</v>
      </c>
      <c r="I2672" s="10">
        <v>45645</v>
      </c>
    </row>
    <row r="2673" spans="1:9" x14ac:dyDescent="0.15">
      <c r="A2673" s="9">
        <v>2672</v>
      </c>
      <c r="B2673" s="9" t="s">
        <v>9</v>
      </c>
      <c r="C2673" s="9">
        <v>1927</v>
      </c>
      <c r="D2673" s="10">
        <v>45729</v>
      </c>
      <c r="E2673" s="11" t="str">
        <f>+HYPERLINK("http://trademark.i-assist.jp/data/china/image_1927th/82638541.pdf","82638541")</f>
        <v>82638541</v>
      </c>
      <c r="F2673" s="9" t="s">
        <v>7348</v>
      </c>
      <c r="G2673" s="9" t="s">
        <v>7349</v>
      </c>
      <c r="H2673" s="9" t="s">
        <v>7350</v>
      </c>
      <c r="I2673" s="10">
        <v>45645</v>
      </c>
    </row>
    <row r="2674" spans="1:9" x14ac:dyDescent="0.15">
      <c r="A2674" s="9">
        <v>2673</v>
      </c>
      <c r="B2674" s="9" t="s">
        <v>9</v>
      </c>
      <c r="C2674" s="9">
        <v>1927</v>
      </c>
      <c r="D2674" s="10">
        <v>45729</v>
      </c>
      <c r="E2674" s="11" t="str">
        <f>+HYPERLINK("http://trademark.i-assist.jp/data/china/image_1927th/82638553.pdf","82638553")</f>
        <v>82638553</v>
      </c>
      <c r="F2674" s="9" t="s">
        <v>7351</v>
      </c>
      <c r="G2674" s="12" t="s">
        <v>7352</v>
      </c>
      <c r="H2674" s="9" t="s">
        <v>7353</v>
      </c>
      <c r="I2674" s="10">
        <v>45645</v>
      </c>
    </row>
    <row r="2675" spans="1:9" x14ac:dyDescent="0.15">
      <c r="A2675" s="9">
        <v>2674</v>
      </c>
      <c r="B2675" s="9" t="s">
        <v>9</v>
      </c>
      <c r="C2675" s="9">
        <v>1927</v>
      </c>
      <c r="D2675" s="10">
        <v>45729</v>
      </c>
      <c r="E2675" s="11" t="str">
        <f>+HYPERLINK("http://trademark.i-assist.jp/data/china/image_1927th/82638992.pdf","82638992")</f>
        <v>82638992</v>
      </c>
      <c r="F2675" s="9" t="s">
        <v>7354</v>
      </c>
      <c r="G2675" s="9" t="s">
        <v>7355</v>
      </c>
      <c r="H2675" s="9" t="s">
        <v>7356</v>
      </c>
      <c r="I2675" s="10">
        <v>45645</v>
      </c>
    </row>
    <row r="2676" spans="1:9" x14ac:dyDescent="0.15">
      <c r="A2676" s="9">
        <v>2675</v>
      </c>
      <c r="B2676" s="9" t="s">
        <v>9</v>
      </c>
      <c r="C2676" s="9">
        <v>1927</v>
      </c>
      <c r="D2676" s="10">
        <v>45729</v>
      </c>
      <c r="E2676" s="11" t="str">
        <f>+HYPERLINK("http://trademark.i-assist.jp/data/china/image_1927th/82639006.pdf","82639006")</f>
        <v>82639006</v>
      </c>
      <c r="F2676" s="9" t="s">
        <v>7357</v>
      </c>
      <c r="G2676" s="9" t="s">
        <v>7358</v>
      </c>
      <c r="H2676" s="9" t="s">
        <v>17</v>
      </c>
      <c r="I2676" s="10">
        <v>45645</v>
      </c>
    </row>
    <row r="2677" spans="1:9" x14ac:dyDescent="0.15">
      <c r="A2677" s="9">
        <v>2676</v>
      </c>
      <c r="B2677" s="9" t="s">
        <v>9</v>
      </c>
      <c r="C2677" s="9">
        <v>1927</v>
      </c>
      <c r="D2677" s="10">
        <v>45729</v>
      </c>
      <c r="E2677" s="11" t="str">
        <f>+HYPERLINK("http://trademark.i-assist.jp/data/china/image_1927th/82639348.pdf","82639348")</f>
        <v>82639348</v>
      </c>
      <c r="F2677" s="9" t="s">
        <v>7359</v>
      </c>
      <c r="G2677" s="9" t="s">
        <v>7360</v>
      </c>
      <c r="H2677" s="9" t="s">
        <v>7361</v>
      </c>
      <c r="I2677" s="10">
        <v>45645</v>
      </c>
    </row>
    <row r="2678" spans="1:9" x14ac:dyDescent="0.15">
      <c r="A2678" s="9">
        <v>2677</v>
      </c>
      <c r="B2678" s="9" t="s">
        <v>9</v>
      </c>
      <c r="C2678" s="9">
        <v>1927</v>
      </c>
      <c r="D2678" s="10">
        <v>45729</v>
      </c>
      <c r="E2678" s="11" t="str">
        <f>+HYPERLINK("http://trademark.i-assist.jp/data/china/image_1927th/82639400.pdf","82639400")</f>
        <v>82639400</v>
      </c>
      <c r="F2678" s="9" t="s">
        <v>7362</v>
      </c>
      <c r="G2678" s="9" t="s">
        <v>7363</v>
      </c>
      <c r="H2678" s="9" t="s">
        <v>7364</v>
      </c>
      <c r="I2678" s="10">
        <v>45645</v>
      </c>
    </row>
    <row r="2679" spans="1:9" x14ac:dyDescent="0.15">
      <c r="A2679" s="9">
        <v>2678</v>
      </c>
      <c r="B2679" s="9" t="s">
        <v>9</v>
      </c>
      <c r="C2679" s="9">
        <v>1927</v>
      </c>
      <c r="D2679" s="10">
        <v>45729</v>
      </c>
      <c r="E2679" s="11" t="str">
        <f>+HYPERLINK("http://trademark.i-assist.jp/data/china/image_1927th/82640063.pdf","82640063")</f>
        <v>82640063</v>
      </c>
      <c r="F2679" s="12" t="s">
        <v>16</v>
      </c>
      <c r="G2679" s="9" t="s">
        <v>7365</v>
      </c>
      <c r="H2679" s="9" t="s">
        <v>7366</v>
      </c>
      <c r="I2679" s="10">
        <v>45645</v>
      </c>
    </row>
    <row r="2680" spans="1:9" x14ac:dyDescent="0.15">
      <c r="A2680" s="9">
        <v>2679</v>
      </c>
      <c r="B2680" s="9" t="s">
        <v>9</v>
      </c>
      <c r="C2680" s="9">
        <v>1927</v>
      </c>
      <c r="D2680" s="10">
        <v>45729</v>
      </c>
      <c r="E2680" s="11" t="str">
        <f>+HYPERLINK("http://trademark.i-assist.jp/data/china/image_1927th/82640175.pdf","82640175")</f>
        <v>82640175</v>
      </c>
      <c r="F2680" s="9" t="s">
        <v>7367</v>
      </c>
      <c r="G2680" s="9" t="s">
        <v>7368</v>
      </c>
      <c r="H2680" s="9" t="s">
        <v>7369</v>
      </c>
      <c r="I2680" s="10">
        <v>45645</v>
      </c>
    </row>
    <row r="2681" spans="1:9" x14ac:dyDescent="0.15">
      <c r="A2681" s="9">
        <v>2680</v>
      </c>
      <c r="B2681" s="9" t="s">
        <v>9</v>
      </c>
      <c r="C2681" s="9">
        <v>1927</v>
      </c>
      <c r="D2681" s="10">
        <v>45729</v>
      </c>
      <c r="E2681" s="11" t="str">
        <f>+HYPERLINK("http://trademark.i-assist.jp/data/china/image_1927th/82640572.pdf","82640572")</f>
        <v>82640572</v>
      </c>
      <c r="F2681" s="9" t="s">
        <v>7370</v>
      </c>
      <c r="G2681" s="12" t="s">
        <v>3584</v>
      </c>
      <c r="H2681" s="9" t="s">
        <v>7371</v>
      </c>
      <c r="I2681" s="10">
        <v>45645</v>
      </c>
    </row>
    <row r="2682" spans="1:9" x14ac:dyDescent="0.15">
      <c r="A2682" s="9">
        <v>2681</v>
      </c>
      <c r="B2682" s="9" t="s">
        <v>9</v>
      </c>
      <c r="C2682" s="9">
        <v>1927</v>
      </c>
      <c r="D2682" s="10">
        <v>45729</v>
      </c>
      <c r="E2682" s="11" t="str">
        <f>+HYPERLINK("http://trademark.i-assist.jp/data/china/image_1927th/82640717.pdf","82640717")</f>
        <v>82640717</v>
      </c>
      <c r="F2682" s="12" t="s">
        <v>7372</v>
      </c>
      <c r="G2682" s="9" t="s">
        <v>7373</v>
      </c>
      <c r="H2682" s="9" t="s">
        <v>7374</v>
      </c>
      <c r="I2682" s="10">
        <v>45645</v>
      </c>
    </row>
    <row r="2683" spans="1:9" x14ac:dyDescent="0.15">
      <c r="A2683" s="9">
        <v>2682</v>
      </c>
      <c r="B2683" s="9" t="s">
        <v>9</v>
      </c>
      <c r="C2683" s="9">
        <v>1927</v>
      </c>
      <c r="D2683" s="10">
        <v>45729</v>
      </c>
      <c r="E2683" s="11" t="str">
        <f>+HYPERLINK("http://trademark.i-assist.jp/data/china/image_1927th/82640932.pdf","82640932")</f>
        <v>82640932</v>
      </c>
      <c r="F2683" s="9" t="s">
        <v>7375</v>
      </c>
      <c r="G2683" s="9" t="s">
        <v>7376</v>
      </c>
      <c r="H2683" s="9" t="s">
        <v>7377</v>
      </c>
      <c r="I2683" s="10">
        <v>45645</v>
      </c>
    </row>
    <row r="2684" spans="1:9" x14ac:dyDescent="0.15">
      <c r="A2684" s="9">
        <v>2683</v>
      </c>
      <c r="B2684" s="9" t="s">
        <v>9</v>
      </c>
      <c r="C2684" s="9">
        <v>1927</v>
      </c>
      <c r="D2684" s="10">
        <v>45729</v>
      </c>
      <c r="E2684" s="11" t="str">
        <f>+HYPERLINK("http://trademark.i-assist.jp/data/china/image_1927th/82641166.pdf","82641166")</f>
        <v>82641166</v>
      </c>
      <c r="F2684" s="9" t="s">
        <v>7378</v>
      </c>
      <c r="G2684" s="12" t="s">
        <v>6586</v>
      </c>
      <c r="H2684" s="9" t="s">
        <v>7379</v>
      </c>
      <c r="I2684" s="10">
        <v>45645</v>
      </c>
    </row>
    <row r="2685" spans="1:9" x14ac:dyDescent="0.15">
      <c r="A2685" s="9">
        <v>2684</v>
      </c>
      <c r="B2685" s="9" t="s">
        <v>9</v>
      </c>
      <c r="C2685" s="9">
        <v>1927</v>
      </c>
      <c r="D2685" s="10">
        <v>45729</v>
      </c>
      <c r="E2685" s="11" t="str">
        <f>+HYPERLINK("http://trademark.i-assist.jp/data/china/image_1927th/82641263.pdf","82641263")</f>
        <v>82641263</v>
      </c>
      <c r="F2685" s="9" t="s">
        <v>7380</v>
      </c>
      <c r="G2685" s="9" t="s">
        <v>7381</v>
      </c>
      <c r="H2685" s="9" t="s">
        <v>7382</v>
      </c>
      <c r="I2685" s="10">
        <v>45645</v>
      </c>
    </row>
    <row r="2686" spans="1:9" x14ac:dyDescent="0.15">
      <c r="A2686" s="9">
        <v>2685</v>
      </c>
      <c r="B2686" s="9" t="s">
        <v>9</v>
      </c>
      <c r="C2686" s="9">
        <v>1927</v>
      </c>
      <c r="D2686" s="10">
        <v>45729</v>
      </c>
      <c r="E2686" s="11" t="str">
        <f>+HYPERLINK("http://trademark.i-assist.jp/data/china/image_1927th/82641603.pdf","82641603")</f>
        <v>82641603</v>
      </c>
      <c r="F2686" s="9" t="s">
        <v>7383</v>
      </c>
      <c r="G2686" s="9" t="s">
        <v>7384</v>
      </c>
      <c r="H2686" s="9" t="s">
        <v>7385</v>
      </c>
      <c r="I2686" s="10">
        <v>45645</v>
      </c>
    </row>
    <row r="2687" spans="1:9" x14ac:dyDescent="0.15">
      <c r="A2687" s="9">
        <v>2686</v>
      </c>
      <c r="B2687" s="9" t="s">
        <v>9</v>
      </c>
      <c r="C2687" s="9">
        <v>1927</v>
      </c>
      <c r="D2687" s="10">
        <v>45729</v>
      </c>
      <c r="E2687" s="11" t="str">
        <f>+HYPERLINK("http://trademark.i-assist.jp/data/china/image_1927th/82642167.pdf","82642167")</f>
        <v>82642167</v>
      </c>
      <c r="F2687" s="9" t="s">
        <v>7386</v>
      </c>
      <c r="G2687" s="9" t="s">
        <v>7387</v>
      </c>
      <c r="H2687" s="9" t="s">
        <v>7388</v>
      </c>
      <c r="I2687" s="10">
        <v>45645</v>
      </c>
    </row>
    <row r="2688" spans="1:9" x14ac:dyDescent="0.15">
      <c r="A2688" s="9">
        <v>2687</v>
      </c>
      <c r="B2688" s="9" t="s">
        <v>9</v>
      </c>
      <c r="C2688" s="9">
        <v>1927</v>
      </c>
      <c r="D2688" s="10">
        <v>45729</v>
      </c>
      <c r="E2688" s="11" t="str">
        <f>+HYPERLINK("http://trademark.i-assist.jp/data/china/image_1927th/82642372.pdf","82642372")</f>
        <v>82642372</v>
      </c>
      <c r="F2688" s="9" t="s">
        <v>7389</v>
      </c>
      <c r="G2688" s="9" t="s">
        <v>7390</v>
      </c>
      <c r="H2688" s="9" t="s">
        <v>7391</v>
      </c>
      <c r="I2688" s="10">
        <v>45645</v>
      </c>
    </row>
    <row r="2689" spans="1:9" x14ac:dyDescent="0.15">
      <c r="A2689" s="9">
        <v>2688</v>
      </c>
      <c r="B2689" s="9" t="s">
        <v>9</v>
      </c>
      <c r="C2689" s="9">
        <v>1927</v>
      </c>
      <c r="D2689" s="10">
        <v>45729</v>
      </c>
      <c r="E2689" s="11" t="str">
        <f>+HYPERLINK("http://trademark.i-assist.jp/data/china/image_1927th/82642458.pdf","82642458")</f>
        <v>82642458</v>
      </c>
      <c r="F2689" s="9" t="s">
        <v>7392</v>
      </c>
      <c r="G2689" s="9" t="s">
        <v>7393</v>
      </c>
      <c r="H2689" s="12" t="s">
        <v>7394</v>
      </c>
      <c r="I2689" s="10">
        <v>45645</v>
      </c>
    </row>
    <row r="2690" spans="1:9" x14ac:dyDescent="0.15">
      <c r="A2690" s="9">
        <v>2689</v>
      </c>
      <c r="B2690" s="9" t="s">
        <v>9</v>
      </c>
      <c r="C2690" s="9">
        <v>1927</v>
      </c>
      <c r="D2690" s="10">
        <v>45729</v>
      </c>
      <c r="E2690" s="11" t="str">
        <f>+HYPERLINK("http://trademark.i-assist.jp/data/china/image_1927th/82642518.pdf","82642518")</f>
        <v>82642518</v>
      </c>
      <c r="F2690" s="9" t="s">
        <v>7395</v>
      </c>
      <c r="G2690" s="12" t="s">
        <v>7396</v>
      </c>
      <c r="H2690" s="9" t="s">
        <v>7397</v>
      </c>
      <c r="I2690" s="10">
        <v>45645</v>
      </c>
    </row>
    <row r="2691" spans="1:9" x14ac:dyDescent="0.15">
      <c r="A2691" s="9">
        <v>2690</v>
      </c>
      <c r="B2691" s="9" t="s">
        <v>9</v>
      </c>
      <c r="C2691" s="9">
        <v>1927</v>
      </c>
      <c r="D2691" s="10">
        <v>45729</v>
      </c>
      <c r="E2691" s="11" t="str">
        <f>+HYPERLINK("http://trademark.i-assist.jp/data/china/image_1927th/82642608.pdf","82642608")</f>
        <v>82642608</v>
      </c>
      <c r="F2691" s="9" t="s">
        <v>7398</v>
      </c>
      <c r="G2691" s="9" t="s">
        <v>7399</v>
      </c>
      <c r="H2691" s="9" t="s">
        <v>7400</v>
      </c>
      <c r="I2691" s="10">
        <v>45645</v>
      </c>
    </row>
    <row r="2692" spans="1:9" x14ac:dyDescent="0.15">
      <c r="A2692" s="9">
        <v>2691</v>
      </c>
      <c r="B2692" s="9" t="s">
        <v>9</v>
      </c>
      <c r="C2692" s="9">
        <v>1927</v>
      </c>
      <c r="D2692" s="10">
        <v>45729</v>
      </c>
      <c r="E2692" s="11" t="str">
        <f>+HYPERLINK("http://trademark.i-assist.jp/data/china/image_1927th/82642635.pdf","82642635")</f>
        <v>82642635</v>
      </c>
      <c r="F2692" s="9" t="s">
        <v>7401</v>
      </c>
      <c r="G2692" s="9" t="s">
        <v>7402</v>
      </c>
      <c r="H2692" s="9" t="s">
        <v>7403</v>
      </c>
      <c r="I2692" s="10">
        <v>45645</v>
      </c>
    </row>
    <row r="2693" spans="1:9" x14ac:dyDescent="0.15">
      <c r="A2693" s="9">
        <v>2692</v>
      </c>
      <c r="B2693" s="9" t="s">
        <v>9</v>
      </c>
      <c r="C2693" s="9">
        <v>1927</v>
      </c>
      <c r="D2693" s="10">
        <v>45729</v>
      </c>
      <c r="E2693" s="11" t="str">
        <f>+HYPERLINK("http://trademark.i-assist.jp/data/china/image_1927th/82642745.pdf","82642745")</f>
        <v>82642745</v>
      </c>
      <c r="F2693" s="9" t="s">
        <v>7404</v>
      </c>
      <c r="G2693" s="9" t="s">
        <v>7405</v>
      </c>
      <c r="H2693" s="9" t="s">
        <v>7406</v>
      </c>
      <c r="I2693" s="10">
        <v>45645</v>
      </c>
    </row>
    <row r="2694" spans="1:9" x14ac:dyDescent="0.15">
      <c r="A2694" s="9">
        <v>2693</v>
      </c>
      <c r="B2694" s="9" t="s">
        <v>9</v>
      </c>
      <c r="C2694" s="9">
        <v>1927</v>
      </c>
      <c r="D2694" s="10">
        <v>45729</v>
      </c>
      <c r="E2694" s="11" t="str">
        <f>+HYPERLINK("http://trademark.i-assist.jp/data/china/image_1927th/82642794.pdf","82642794")</f>
        <v>82642794</v>
      </c>
      <c r="F2694" s="12" t="s">
        <v>16</v>
      </c>
      <c r="G2694" s="9" t="s">
        <v>7407</v>
      </c>
      <c r="H2694" s="9" t="s">
        <v>7408</v>
      </c>
      <c r="I2694" s="10">
        <v>45645</v>
      </c>
    </row>
    <row r="2695" spans="1:9" x14ac:dyDescent="0.15">
      <c r="A2695" s="9">
        <v>2694</v>
      </c>
      <c r="B2695" s="9" t="s">
        <v>9</v>
      </c>
      <c r="C2695" s="9">
        <v>1927</v>
      </c>
      <c r="D2695" s="10">
        <v>45729</v>
      </c>
      <c r="E2695" s="11" t="str">
        <f>+HYPERLINK("http://trademark.i-assist.jp/data/china/image_1927th/82643158.pdf","82643158")</f>
        <v>82643158</v>
      </c>
      <c r="F2695" s="12" t="s">
        <v>7409</v>
      </c>
      <c r="G2695" s="9" t="s">
        <v>7410</v>
      </c>
      <c r="H2695" s="9" t="s">
        <v>7411</v>
      </c>
      <c r="I2695" s="10">
        <v>45645</v>
      </c>
    </row>
    <row r="2696" spans="1:9" x14ac:dyDescent="0.15">
      <c r="A2696" s="9">
        <v>2695</v>
      </c>
      <c r="B2696" s="9" t="s">
        <v>9</v>
      </c>
      <c r="C2696" s="9">
        <v>1927</v>
      </c>
      <c r="D2696" s="10">
        <v>45729</v>
      </c>
      <c r="E2696" s="11" t="str">
        <f>+HYPERLINK("http://trademark.i-assist.jp/data/china/image_1927th/82643231.pdf","82643231")</f>
        <v>82643231</v>
      </c>
      <c r="F2696" s="12" t="s">
        <v>16</v>
      </c>
      <c r="G2696" s="9" t="s">
        <v>7412</v>
      </c>
      <c r="H2696" s="9" t="s">
        <v>7413</v>
      </c>
      <c r="I2696" s="10">
        <v>45645</v>
      </c>
    </row>
    <row r="2697" spans="1:9" x14ac:dyDescent="0.15">
      <c r="A2697" s="9">
        <v>2696</v>
      </c>
      <c r="B2697" s="9" t="s">
        <v>9</v>
      </c>
      <c r="C2697" s="9">
        <v>1927</v>
      </c>
      <c r="D2697" s="10">
        <v>45729</v>
      </c>
      <c r="E2697" s="11" t="str">
        <f>+HYPERLINK("http://trademark.i-assist.jp/data/china/image_1927th/82643387.pdf","82643387")</f>
        <v>82643387</v>
      </c>
      <c r="F2697" s="9" t="s">
        <v>7414</v>
      </c>
      <c r="G2697" s="9" t="s">
        <v>7415</v>
      </c>
      <c r="H2697" s="9" t="s">
        <v>7416</v>
      </c>
      <c r="I2697" s="10">
        <v>45645</v>
      </c>
    </row>
    <row r="2698" spans="1:9" x14ac:dyDescent="0.15">
      <c r="A2698" s="9">
        <v>2697</v>
      </c>
      <c r="B2698" s="9" t="s">
        <v>9</v>
      </c>
      <c r="C2698" s="9">
        <v>1927</v>
      </c>
      <c r="D2698" s="10">
        <v>45729</v>
      </c>
      <c r="E2698" s="11" t="str">
        <f>+HYPERLINK("http://trademark.i-assist.jp/data/china/image_1927th/82643469.pdf","82643469")</f>
        <v>82643469</v>
      </c>
      <c r="F2698" s="9" t="s">
        <v>7417</v>
      </c>
      <c r="G2698" s="9" t="s">
        <v>7418</v>
      </c>
      <c r="H2698" s="9" t="s">
        <v>7419</v>
      </c>
      <c r="I2698" s="10">
        <v>45645</v>
      </c>
    </row>
    <row r="2699" spans="1:9" x14ac:dyDescent="0.15">
      <c r="A2699" s="9">
        <v>2698</v>
      </c>
      <c r="B2699" s="9" t="s">
        <v>9</v>
      </c>
      <c r="C2699" s="9">
        <v>1927</v>
      </c>
      <c r="D2699" s="10">
        <v>45729</v>
      </c>
      <c r="E2699" s="11" t="str">
        <f>+HYPERLINK("http://trademark.i-assist.jp/data/china/image_1927th/82643725.pdf","82643725")</f>
        <v>82643725</v>
      </c>
      <c r="F2699" s="9" t="s">
        <v>7420</v>
      </c>
      <c r="G2699" s="9" t="s">
        <v>7421</v>
      </c>
      <c r="H2699" s="9" t="s">
        <v>7422</v>
      </c>
      <c r="I2699" s="10">
        <v>45645</v>
      </c>
    </row>
    <row r="2700" spans="1:9" x14ac:dyDescent="0.15">
      <c r="A2700" s="9">
        <v>2699</v>
      </c>
      <c r="B2700" s="9" t="s">
        <v>9</v>
      </c>
      <c r="C2700" s="9">
        <v>1927</v>
      </c>
      <c r="D2700" s="10">
        <v>45729</v>
      </c>
      <c r="E2700" s="11" t="str">
        <f>+HYPERLINK("http://trademark.i-assist.jp/data/china/image_1927th/82643917.pdf","82643917")</f>
        <v>82643917</v>
      </c>
      <c r="F2700" s="9" t="s">
        <v>7423</v>
      </c>
      <c r="G2700" s="9" t="s">
        <v>7368</v>
      </c>
      <c r="H2700" s="9" t="s">
        <v>7424</v>
      </c>
      <c r="I2700" s="10">
        <v>45645</v>
      </c>
    </row>
    <row r="2701" spans="1:9" x14ac:dyDescent="0.15">
      <c r="A2701" s="9">
        <v>2700</v>
      </c>
      <c r="B2701" s="9" t="s">
        <v>9</v>
      </c>
      <c r="C2701" s="9">
        <v>1927</v>
      </c>
      <c r="D2701" s="10">
        <v>45729</v>
      </c>
      <c r="E2701" s="11" t="str">
        <f>+HYPERLINK("http://trademark.i-assist.jp/data/china/image_1927th/82643971.pdf","82643971")</f>
        <v>82643971</v>
      </c>
      <c r="F2701" s="9" t="s">
        <v>7425</v>
      </c>
      <c r="G2701" s="9" t="s">
        <v>6592</v>
      </c>
      <c r="H2701" s="9" t="s">
        <v>7426</v>
      </c>
      <c r="I2701" s="10">
        <v>45645</v>
      </c>
    </row>
    <row r="2702" spans="1:9" x14ac:dyDescent="0.15">
      <c r="A2702" s="9">
        <v>2701</v>
      </c>
      <c r="B2702" s="9" t="s">
        <v>9</v>
      </c>
      <c r="C2702" s="9">
        <v>1927</v>
      </c>
      <c r="D2702" s="10">
        <v>45729</v>
      </c>
      <c r="E2702" s="11" t="str">
        <f>+HYPERLINK("http://trademark.i-assist.jp/data/china/image_1927th/82644085.pdf","82644085")</f>
        <v>82644085</v>
      </c>
      <c r="F2702" s="9" t="s">
        <v>7427</v>
      </c>
      <c r="G2702" s="12" t="s">
        <v>7428</v>
      </c>
      <c r="H2702" s="9" t="s">
        <v>7429</v>
      </c>
      <c r="I2702" s="10">
        <v>45645</v>
      </c>
    </row>
    <row r="2703" spans="1:9" x14ac:dyDescent="0.15">
      <c r="A2703" s="9">
        <v>2702</v>
      </c>
      <c r="B2703" s="9" t="s">
        <v>9</v>
      </c>
      <c r="C2703" s="9">
        <v>1927</v>
      </c>
      <c r="D2703" s="10">
        <v>45729</v>
      </c>
      <c r="E2703" s="11" t="str">
        <f>+HYPERLINK("http://trademark.i-assist.jp/data/china/image_1927th/82644243.pdf","82644243")</f>
        <v>82644243</v>
      </c>
      <c r="F2703" s="9" t="s">
        <v>7430</v>
      </c>
      <c r="G2703" s="9" t="s">
        <v>7431</v>
      </c>
      <c r="H2703" s="9" t="s">
        <v>7432</v>
      </c>
      <c r="I2703" s="10">
        <v>45645</v>
      </c>
    </row>
    <row r="2704" spans="1:9" x14ac:dyDescent="0.15">
      <c r="A2704" s="9">
        <v>2703</v>
      </c>
      <c r="B2704" s="9" t="s">
        <v>9</v>
      </c>
      <c r="C2704" s="9">
        <v>1927</v>
      </c>
      <c r="D2704" s="10">
        <v>45729</v>
      </c>
      <c r="E2704" s="11" t="str">
        <f>+HYPERLINK("http://trademark.i-assist.jp/data/china/image_1927th/82644309.pdf","82644309")</f>
        <v>82644309</v>
      </c>
      <c r="F2704" s="9" t="s">
        <v>7433</v>
      </c>
      <c r="G2704" s="9" t="s">
        <v>7434</v>
      </c>
      <c r="H2704" s="9" t="s">
        <v>7435</v>
      </c>
      <c r="I2704" s="10">
        <v>45645</v>
      </c>
    </row>
    <row r="2705" spans="1:9" x14ac:dyDescent="0.15">
      <c r="A2705" s="9">
        <v>2704</v>
      </c>
      <c r="B2705" s="9" t="s">
        <v>9</v>
      </c>
      <c r="C2705" s="9">
        <v>1927</v>
      </c>
      <c r="D2705" s="10">
        <v>45729</v>
      </c>
      <c r="E2705" s="11" t="str">
        <f>+HYPERLINK("http://trademark.i-assist.jp/data/china/image_1927th/82644401.pdf","82644401")</f>
        <v>82644401</v>
      </c>
      <c r="F2705" s="9" t="s">
        <v>7436</v>
      </c>
      <c r="G2705" s="12" t="s">
        <v>7437</v>
      </c>
      <c r="H2705" s="9" t="s">
        <v>7438</v>
      </c>
      <c r="I2705" s="10">
        <v>45645</v>
      </c>
    </row>
    <row r="2706" spans="1:9" x14ac:dyDescent="0.15">
      <c r="A2706" s="9">
        <v>2705</v>
      </c>
      <c r="B2706" s="9" t="s">
        <v>9</v>
      </c>
      <c r="C2706" s="9">
        <v>1927</v>
      </c>
      <c r="D2706" s="10">
        <v>45729</v>
      </c>
      <c r="E2706" s="11" t="str">
        <f>+HYPERLINK("http://trademark.i-assist.jp/data/china/image_1927th/82644483.pdf","82644483")</f>
        <v>82644483</v>
      </c>
      <c r="F2706" s="9" t="s">
        <v>7439</v>
      </c>
      <c r="G2706" s="9" t="s">
        <v>7440</v>
      </c>
      <c r="H2706" s="9" t="s">
        <v>7441</v>
      </c>
      <c r="I2706" s="10">
        <v>45645</v>
      </c>
    </row>
    <row r="2707" spans="1:9" x14ac:dyDescent="0.15">
      <c r="A2707" s="9">
        <v>2706</v>
      </c>
      <c r="B2707" s="9" t="s">
        <v>9</v>
      </c>
      <c r="C2707" s="9">
        <v>1927</v>
      </c>
      <c r="D2707" s="10">
        <v>45729</v>
      </c>
      <c r="E2707" s="11" t="str">
        <f>+HYPERLINK("http://trademark.i-assist.jp/data/china/image_1927th/82644711.pdf","82644711")</f>
        <v>82644711</v>
      </c>
      <c r="F2707" s="9" t="s">
        <v>7442</v>
      </c>
      <c r="G2707" s="12" t="s">
        <v>7352</v>
      </c>
      <c r="H2707" s="9" t="s">
        <v>7443</v>
      </c>
      <c r="I2707" s="10">
        <v>45645</v>
      </c>
    </row>
    <row r="2708" spans="1:9" x14ac:dyDescent="0.15">
      <c r="A2708" s="9">
        <v>2707</v>
      </c>
      <c r="B2708" s="9" t="s">
        <v>9</v>
      </c>
      <c r="C2708" s="9">
        <v>1927</v>
      </c>
      <c r="D2708" s="10">
        <v>45729</v>
      </c>
      <c r="E2708" s="11" t="str">
        <f>+HYPERLINK("http://trademark.i-assist.jp/data/china/image_1927th/82645464.pdf","82645464")</f>
        <v>82645464</v>
      </c>
      <c r="F2708" s="9" t="s">
        <v>7444</v>
      </c>
      <c r="G2708" s="12" t="s">
        <v>7445</v>
      </c>
      <c r="H2708" s="9" t="s">
        <v>7446</v>
      </c>
      <c r="I2708" s="10">
        <v>45645</v>
      </c>
    </row>
    <row r="2709" spans="1:9" x14ac:dyDescent="0.15">
      <c r="A2709" s="9">
        <v>2708</v>
      </c>
      <c r="B2709" s="9" t="s">
        <v>9</v>
      </c>
      <c r="C2709" s="9">
        <v>1927</v>
      </c>
      <c r="D2709" s="10">
        <v>45729</v>
      </c>
      <c r="E2709" s="11" t="str">
        <f>+HYPERLINK("http://trademark.i-assist.jp/data/china/image_1927th/82645766.pdf","82645766")</f>
        <v>82645766</v>
      </c>
      <c r="F2709" s="12" t="s">
        <v>7447</v>
      </c>
      <c r="G2709" s="9" t="s">
        <v>7448</v>
      </c>
      <c r="H2709" s="9" t="s">
        <v>7449</v>
      </c>
      <c r="I2709" s="10">
        <v>45645</v>
      </c>
    </row>
    <row r="2710" spans="1:9" x14ac:dyDescent="0.15">
      <c r="A2710" s="9">
        <v>2709</v>
      </c>
      <c r="B2710" s="9" t="s">
        <v>9</v>
      </c>
      <c r="C2710" s="9">
        <v>1927</v>
      </c>
      <c r="D2710" s="10">
        <v>45729</v>
      </c>
      <c r="E2710" s="11" t="str">
        <f>+HYPERLINK("http://trademark.i-assist.jp/data/china/image_1927th/82645864.pdf","82645864")</f>
        <v>82645864</v>
      </c>
      <c r="F2710" s="9" t="s">
        <v>7450</v>
      </c>
      <c r="G2710" s="9" t="s">
        <v>7451</v>
      </c>
      <c r="H2710" s="12" t="s">
        <v>7452</v>
      </c>
      <c r="I2710" s="10">
        <v>45645</v>
      </c>
    </row>
    <row r="2711" spans="1:9" x14ac:dyDescent="0.15">
      <c r="A2711" s="9">
        <v>2710</v>
      </c>
      <c r="B2711" s="9" t="s">
        <v>9</v>
      </c>
      <c r="C2711" s="9">
        <v>1927</v>
      </c>
      <c r="D2711" s="10">
        <v>45729</v>
      </c>
      <c r="E2711" s="11" t="str">
        <f>+HYPERLINK("http://trademark.i-assist.jp/data/china/image_1927th/82646001.pdf","82646001")</f>
        <v>82646001</v>
      </c>
      <c r="F2711" s="9" t="s">
        <v>7453</v>
      </c>
      <c r="G2711" s="12" t="s">
        <v>7454</v>
      </c>
      <c r="H2711" s="9" t="s">
        <v>7455</v>
      </c>
      <c r="I2711" s="10">
        <v>45645</v>
      </c>
    </row>
    <row r="2712" spans="1:9" x14ac:dyDescent="0.15">
      <c r="A2712" s="9">
        <v>2711</v>
      </c>
      <c r="B2712" s="9" t="s">
        <v>9</v>
      </c>
      <c r="C2712" s="9">
        <v>1927</v>
      </c>
      <c r="D2712" s="10">
        <v>45729</v>
      </c>
      <c r="E2712" s="11" t="str">
        <f>+HYPERLINK("http://trademark.i-assist.jp/data/china/image_1927th/82646137.pdf","82646137")</f>
        <v>82646137</v>
      </c>
      <c r="F2712" s="9" t="s">
        <v>7456</v>
      </c>
      <c r="G2712" s="9" t="s">
        <v>7457</v>
      </c>
      <c r="H2712" s="9" t="s">
        <v>7458</v>
      </c>
      <c r="I2712" s="10">
        <v>45645</v>
      </c>
    </row>
    <row r="2713" spans="1:9" x14ac:dyDescent="0.15">
      <c r="A2713" s="9">
        <v>2712</v>
      </c>
      <c r="B2713" s="9" t="s">
        <v>9</v>
      </c>
      <c r="C2713" s="9">
        <v>1927</v>
      </c>
      <c r="D2713" s="10">
        <v>45729</v>
      </c>
      <c r="E2713" s="11" t="str">
        <f>+HYPERLINK("http://trademark.i-assist.jp/data/china/image_1927th/82646283.pdf","82646283")</f>
        <v>82646283</v>
      </c>
      <c r="F2713" s="9" t="s">
        <v>7459</v>
      </c>
      <c r="G2713" s="9" t="s">
        <v>7415</v>
      </c>
      <c r="H2713" s="9" t="s">
        <v>7460</v>
      </c>
      <c r="I2713" s="10">
        <v>45645</v>
      </c>
    </row>
    <row r="2714" spans="1:9" x14ac:dyDescent="0.15">
      <c r="A2714" s="9">
        <v>2713</v>
      </c>
      <c r="B2714" s="9" t="s">
        <v>9</v>
      </c>
      <c r="C2714" s="9">
        <v>1927</v>
      </c>
      <c r="D2714" s="10">
        <v>45729</v>
      </c>
      <c r="E2714" s="11" t="str">
        <f>+HYPERLINK("http://trademark.i-assist.jp/data/china/image_1927th/82646656.pdf","82646656")</f>
        <v>82646656</v>
      </c>
      <c r="F2714" s="9" t="s">
        <v>7461</v>
      </c>
      <c r="G2714" s="9" t="s">
        <v>7415</v>
      </c>
      <c r="H2714" s="9" t="s">
        <v>7462</v>
      </c>
      <c r="I2714" s="10">
        <v>45645</v>
      </c>
    </row>
    <row r="2715" spans="1:9" x14ac:dyDescent="0.15">
      <c r="A2715" s="9">
        <v>2714</v>
      </c>
      <c r="B2715" s="9" t="s">
        <v>9</v>
      </c>
      <c r="C2715" s="9">
        <v>1927</v>
      </c>
      <c r="D2715" s="10">
        <v>45729</v>
      </c>
      <c r="E2715" s="11" t="str">
        <f>+HYPERLINK("http://trademark.i-assist.jp/data/china/image_1927th/82646995.pdf","82646995")</f>
        <v>82646995</v>
      </c>
      <c r="F2715" s="9" t="s">
        <v>7463</v>
      </c>
      <c r="G2715" s="9" t="s">
        <v>7464</v>
      </c>
      <c r="H2715" s="9" t="s">
        <v>7465</v>
      </c>
      <c r="I2715" s="10">
        <v>45645</v>
      </c>
    </row>
    <row r="2716" spans="1:9" x14ac:dyDescent="0.15">
      <c r="A2716" s="9">
        <v>2715</v>
      </c>
      <c r="B2716" s="9" t="s">
        <v>9</v>
      </c>
      <c r="C2716" s="9">
        <v>1927</v>
      </c>
      <c r="D2716" s="10">
        <v>45729</v>
      </c>
      <c r="E2716" s="11" t="str">
        <f>+HYPERLINK("http://trademark.i-assist.jp/data/china/image_1927th/82647055.pdf","82647055")</f>
        <v>82647055</v>
      </c>
      <c r="F2716" s="9" t="s">
        <v>7466</v>
      </c>
      <c r="G2716" s="9" t="s">
        <v>7467</v>
      </c>
      <c r="H2716" s="9" t="s">
        <v>7468</v>
      </c>
      <c r="I2716" s="10">
        <v>45645</v>
      </c>
    </row>
    <row r="2717" spans="1:9" x14ac:dyDescent="0.15">
      <c r="A2717" s="9">
        <v>2716</v>
      </c>
      <c r="B2717" s="9" t="s">
        <v>9</v>
      </c>
      <c r="C2717" s="9">
        <v>1927</v>
      </c>
      <c r="D2717" s="10">
        <v>45729</v>
      </c>
      <c r="E2717" s="11" t="str">
        <f>+HYPERLINK("http://trademark.i-assist.jp/data/china/image_1927th/82647259.pdf","82647259")</f>
        <v>82647259</v>
      </c>
      <c r="F2717" s="9" t="s">
        <v>7469</v>
      </c>
      <c r="G2717" s="12" t="s">
        <v>7470</v>
      </c>
      <c r="H2717" s="9" t="s">
        <v>7471</v>
      </c>
      <c r="I2717" s="10">
        <v>45645</v>
      </c>
    </row>
    <row r="2718" spans="1:9" x14ac:dyDescent="0.15">
      <c r="A2718" s="9">
        <v>2717</v>
      </c>
      <c r="B2718" s="9" t="s">
        <v>9</v>
      </c>
      <c r="C2718" s="9">
        <v>1927</v>
      </c>
      <c r="D2718" s="10">
        <v>45729</v>
      </c>
      <c r="E2718" s="11" t="str">
        <f>+HYPERLINK("http://trademark.i-assist.jp/data/china/image_1927th/82647309.pdf","82647309")</f>
        <v>82647309</v>
      </c>
      <c r="F2718" s="12" t="s">
        <v>7472</v>
      </c>
      <c r="G2718" s="9" t="s">
        <v>7473</v>
      </c>
      <c r="H2718" s="9" t="s">
        <v>7474</v>
      </c>
      <c r="I2718" s="10">
        <v>45645</v>
      </c>
    </row>
    <row r="2719" spans="1:9" x14ac:dyDescent="0.15">
      <c r="A2719" s="9">
        <v>2718</v>
      </c>
      <c r="B2719" s="9" t="s">
        <v>9</v>
      </c>
      <c r="C2719" s="9">
        <v>1927</v>
      </c>
      <c r="D2719" s="10">
        <v>45729</v>
      </c>
      <c r="E2719" s="11" t="str">
        <f>+HYPERLINK("http://trademark.i-assist.jp/data/china/image_1927th/82647468.pdf","82647468")</f>
        <v>82647468</v>
      </c>
      <c r="F2719" s="9" t="s">
        <v>7475</v>
      </c>
      <c r="G2719" s="9" t="s">
        <v>7415</v>
      </c>
      <c r="H2719" s="9" t="s">
        <v>7476</v>
      </c>
      <c r="I2719" s="10">
        <v>45645</v>
      </c>
    </row>
    <row r="2720" spans="1:9" x14ac:dyDescent="0.15">
      <c r="A2720" s="9">
        <v>2719</v>
      </c>
      <c r="B2720" s="9" t="s">
        <v>9</v>
      </c>
      <c r="C2720" s="9">
        <v>1927</v>
      </c>
      <c r="D2720" s="10">
        <v>45729</v>
      </c>
      <c r="E2720" s="11" t="str">
        <f>+HYPERLINK("http://trademark.i-assist.jp/data/china/image_1927th/82647972.pdf","82647972")</f>
        <v>82647972</v>
      </c>
      <c r="F2720" s="12" t="s">
        <v>7477</v>
      </c>
      <c r="G2720" s="9" t="s">
        <v>74</v>
      </c>
      <c r="H2720" s="9" t="s">
        <v>7478</v>
      </c>
      <c r="I2720" s="10">
        <v>45645</v>
      </c>
    </row>
    <row r="2721" spans="1:9" x14ac:dyDescent="0.15">
      <c r="A2721" s="9">
        <v>2720</v>
      </c>
      <c r="B2721" s="9" t="s">
        <v>9</v>
      </c>
      <c r="C2721" s="9">
        <v>1927</v>
      </c>
      <c r="D2721" s="10">
        <v>45729</v>
      </c>
      <c r="E2721" s="11" t="str">
        <f>+HYPERLINK("http://trademark.i-assist.jp/data/china/image_1927th/82648092.pdf","82648092")</f>
        <v>82648092</v>
      </c>
      <c r="F2721" s="12" t="s">
        <v>7479</v>
      </c>
      <c r="G2721" s="9" t="s">
        <v>7480</v>
      </c>
      <c r="H2721" s="12" t="s">
        <v>7481</v>
      </c>
      <c r="I2721" s="10">
        <v>45645</v>
      </c>
    </row>
    <row r="2722" spans="1:9" x14ac:dyDescent="0.15">
      <c r="A2722" s="9">
        <v>2721</v>
      </c>
      <c r="B2722" s="9" t="s">
        <v>9</v>
      </c>
      <c r="C2722" s="9">
        <v>1927</v>
      </c>
      <c r="D2722" s="10">
        <v>45729</v>
      </c>
      <c r="E2722" s="11" t="str">
        <f>+HYPERLINK("http://trademark.i-assist.jp/data/china/image_1927th/82648112.pdf","82648112")</f>
        <v>82648112</v>
      </c>
      <c r="F2722" s="12" t="s">
        <v>16</v>
      </c>
      <c r="G2722" s="9" t="s">
        <v>51</v>
      </c>
      <c r="H2722" s="9" t="s">
        <v>7482</v>
      </c>
      <c r="I2722" s="10">
        <v>45645</v>
      </c>
    </row>
    <row r="2723" spans="1:9" x14ac:dyDescent="0.15">
      <c r="A2723" s="9">
        <v>2722</v>
      </c>
      <c r="B2723" s="9" t="s">
        <v>9</v>
      </c>
      <c r="C2723" s="9">
        <v>1927</v>
      </c>
      <c r="D2723" s="10">
        <v>45729</v>
      </c>
      <c r="E2723" s="11" t="str">
        <f>+HYPERLINK("http://trademark.i-assist.jp/data/china/image_1927th/82648328.pdf","82648328")</f>
        <v>82648328</v>
      </c>
      <c r="F2723" s="9" t="s">
        <v>7483</v>
      </c>
      <c r="G2723" s="9" t="s">
        <v>7484</v>
      </c>
      <c r="H2723" s="9" t="s">
        <v>7485</v>
      </c>
      <c r="I2723" s="10">
        <v>45645</v>
      </c>
    </row>
    <row r="2724" spans="1:9" x14ac:dyDescent="0.15">
      <c r="A2724" s="9">
        <v>2723</v>
      </c>
      <c r="B2724" s="9" t="s">
        <v>9</v>
      </c>
      <c r="C2724" s="9">
        <v>1927</v>
      </c>
      <c r="D2724" s="10">
        <v>45729</v>
      </c>
      <c r="E2724" s="11" t="str">
        <f>+HYPERLINK("http://trademark.i-assist.jp/data/china/image_1927th/82648454.pdf","82648454")</f>
        <v>82648454</v>
      </c>
      <c r="F2724" s="12" t="s">
        <v>16</v>
      </c>
      <c r="G2724" s="9" t="s">
        <v>7486</v>
      </c>
      <c r="H2724" s="9" t="s">
        <v>7487</v>
      </c>
      <c r="I2724" s="10">
        <v>45645</v>
      </c>
    </row>
    <row r="2725" spans="1:9" x14ac:dyDescent="0.15">
      <c r="A2725" s="9">
        <v>2724</v>
      </c>
      <c r="B2725" s="9" t="s">
        <v>9</v>
      </c>
      <c r="C2725" s="9">
        <v>1927</v>
      </c>
      <c r="D2725" s="10">
        <v>45729</v>
      </c>
      <c r="E2725" s="11" t="str">
        <f>+HYPERLINK("http://trademark.i-assist.jp/data/china/image_1927th/82648487.pdf","82648487")</f>
        <v>82648487</v>
      </c>
      <c r="F2725" s="9" t="s">
        <v>7488</v>
      </c>
      <c r="G2725" s="9" t="s">
        <v>7489</v>
      </c>
      <c r="H2725" s="9" t="s">
        <v>7490</v>
      </c>
      <c r="I2725" s="10">
        <v>45645</v>
      </c>
    </row>
    <row r="2726" spans="1:9" x14ac:dyDescent="0.15">
      <c r="A2726" s="9">
        <v>2725</v>
      </c>
      <c r="B2726" s="9" t="s">
        <v>9</v>
      </c>
      <c r="C2726" s="9">
        <v>1927</v>
      </c>
      <c r="D2726" s="10">
        <v>45729</v>
      </c>
      <c r="E2726" s="11" t="str">
        <f>+HYPERLINK("http://trademark.i-assist.jp/data/china/image_1927th/82648639.pdf","82648639")</f>
        <v>82648639</v>
      </c>
      <c r="F2726" s="12" t="s">
        <v>16</v>
      </c>
      <c r="G2726" s="9" t="s">
        <v>1350</v>
      </c>
      <c r="H2726" s="9" t="s">
        <v>7491</v>
      </c>
      <c r="I2726" s="10">
        <v>45645</v>
      </c>
    </row>
    <row r="2727" spans="1:9" x14ac:dyDescent="0.15">
      <c r="A2727" s="9">
        <v>2726</v>
      </c>
      <c r="B2727" s="9" t="s">
        <v>9</v>
      </c>
      <c r="C2727" s="9">
        <v>1927</v>
      </c>
      <c r="D2727" s="10">
        <v>45729</v>
      </c>
      <c r="E2727" s="11" t="str">
        <f>+HYPERLINK("http://trademark.i-assist.jp/data/china/image_1927th/82648737.pdf","82648737")</f>
        <v>82648737</v>
      </c>
      <c r="F2727" s="9" t="s">
        <v>7492</v>
      </c>
      <c r="G2727" s="9" t="s">
        <v>241</v>
      </c>
      <c r="H2727" s="9" t="s">
        <v>7493</v>
      </c>
      <c r="I2727" s="10">
        <v>45645</v>
      </c>
    </row>
    <row r="2728" spans="1:9" x14ac:dyDescent="0.15">
      <c r="A2728" s="9">
        <v>2727</v>
      </c>
      <c r="B2728" s="9" t="s">
        <v>9</v>
      </c>
      <c r="C2728" s="9">
        <v>1927</v>
      </c>
      <c r="D2728" s="10">
        <v>45729</v>
      </c>
      <c r="E2728" s="11" t="str">
        <f>+HYPERLINK("http://trademark.i-assist.jp/data/china/image_1927th/82649188.pdf","82649188")</f>
        <v>82649188</v>
      </c>
      <c r="F2728" s="9" t="s">
        <v>7494</v>
      </c>
      <c r="G2728" s="9" t="s">
        <v>7457</v>
      </c>
      <c r="H2728" s="9" t="s">
        <v>7495</v>
      </c>
      <c r="I2728" s="10">
        <v>45645</v>
      </c>
    </row>
    <row r="2729" spans="1:9" x14ac:dyDescent="0.15">
      <c r="A2729" s="9">
        <v>2728</v>
      </c>
      <c r="B2729" s="9" t="s">
        <v>9</v>
      </c>
      <c r="C2729" s="9">
        <v>1927</v>
      </c>
      <c r="D2729" s="10">
        <v>45729</v>
      </c>
      <c r="E2729" s="11" t="str">
        <f>+HYPERLINK("http://trademark.i-assist.jp/data/china/image_1927th/82649490.pdf","82649490")</f>
        <v>82649490</v>
      </c>
      <c r="F2729" s="9" t="s">
        <v>7496</v>
      </c>
      <c r="G2729" s="9" t="s">
        <v>7497</v>
      </c>
      <c r="H2729" s="9" t="s">
        <v>7498</v>
      </c>
      <c r="I2729" s="10">
        <v>45645</v>
      </c>
    </row>
    <row r="2730" spans="1:9" x14ac:dyDescent="0.15">
      <c r="A2730" s="9">
        <v>2729</v>
      </c>
      <c r="B2730" s="9" t="s">
        <v>9</v>
      </c>
      <c r="C2730" s="9">
        <v>1927</v>
      </c>
      <c r="D2730" s="10">
        <v>45729</v>
      </c>
      <c r="E2730" s="11" t="str">
        <f>+HYPERLINK("http://trademark.i-assist.jp/data/china/image_1927th/82649654.pdf","82649654")</f>
        <v>82649654</v>
      </c>
      <c r="F2730" s="9" t="s">
        <v>7499</v>
      </c>
      <c r="G2730" s="9" t="s">
        <v>7500</v>
      </c>
      <c r="H2730" s="9" t="s">
        <v>7501</v>
      </c>
      <c r="I2730" s="10">
        <v>45645</v>
      </c>
    </row>
    <row r="2731" spans="1:9" x14ac:dyDescent="0.15">
      <c r="A2731" s="9">
        <v>2730</v>
      </c>
      <c r="B2731" s="9" t="s">
        <v>9</v>
      </c>
      <c r="C2731" s="9">
        <v>1927</v>
      </c>
      <c r="D2731" s="10">
        <v>45729</v>
      </c>
      <c r="E2731" s="11" t="str">
        <f>+HYPERLINK("http://trademark.i-assist.jp/data/china/image_1927th/82649788.pdf","82649788")</f>
        <v>82649788</v>
      </c>
      <c r="F2731" s="9" t="s">
        <v>7502</v>
      </c>
      <c r="G2731" s="9" t="s">
        <v>7503</v>
      </c>
      <c r="H2731" s="9" t="s">
        <v>7504</v>
      </c>
      <c r="I2731" s="10">
        <v>45645</v>
      </c>
    </row>
    <row r="2732" spans="1:9" x14ac:dyDescent="0.15">
      <c r="A2732" s="9">
        <v>2731</v>
      </c>
      <c r="B2732" s="9" t="s">
        <v>9</v>
      </c>
      <c r="C2732" s="9">
        <v>1927</v>
      </c>
      <c r="D2732" s="10">
        <v>45729</v>
      </c>
      <c r="E2732" s="11" t="str">
        <f>+HYPERLINK("http://trademark.i-assist.jp/data/china/image_1927th/82649948.pdf","82649948")</f>
        <v>82649948</v>
      </c>
      <c r="F2732" s="12" t="s">
        <v>16</v>
      </c>
      <c r="G2732" s="9" t="s">
        <v>7505</v>
      </c>
      <c r="H2732" s="9" t="s">
        <v>7506</v>
      </c>
      <c r="I2732" s="10">
        <v>45645</v>
      </c>
    </row>
    <row r="2733" spans="1:9" x14ac:dyDescent="0.15">
      <c r="A2733" s="9">
        <v>2732</v>
      </c>
      <c r="B2733" s="9" t="s">
        <v>9</v>
      </c>
      <c r="C2733" s="9">
        <v>1927</v>
      </c>
      <c r="D2733" s="10">
        <v>45729</v>
      </c>
      <c r="E2733" s="11" t="str">
        <f>+HYPERLINK("http://trademark.i-assist.jp/data/china/image_1927th/82650058.pdf","82650058")</f>
        <v>82650058</v>
      </c>
      <c r="F2733" s="12" t="s">
        <v>16</v>
      </c>
      <c r="G2733" s="9" t="s">
        <v>7486</v>
      </c>
      <c r="H2733" s="9" t="s">
        <v>7507</v>
      </c>
      <c r="I2733" s="10">
        <v>45645</v>
      </c>
    </row>
    <row r="2734" spans="1:9" x14ac:dyDescent="0.15">
      <c r="A2734" s="9">
        <v>2733</v>
      </c>
      <c r="B2734" s="9" t="s">
        <v>9</v>
      </c>
      <c r="C2734" s="9">
        <v>1927</v>
      </c>
      <c r="D2734" s="10">
        <v>45729</v>
      </c>
      <c r="E2734" s="11" t="str">
        <f>+HYPERLINK("http://trademark.i-assist.jp/data/china/image_1927th/82650365.pdf","82650365")</f>
        <v>82650365</v>
      </c>
      <c r="F2734" s="9" t="s">
        <v>7508</v>
      </c>
      <c r="G2734" s="12" t="s">
        <v>7352</v>
      </c>
      <c r="H2734" s="9" t="s">
        <v>7509</v>
      </c>
      <c r="I2734" s="10">
        <v>45645</v>
      </c>
    </row>
    <row r="2735" spans="1:9" x14ac:dyDescent="0.15">
      <c r="A2735" s="9">
        <v>2734</v>
      </c>
      <c r="B2735" s="9" t="s">
        <v>9</v>
      </c>
      <c r="C2735" s="9">
        <v>1927</v>
      </c>
      <c r="D2735" s="10">
        <v>45729</v>
      </c>
      <c r="E2735" s="11" t="str">
        <f>+HYPERLINK("http://trademark.i-assist.jp/data/china/image_1927th/82650370.pdf","82650370")</f>
        <v>82650370</v>
      </c>
      <c r="F2735" s="9" t="s">
        <v>7510</v>
      </c>
      <c r="G2735" s="9" t="s">
        <v>7511</v>
      </c>
      <c r="H2735" s="9" t="s">
        <v>7512</v>
      </c>
      <c r="I2735" s="10">
        <v>45645</v>
      </c>
    </row>
    <row r="2736" spans="1:9" x14ac:dyDescent="0.15">
      <c r="A2736" s="9">
        <v>2735</v>
      </c>
      <c r="B2736" s="9" t="s">
        <v>9</v>
      </c>
      <c r="C2736" s="9">
        <v>1927</v>
      </c>
      <c r="D2736" s="10">
        <v>45729</v>
      </c>
      <c r="E2736" s="11" t="str">
        <f>+HYPERLINK("http://trademark.i-assist.jp/data/china/image_1927th/82650591.pdf","82650591")</f>
        <v>82650591</v>
      </c>
      <c r="F2736" s="9" t="s">
        <v>7513</v>
      </c>
      <c r="G2736" s="9" t="s">
        <v>7514</v>
      </c>
      <c r="H2736" s="9" t="s">
        <v>7515</v>
      </c>
      <c r="I2736" s="10">
        <v>45645</v>
      </c>
    </row>
    <row r="2737" spans="1:9" x14ac:dyDescent="0.15">
      <c r="A2737" s="9">
        <v>2736</v>
      </c>
      <c r="B2737" s="9" t="s">
        <v>9</v>
      </c>
      <c r="C2737" s="9">
        <v>1927</v>
      </c>
      <c r="D2737" s="10">
        <v>45729</v>
      </c>
      <c r="E2737" s="11" t="str">
        <f>+HYPERLINK("http://trademark.i-assist.jp/data/china/image_1927th/82650933.pdf","82650933")</f>
        <v>82650933</v>
      </c>
      <c r="F2737" s="9" t="s">
        <v>7516</v>
      </c>
      <c r="G2737" s="9" t="s">
        <v>7517</v>
      </c>
      <c r="H2737" s="9" t="s">
        <v>7518</v>
      </c>
      <c r="I2737" s="10">
        <v>45645</v>
      </c>
    </row>
    <row r="2738" spans="1:9" x14ac:dyDescent="0.15">
      <c r="A2738" s="9">
        <v>2737</v>
      </c>
      <c r="B2738" s="9" t="s">
        <v>9</v>
      </c>
      <c r="C2738" s="9">
        <v>1927</v>
      </c>
      <c r="D2738" s="10">
        <v>45729</v>
      </c>
      <c r="E2738" s="11" t="str">
        <f>+HYPERLINK("http://trademark.i-assist.jp/data/china/image_1927th/82651186.pdf","82651186")</f>
        <v>82651186</v>
      </c>
      <c r="F2738" s="12" t="s">
        <v>7519</v>
      </c>
      <c r="G2738" s="9" t="s">
        <v>7520</v>
      </c>
      <c r="H2738" s="9" t="s">
        <v>7521</v>
      </c>
      <c r="I2738" s="10">
        <v>45645</v>
      </c>
    </row>
    <row r="2739" spans="1:9" x14ac:dyDescent="0.15">
      <c r="A2739" s="9">
        <v>2738</v>
      </c>
      <c r="B2739" s="9" t="s">
        <v>9</v>
      </c>
      <c r="C2739" s="9">
        <v>1927</v>
      </c>
      <c r="D2739" s="10">
        <v>45729</v>
      </c>
      <c r="E2739" s="11" t="str">
        <f>+HYPERLINK("http://trademark.i-assist.jp/data/china/image_1927th/82651335.pdf","82651335")</f>
        <v>82651335</v>
      </c>
      <c r="F2739" s="9" t="s">
        <v>7522</v>
      </c>
      <c r="G2739" s="9" t="s">
        <v>7523</v>
      </c>
      <c r="H2739" s="9" t="s">
        <v>7524</v>
      </c>
      <c r="I2739" s="10">
        <v>45645</v>
      </c>
    </row>
    <row r="2740" spans="1:9" x14ac:dyDescent="0.15">
      <c r="A2740" s="9">
        <v>2739</v>
      </c>
      <c r="B2740" s="9" t="s">
        <v>9</v>
      </c>
      <c r="C2740" s="9">
        <v>1927</v>
      </c>
      <c r="D2740" s="10">
        <v>45729</v>
      </c>
      <c r="E2740" s="11" t="str">
        <f>+HYPERLINK("http://trademark.i-assist.jp/data/china/image_1927th/82651353.pdf","82651353")</f>
        <v>82651353</v>
      </c>
      <c r="F2740" s="9" t="s">
        <v>7525</v>
      </c>
      <c r="G2740" s="9" t="s">
        <v>7526</v>
      </c>
      <c r="H2740" s="9" t="s">
        <v>7527</v>
      </c>
      <c r="I2740" s="10">
        <v>45645</v>
      </c>
    </row>
    <row r="2741" spans="1:9" x14ac:dyDescent="0.15">
      <c r="A2741" s="9">
        <v>2740</v>
      </c>
      <c r="B2741" s="9" t="s">
        <v>9</v>
      </c>
      <c r="C2741" s="9">
        <v>1927</v>
      </c>
      <c r="D2741" s="10">
        <v>45729</v>
      </c>
      <c r="E2741" s="11" t="str">
        <f>+HYPERLINK("http://trademark.i-assist.jp/data/china/image_1927th/82651359.pdf","82651359")</f>
        <v>82651359</v>
      </c>
      <c r="F2741" s="9" t="s">
        <v>7528</v>
      </c>
      <c r="G2741" s="9" t="s">
        <v>7526</v>
      </c>
      <c r="H2741" s="9" t="s">
        <v>7529</v>
      </c>
      <c r="I2741" s="10">
        <v>45645</v>
      </c>
    </row>
    <row r="2742" spans="1:9" x14ac:dyDescent="0.15">
      <c r="A2742" s="9">
        <v>2741</v>
      </c>
      <c r="B2742" s="9" t="s">
        <v>9</v>
      </c>
      <c r="C2742" s="9">
        <v>1927</v>
      </c>
      <c r="D2742" s="10">
        <v>45729</v>
      </c>
      <c r="E2742" s="11" t="str">
        <f>+HYPERLINK("http://trademark.i-assist.jp/data/china/image_1927th/82651559.pdf","82651559")</f>
        <v>82651559</v>
      </c>
      <c r="F2742" s="9" t="s">
        <v>7530</v>
      </c>
      <c r="G2742" s="9" t="s">
        <v>7531</v>
      </c>
      <c r="H2742" s="9" t="s">
        <v>7532</v>
      </c>
      <c r="I2742" s="10">
        <v>45645</v>
      </c>
    </row>
    <row r="2743" spans="1:9" x14ac:dyDescent="0.15">
      <c r="A2743" s="9">
        <v>2742</v>
      </c>
      <c r="B2743" s="9" t="s">
        <v>9</v>
      </c>
      <c r="C2743" s="9">
        <v>1927</v>
      </c>
      <c r="D2743" s="10">
        <v>45729</v>
      </c>
      <c r="E2743" s="11" t="str">
        <f>+HYPERLINK("http://trademark.i-assist.jp/data/china/image_1927th/82651598.pdf","82651598")</f>
        <v>82651598</v>
      </c>
      <c r="F2743" s="12" t="s">
        <v>7533</v>
      </c>
      <c r="G2743" s="9" t="s">
        <v>7534</v>
      </c>
      <c r="H2743" s="9" t="s">
        <v>7535</v>
      </c>
      <c r="I2743" s="10">
        <v>45645</v>
      </c>
    </row>
    <row r="2744" spans="1:9" x14ac:dyDescent="0.15">
      <c r="A2744" s="9">
        <v>2743</v>
      </c>
      <c r="B2744" s="9" t="s">
        <v>9</v>
      </c>
      <c r="C2744" s="9">
        <v>1927</v>
      </c>
      <c r="D2744" s="10">
        <v>45729</v>
      </c>
      <c r="E2744" s="11" t="str">
        <f>+HYPERLINK("http://trademark.i-assist.jp/data/china/image_1927th/82651839.pdf","82651839")</f>
        <v>82651839</v>
      </c>
      <c r="F2744" s="12" t="s">
        <v>7536</v>
      </c>
      <c r="G2744" s="9" t="s">
        <v>7537</v>
      </c>
      <c r="H2744" s="9" t="s">
        <v>7538</v>
      </c>
      <c r="I2744" s="10">
        <v>45645</v>
      </c>
    </row>
    <row r="2745" spans="1:9" x14ac:dyDescent="0.15">
      <c r="A2745" s="9">
        <v>2744</v>
      </c>
      <c r="B2745" s="9" t="s">
        <v>9</v>
      </c>
      <c r="C2745" s="9">
        <v>1927</v>
      </c>
      <c r="D2745" s="10">
        <v>45729</v>
      </c>
      <c r="E2745" s="11" t="str">
        <f>+HYPERLINK("http://trademark.i-assist.jp/data/china/image_1927th/82651911.pdf","82651911")</f>
        <v>82651911</v>
      </c>
      <c r="F2745" s="12" t="s">
        <v>7539</v>
      </c>
      <c r="G2745" s="9" t="s">
        <v>7540</v>
      </c>
      <c r="H2745" s="9" t="s">
        <v>7541</v>
      </c>
      <c r="I2745" s="10">
        <v>45645</v>
      </c>
    </row>
    <row r="2746" spans="1:9" x14ac:dyDescent="0.15">
      <c r="A2746" s="9">
        <v>2745</v>
      </c>
      <c r="B2746" s="9" t="s">
        <v>9</v>
      </c>
      <c r="C2746" s="9">
        <v>1927</v>
      </c>
      <c r="D2746" s="10">
        <v>45729</v>
      </c>
      <c r="E2746" s="11" t="str">
        <f>+HYPERLINK("http://trademark.i-assist.jp/data/china/image_1927th/82652345.pdf","82652345")</f>
        <v>82652345</v>
      </c>
      <c r="F2746" s="9" t="s">
        <v>7542</v>
      </c>
      <c r="G2746" s="12" t="s">
        <v>7543</v>
      </c>
      <c r="H2746" s="9" t="s">
        <v>7544</v>
      </c>
      <c r="I2746" s="10">
        <v>45645</v>
      </c>
    </row>
    <row r="2747" spans="1:9" x14ac:dyDescent="0.15">
      <c r="A2747" s="9">
        <v>2746</v>
      </c>
      <c r="B2747" s="9" t="s">
        <v>9</v>
      </c>
      <c r="C2747" s="9">
        <v>1927</v>
      </c>
      <c r="D2747" s="10">
        <v>45729</v>
      </c>
      <c r="E2747" s="11" t="str">
        <f>+HYPERLINK("http://trademark.i-assist.jp/data/china/image_1927th/82652630.pdf","82652630")</f>
        <v>82652630</v>
      </c>
      <c r="F2747" s="9" t="s">
        <v>7545</v>
      </c>
      <c r="G2747" s="9" t="s">
        <v>7415</v>
      </c>
      <c r="H2747" s="9" t="s">
        <v>7546</v>
      </c>
      <c r="I2747" s="10">
        <v>45645</v>
      </c>
    </row>
    <row r="2748" spans="1:9" x14ac:dyDescent="0.15">
      <c r="A2748" s="9">
        <v>2747</v>
      </c>
      <c r="B2748" s="9" t="s">
        <v>9</v>
      </c>
      <c r="C2748" s="9">
        <v>1927</v>
      </c>
      <c r="D2748" s="10">
        <v>45729</v>
      </c>
      <c r="E2748" s="11" t="str">
        <f>+HYPERLINK("http://trademark.i-assist.jp/data/china/image_1927th/82652661.pdf","82652661")</f>
        <v>82652661</v>
      </c>
      <c r="F2748" s="9" t="s">
        <v>7547</v>
      </c>
      <c r="G2748" s="9" t="s">
        <v>7548</v>
      </c>
      <c r="H2748" s="9" t="s">
        <v>7549</v>
      </c>
      <c r="I2748" s="10">
        <v>45645</v>
      </c>
    </row>
    <row r="2749" spans="1:9" x14ac:dyDescent="0.15">
      <c r="A2749" s="9">
        <v>2748</v>
      </c>
      <c r="B2749" s="9" t="s">
        <v>9</v>
      </c>
      <c r="C2749" s="9">
        <v>1927</v>
      </c>
      <c r="D2749" s="10">
        <v>45729</v>
      </c>
      <c r="E2749" s="11" t="str">
        <f>+HYPERLINK("http://trademark.i-assist.jp/data/china/image_1927th/82653020.pdf","82653020")</f>
        <v>82653020</v>
      </c>
      <c r="F2749" s="9" t="s">
        <v>7550</v>
      </c>
      <c r="G2749" s="9" t="s">
        <v>7551</v>
      </c>
      <c r="H2749" s="9" t="s">
        <v>7552</v>
      </c>
      <c r="I2749" s="10">
        <v>45645</v>
      </c>
    </row>
    <row r="2750" spans="1:9" x14ac:dyDescent="0.15">
      <c r="A2750" s="9">
        <v>2749</v>
      </c>
      <c r="B2750" s="9" t="s">
        <v>9</v>
      </c>
      <c r="C2750" s="9">
        <v>1927</v>
      </c>
      <c r="D2750" s="10">
        <v>45729</v>
      </c>
      <c r="E2750" s="11" t="str">
        <f>+HYPERLINK("http://trademark.i-assist.jp/data/china/image_1927th/82653061.pdf","82653061")</f>
        <v>82653061</v>
      </c>
      <c r="F2750" s="12" t="s">
        <v>7553</v>
      </c>
      <c r="G2750" s="9" t="s">
        <v>7554</v>
      </c>
      <c r="H2750" s="9" t="s">
        <v>7555</v>
      </c>
      <c r="I2750" s="10">
        <v>45645</v>
      </c>
    </row>
    <row r="2751" spans="1:9" x14ac:dyDescent="0.15">
      <c r="A2751" s="9">
        <v>2750</v>
      </c>
      <c r="B2751" s="9" t="s">
        <v>9</v>
      </c>
      <c r="C2751" s="9">
        <v>1927</v>
      </c>
      <c r="D2751" s="10">
        <v>45729</v>
      </c>
      <c r="E2751" s="11" t="str">
        <f>+HYPERLINK("http://trademark.i-assist.jp/data/china/image_1927th/82653759.pdf","82653759")</f>
        <v>82653759</v>
      </c>
      <c r="F2751" s="9" t="s">
        <v>7556</v>
      </c>
      <c r="G2751" s="9" t="s">
        <v>7421</v>
      </c>
      <c r="H2751" s="9" t="s">
        <v>7557</v>
      </c>
      <c r="I2751" s="10">
        <v>45645</v>
      </c>
    </row>
    <row r="2752" spans="1:9" x14ac:dyDescent="0.15">
      <c r="A2752" s="9">
        <v>2751</v>
      </c>
      <c r="B2752" s="9" t="s">
        <v>9</v>
      </c>
      <c r="C2752" s="9">
        <v>1927</v>
      </c>
      <c r="D2752" s="10">
        <v>45729</v>
      </c>
      <c r="E2752" s="11" t="str">
        <f>+HYPERLINK("http://trademark.i-assist.jp/data/china/image_1927th/82653831.pdf","82653831")</f>
        <v>82653831</v>
      </c>
      <c r="F2752" s="9" t="s">
        <v>7558</v>
      </c>
      <c r="G2752" s="9" t="s">
        <v>7415</v>
      </c>
      <c r="H2752" s="9" t="s">
        <v>7559</v>
      </c>
      <c r="I2752" s="10">
        <v>45645</v>
      </c>
    </row>
    <row r="2753" spans="1:9" x14ac:dyDescent="0.15">
      <c r="A2753" s="9">
        <v>2752</v>
      </c>
      <c r="B2753" s="9" t="s">
        <v>9</v>
      </c>
      <c r="C2753" s="9">
        <v>1927</v>
      </c>
      <c r="D2753" s="10">
        <v>45729</v>
      </c>
      <c r="E2753" s="11" t="str">
        <f>+HYPERLINK("http://trademark.i-assist.jp/data/china/image_1927th/82653882.pdf","82653882")</f>
        <v>82653882</v>
      </c>
      <c r="F2753" s="9" t="s">
        <v>7560</v>
      </c>
      <c r="G2753" s="9" t="s">
        <v>7415</v>
      </c>
      <c r="H2753" s="9" t="s">
        <v>7561</v>
      </c>
      <c r="I2753" s="10">
        <v>45645</v>
      </c>
    </row>
    <row r="2754" spans="1:9" x14ac:dyDescent="0.15">
      <c r="A2754" s="9">
        <v>2753</v>
      </c>
      <c r="B2754" s="9" t="s">
        <v>9</v>
      </c>
      <c r="C2754" s="9">
        <v>1927</v>
      </c>
      <c r="D2754" s="10">
        <v>45729</v>
      </c>
      <c r="E2754" s="11" t="str">
        <f>+HYPERLINK("http://trademark.i-assist.jp/data/china/image_1927th/82653995.pdf","82653995")</f>
        <v>82653995</v>
      </c>
      <c r="F2754" s="9" t="s">
        <v>7562</v>
      </c>
      <c r="G2754" s="9" t="s">
        <v>7334</v>
      </c>
      <c r="H2754" s="9" t="s">
        <v>7563</v>
      </c>
      <c r="I2754" s="10">
        <v>45645</v>
      </c>
    </row>
    <row r="2755" spans="1:9" x14ac:dyDescent="0.15">
      <c r="A2755" s="9">
        <v>2754</v>
      </c>
      <c r="B2755" s="9" t="s">
        <v>9</v>
      </c>
      <c r="C2755" s="9">
        <v>1927</v>
      </c>
      <c r="D2755" s="10">
        <v>45729</v>
      </c>
      <c r="E2755" s="11" t="str">
        <f>+HYPERLINK("http://trademark.i-assist.jp/data/china/image_1927th/82654524.pdf","82654524")</f>
        <v>82654524</v>
      </c>
      <c r="F2755" s="9" t="s">
        <v>7564</v>
      </c>
      <c r="G2755" s="9" t="s">
        <v>7565</v>
      </c>
      <c r="H2755" s="9" t="s">
        <v>7566</v>
      </c>
      <c r="I2755" s="10">
        <v>45645</v>
      </c>
    </row>
    <row r="2756" spans="1:9" x14ac:dyDescent="0.15">
      <c r="A2756" s="9">
        <v>2755</v>
      </c>
      <c r="B2756" s="9" t="s">
        <v>9</v>
      </c>
      <c r="C2756" s="9">
        <v>1927</v>
      </c>
      <c r="D2756" s="10">
        <v>45729</v>
      </c>
      <c r="E2756" s="11" t="str">
        <f>+HYPERLINK("http://trademark.i-assist.jp/data/china/image_1927th/82654599.pdf","82654599")</f>
        <v>82654599</v>
      </c>
      <c r="F2756" s="9" t="s">
        <v>7567</v>
      </c>
      <c r="G2756" s="9" t="s">
        <v>7568</v>
      </c>
      <c r="H2756" s="9" t="s">
        <v>7569</v>
      </c>
      <c r="I2756" s="10">
        <v>45645</v>
      </c>
    </row>
    <row r="2757" spans="1:9" x14ac:dyDescent="0.15">
      <c r="A2757" s="9">
        <v>2756</v>
      </c>
      <c r="B2757" s="9" t="s">
        <v>9</v>
      </c>
      <c r="C2757" s="9">
        <v>1927</v>
      </c>
      <c r="D2757" s="10">
        <v>45729</v>
      </c>
      <c r="E2757" s="11" t="str">
        <f>+HYPERLINK("http://trademark.i-assist.jp/data/china/image_1927th/82654656.pdf","82654656")</f>
        <v>82654656</v>
      </c>
      <c r="F2757" s="9" t="s">
        <v>7570</v>
      </c>
      <c r="G2757" s="9" t="s">
        <v>7571</v>
      </c>
      <c r="H2757" s="12" t="s">
        <v>7572</v>
      </c>
      <c r="I2757" s="10">
        <v>45645</v>
      </c>
    </row>
    <row r="2758" spans="1:9" x14ac:dyDescent="0.15">
      <c r="A2758" s="9">
        <v>2757</v>
      </c>
      <c r="B2758" s="9" t="s">
        <v>9</v>
      </c>
      <c r="C2758" s="9">
        <v>1927</v>
      </c>
      <c r="D2758" s="10">
        <v>45729</v>
      </c>
      <c r="E2758" s="11" t="str">
        <f>+HYPERLINK("http://trademark.i-assist.jp/data/china/image_1927th/82654814.pdf","82654814")</f>
        <v>82654814</v>
      </c>
      <c r="F2758" s="9" t="s">
        <v>7573</v>
      </c>
      <c r="G2758" s="9" t="s">
        <v>7574</v>
      </c>
      <c r="H2758" s="12" t="s">
        <v>7575</v>
      </c>
      <c r="I2758" s="10">
        <v>45645</v>
      </c>
    </row>
    <row r="2759" spans="1:9" x14ac:dyDescent="0.15">
      <c r="A2759" s="9">
        <v>2758</v>
      </c>
      <c r="B2759" s="9" t="s">
        <v>9</v>
      </c>
      <c r="C2759" s="9">
        <v>1927</v>
      </c>
      <c r="D2759" s="10">
        <v>45729</v>
      </c>
      <c r="E2759" s="11" t="str">
        <f>+HYPERLINK("http://trademark.i-assist.jp/data/china/image_1927th/82654882.pdf","82654882")</f>
        <v>82654882</v>
      </c>
      <c r="F2759" s="12" t="s">
        <v>16</v>
      </c>
      <c r="G2759" s="9" t="s">
        <v>7486</v>
      </c>
      <c r="H2759" s="9" t="s">
        <v>7576</v>
      </c>
      <c r="I2759" s="10">
        <v>45645</v>
      </c>
    </row>
    <row r="2760" spans="1:9" x14ac:dyDescent="0.15">
      <c r="A2760" s="9">
        <v>2759</v>
      </c>
      <c r="B2760" s="9" t="s">
        <v>9</v>
      </c>
      <c r="C2760" s="9">
        <v>1927</v>
      </c>
      <c r="D2760" s="10">
        <v>45729</v>
      </c>
      <c r="E2760" s="11" t="str">
        <f>+HYPERLINK("http://trademark.i-assist.jp/data/china/image_1927th/82654958.pdf","82654958")</f>
        <v>82654958</v>
      </c>
      <c r="F2760" s="9" t="s">
        <v>7577</v>
      </c>
      <c r="G2760" s="12" t="s">
        <v>7578</v>
      </c>
      <c r="H2760" s="9" t="s">
        <v>7579</v>
      </c>
      <c r="I2760" s="10">
        <v>45645</v>
      </c>
    </row>
    <row r="2761" spans="1:9" x14ac:dyDescent="0.15">
      <c r="A2761" s="9">
        <v>2760</v>
      </c>
      <c r="B2761" s="9" t="s">
        <v>9</v>
      </c>
      <c r="C2761" s="9">
        <v>1927</v>
      </c>
      <c r="D2761" s="10">
        <v>45729</v>
      </c>
      <c r="E2761" s="11" t="str">
        <f>+HYPERLINK("http://trademark.i-assist.jp/data/china/image_1927th/82655328.pdf","82655328")</f>
        <v>82655328</v>
      </c>
      <c r="F2761" s="9" t="s">
        <v>7580</v>
      </c>
      <c r="G2761" s="12" t="s">
        <v>7581</v>
      </c>
      <c r="H2761" s="9" t="s">
        <v>7582</v>
      </c>
      <c r="I2761" s="10">
        <v>45645</v>
      </c>
    </row>
    <row r="2762" spans="1:9" x14ac:dyDescent="0.15">
      <c r="A2762" s="9">
        <v>2761</v>
      </c>
      <c r="B2762" s="9" t="s">
        <v>9</v>
      </c>
      <c r="C2762" s="9">
        <v>1927</v>
      </c>
      <c r="D2762" s="10">
        <v>45729</v>
      </c>
      <c r="E2762" s="11" t="str">
        <f>+HYPERLINK("http://trademark.i-assist.jp/data/china/image_1927th/82655379.pdf","82655379")</f>
        <v>82655379</v>
      </c>
      <c r="F2762" s="9" t="s">
        <v>7583</v>
      </c>
      <c r="G2762" s="12" t="s">
        <v>7584</v>
      </c>
      <c r="H2762" s="9" t="s">
        <v>7585</v>
      </c>
      <c r="I2762" s="10">
        <v>45645</v>
      </c>
    </row>
    <row r="2763" spans="1:9" x14ac:dyDescent="0.15">
      <c r="A2763" s="9">
        <v>2762</v>
      </c>
      <c r="B2763" s="9" t="s">
        <v>9</v>
      </c>
      <c r="C2763" s="9">
        <v>1927</v>
      </c>
      <c r="D2763" s="10">
        <v>45729</v>
      </c>
      <c r="E2763" s="11" t="str">
        <f>+HYPERLINK("http://trademark.i-assist.jp/data/china/image_1927th/82655765.pdf","82655765")</f>
        <v>82655765</v>
      </c>
      <c r="F2763" s="9" t="s">
        <v>7586</v>
      </c>
      <c r="G2763" s="9" t="s">
        <v>7587</v>
      </c>
      <c r="H2763" s="12" t="s">
        <v>7588</v>
      </c>
      <c r="I2763" s="10">
        <v>45645</v>
      </c>
    </row>
    <row r="2764" spans="1:9" x14ac:dyDescent="0.15">
      <c r="A2764" s="9">
        <v>2763</v>
      </c>
      <c r="B2764" s="9" t="s">
        <v>9</v>
      </c>
      <c r="C2764" s="9">
        <v>1927</v>
      </c>
      <c r="D2764" s="10">
        <v>45729</v>
      </c>
      <c r="E2764" s="11" t="str">
        <f>+HYPERLINK("http://trademark.i-assist.jp/data/china/image_1927th/82655916.pdf","82655916")</f>
        <v>82655916</v>
      </c>
      <c r="F2764" s="9" t="s">
        <v>7589</v>
      </c>
      <c r="G2764" s="9" t="s">
        <v>7590</v>
      </c>
      <c r="H2764" s="9" t="s">
        <v>7591</v>
      </c>
      <c r="I2764" s="10">
        <v>45645</v>
      </c>
    </row>
    <row r="2765" spans="1:9" x14ac:dyDescent="0.15">
      <c r="A2765" s="9">
        <v>2764</v>
      </c>
      <c r="B2765" s="9" t="s">
        <v>9</v>
      </c>
      <c r="C2765" s="9">
        <v>1927</v>
      </c>
      <c r="D2765" s="10">
        <v>45729</v>
      </c>
      <c r="E2765" s="11" t="str">
        <f>+HYPERLINK("http://trademark.i-assist.jp/data/china/image_1927th/82656186.pdf","82656186")</f>
        <v>82656186</v>
      </c>
      <c r="F2765" s="9" t="s">
        <v>7592</v>
      </c>
      <c r="G2765" s="9" t="s">
        <v>7593</v>
      </c>
      <c r="H2765" s="9" t="s">
        <v>7594</v>
      </c>
      <c r="I2765" s="10">
        <v>45645</v>
      </c>
    </row>
    <row r="2766" spans="1:9" x14ac:dyDescent="0.15">
      <c r="A2766" s="9">
        <v>2765</v>
      </c>
      <c r="B2766" s="9" t="s">
        <v>9</v>
      </c>
      <c r="C2766" s="9">
        <v>1927</v>
      </c>
      <c r="D2766" s="10">
        <v>45729</v>
      </c>
      <c r="E2766" s="11" t="str">
        <f>+HYPERLINK("http://trademark.i-assist.jp/data/china/image_1927th/82656439.pdf","82656439")</f>
        <v>82656439</v>
      </c>
      <c r="F2766" s="9" t="s">
        <v>7595</v>
      </c>
      <c r="G2766" s="12" t="s">
        <v>7596</v>
      </c>
      <c r="H2766" s="9" t="s">
        <v>7597</v>
      </c>
      <c r="I2766" s="10">
        <v>45645</v>
      </c>
    </row>
    <row r="2767" spans="1:9" x14ac:dyDescent="0.15">
      <c r="A2767" s="9">
        <v>2766</v>
      </c>
      <c r="B2767" s="9" t="s">
        <v>9</v>
      </c>
      <c r="C2767" s="9">
        <v>1927</v>
      </c>
      <c r="D2767" s="10">
        <v>45729</v>
      </c>
      <c r="E2767" s="11" t="str">
        <f>+HYPERLINK("http://trademark.i-assist.jp/data/china/image_1927th/82656691.pdf","82656691")</f>
        <v>82656691</v>
      </c>
      <c r="F2767" s="9" t="s">
        <v>7598</v>
      </c>
      <c r="G2767" s="9" t="s">
        <v>7599</v>
      </c>
      <c r="H2767" s="9" t="s">
        <v>7600</v>
      </c>
      <c r="I2767" s="10">
        <v>45645</v>
      </c>
    </row>
    <row r="2768" spans="1:9" x14ac:dyDescent="0.15">
      <c r="A2768" s="9">
        <v>2767</v>
      </c>
      <c r="B2768" s="9" t="s">
        <v>9</v>
      </c>
      <c r="C2768" s="9">
        <v>1927</v>
      </c>
      <c r="D2768" s="10">
        <v>45729</v>
      </c>
      <c r="E2768" s="11" t="str">
        <f>+HYPERLINK("http://trademark.i-assist.jp/data/china/image_1927th/82656694.pdf","82656694")</f>
        <v>82656694</v>
      </c>
      <c r="F2768" s="9" t="s">
        <v>7601</v>
      </c>
      <c r="G2768" s="9" t="s">
        <v>7602</v>
      </c>
      <c r="H2768" s="9" t="s">
        <v>7603</v>
      </c>
      <c r="I2768" s="10">
        <v>45645</v>
      </c>
    </row>
    <row r="2769" spans="1:9" x14ac:dyDescent="0.15">
      <c r="A2769" s="9">
        <v>2768</v>
      </c>
      <c r="B2769" s="9" t="s">
        <v>9</v>
      </c>
      <c r="C2769" s="9">
        <v>1927</v>
      </c>
      <c r="D2769" s="10">
        <v>45729</v>
      </c>
      <c r="E2769" s="11" t="str">
        <f>+HYPERLINK("http://trademark.i-assist.jp/data/china/image_1927th/82656755.pdf","82656755")</f>
        <v>82656755</v>
      </c>
      <c r="F2769" s="9" t="s">
        <v>7604</v>
      </c>
      <c r="G2769" s="9" t="s">
        <v>7605</v>
      </c>
      <c r="H2769" s="12" t="s">
        <v>7606</v>
      </c>
      <c r="I2769" s="10">
        <v>45645</v>
      </c>
    </row>
    <row r="2770" spans="1:9" x14ac:dyDescent="0.15">
      <c r="A2770" s="9">
        <v>2769</v>
      </c>
      <c r="B2770" s="9" t="s">
        <v>9</v>
      </c>
      <c r="C2770" s="9">
        <v>1927</v>
      </c>
      <c r="D2770" s="10">
        <v>45729</v>
      </c>
      <c r="E2770" s="11" t="str">
        <f>+HYPERLINK("http://trademark.i-assist.jp/data/china/image_1927th/82656838.pdf","82656838")</f>
        <v>82656838</v>
      </c>
      <c r="F2770" s="9" t="s">
        <v>7607</v>
      </c>
      <c r="G2770" s="12" t="s">
        <v>7608</v>
      </c>
      <c r="H2770" s="9" t="s">
        <v>7609</v>
      </c>
      <c r="I2770" s="10">
        <v>45645</v>
      </c>
    </row>
    <row r="2771" spans="1:9" x14ac:dyDescent="0.15">
      <c r="A2771" s="9">
        <v>2770</v>
      </c>
      <c r="B2771" s="9" t="s">
        <v>9</v>
      </c>
      <c r="C2771" s="9">
        <v>1927</v>
      </c>
      <c r="D2771" s="10">
        <v>45729</v>
      </c>
      <c r="E2771" s="11" t="str">
        <f>+HYPERLINK("http://trademark.i-assist.jp/data/china/image_1927th/82656853.pdf","82656853")</f>
        <v>82656853</v>
      </c>
      <c r="F2771" s="9" t="s">
        <v>7610</v>
      </c>
      <c r="G2771" s="9" t="s">
        <v>7611</v>
      </c>
      <c r="H2771" s="9" t="s">
        <v>7612</v>
      </c>
      <c r="I2771" s="10">
        <v>45645</v>
      </c>
    </row>
    <row r="2772" spans="1:9" x14ac:dyDescent="0.15">
      <c r="A2772" s="9">
        <v>2771</v>
      </c>
      <c r="B2772" s="9" t="s">
        <v>9</v>
      </c>
      <c r="C2772" s="9">
        <v>1927</v>
      </c>
      <c r="D2772" s="10">
        <v>45729</v>
      </c>
      <c r="E2772" s="11" t="str">
        <f>+HYPERLINK("http://trademark.i-assist.jp/data/china/image_1927th/82656981.pdf","82656981")</f>
        <v>82656981</v>
      </c>
      <c r="F2772" s="12" t="s">
        <v>7613</v>
      </c>
      <c r="G2772" s="9" t="s">
        <v>7503</v>
      </c>
      <c r="H2772" s="12" t="s">
        <v>7614</v>
      </c>
      <c r="I2772" s="10">
        <v>45645</v>
      </c>
    </row>
    <row r="2773" spans="1:9" x14ac:dyDescent="0.15">
      <c r="A2773" s="9">
        <v>2772</v>
      </c>
      <c r="B2773" s="9" t="s">
        <v>9</v>
      </c>
      <c r="C2773" s="9">
        <v>1927</v>
      </c>
      <c r="D2773" s="10">
        <v>45729</v>
      </c>
      <c r="E2773" s="11" t="str">
        <f>+HYPERLINK("http://trademark.i-assist.jp/data/china/image_1927th/82657570.pdf","82657570")</f>
        <v>82657570</v>
      </c>
      <c r="F2773" s="12" t="s">
        <v>7615</v>
      </c>
      <c r="G2773" s="9" t="s">
        <v>7616</v>
      </c>
      <c r="H2773" s="9" t="s">
        <v>7617</v>
      </c>
      <c r="I2773" s="10">
        <v>45645</v>
      </c>
    </row>
    <row r="2774" spans="1:9" x14ac:dyDescent="0.15">
      <c r="A2774" s="9">
        <v>2773</v>
      </c>
      <c r="B2774" s="9" t="s">
        <v>9</v>
      </c>
      <c r="C2774" s="9">
        <v>1927</v>
      </c>
      <c r="D2774" s="10">
        <v>45729</v>
      </c>
      <c r="E2774" s="11" t="str">
        <f>+HYPERLINK("http://trademark.i-assist.jp/data/china/image_1927th/82657669.pdf","82657669")</f>
        <v>82657669</v>
      </c>
      <c r="F2774" s="12" t="s">
        <v>7618</v>
      </c>
      <c r="G2774" s="12" t="s">
        <v>7619</v>
      </c>
      <c r="H2774" s="9" t="s">
        <v>7620</v>
      </c>
      <c r="I2774" s="10">
        <v>45645</v>
      </c>
    </row>
    <row r="2775" spans="1:9" x14ac:dyDescent="0.15">
      <c r="A2775" s="9">
        <v>2774</v>
      </c>
      <c r="B2775" s="9" t="s">
        <v>9</v>
      </c>
      <c r="C2775" s="9">
        <v>1927</v>
      </c>
      <c r="D2775" s="10">
        <v>45729</v>
      </c>
      <c r="E2775" s="11" t="str">
        <f>+HYPERLINK("http://trademark.i-assist.jp/data/china/image_1927th/82657879.pdf","82657879")</f>
        <v>82657879</v>
      </c>
      <c r="F2775" s="9" t="s">
        <v>7621</v>
      </c>
      <c r="G2775" s="9" t="s">
        <v>7415</v>
      </c>
      <c r="H2775" s="9" t="s">
        <v>7622</v>
      </c>
      <c r="I2775" s="10">
        <v>45645</v>
      </c>
    </row>
    <row r="2776" spans="1:9" x14ac:dyDescent="0.15">
      <c r="A2776" s="9">
        <v>2775</v>
      </c>
      <c r="B2776" s="9" t="s">
        <v>9</v>
      </c>
      <c r="C2776" s="9">
        <v>1927</v>
      </c>
      <c r="D2776" s="10">
        <v>45729</v>
      </c>
      <c r="E2776" s="11" t="str">
        <f>+HYPERLINK("http://trademark.i-assist.jp/data/china/image_1927th/82657974.pdf","82657974")</f>
        <v>82657974</v>
      </c>
      <c r="F2776" s="9" t="s">
        <v>7623</v>
      </c>
      <c r="G2776" s="9" t="s">
        <v>5844</v>
      </c>
      <c r="H2776" s="9" t="s">
        <v>7624</v>
      </c>
      <c r="I2776" s="10">
        <v>45645</v>
      </c>
    </row>
    <row r="2777" spans="1:9" x14ac:dyDescent="0.15">
      <c r="A2777" s="9">
        <v>2776</v>
      </c>
      <c r="B2777" s="9" t="s">
        <v>9</v>
      </c>
      <c r="C2777" s="9">
        <v>1927</v>
      </c>
      <c r="D2777" s="10">
        <v>45729</v>
      </c>
      <c r="E2777" s="11" t="str">
        <f>+HYPERLINK("http://trademark.i-assist.jp/data/china/image_1927th/82658153.pdf","82658153")</f>
        <v>82658153</v>
      </c>
      <c r="F2777" s="12" t="s">
        <v>16</v>
      </c>
      <c r="G2777" s="9" t="s">
        <v>51</v>
      </c>
      <c r="H2777" s="9" t="s">
        <v>7625</v>
      </c>
      <c r="I2777" s="10">
        <v>45645</v>
      </c>
    </row>
    <row r="2778" spans="1:9" x14ac:dyDescent="0.15">
      <c r="A2778" s="9">
        <v>2777</v>
      </c>
      <c r="B2778" s="9" t="s">
        <v>9</v>
      </c>
      <c r="C2778" s="9">
        <v>1927</v>
      </c>
      <c r="D2778" s="10">
        <v>45729</v>
      </c>
      <c r="E2778" s="11" t="str">
        <f>+HYPERLINK("http://trademark.i-assist.jp/data/china/image_1927th/82658288.pdf","82658288")</f>
        <v>82658288</v>
      </c>
      <c r="F2778" s="12" t="s">
        <v>7626</v>
      </c>
      <c r="G2778" s="9" t="s">
        <v>7627</v>
      </c>
      <c r="H2778" s="9" t="s">
        <v>7628</v>
      </c>
      <c r="I2778" s="10">
        <v>45645</v>
      </c>
    </row>
    <row r="2779" spans="1:9" x14ac:dyDescent="0.15">
      <c r="A2779" s="9">
        <v>2778</v>
      </c>
      <c r="B2779" s="9" t="s">
        <v>9</v>
      </c>
      <c r="C2779" s="9">
        <v>1927</v>
      </c>
      <c r="D2779" s="10">
        <v>45729</v>
      </c>
      <c r="E2779" s="11" t="str">
        <f>+HYPERLINK("http://trademark.i-assist.jp/data/china/image_1927th/82658291.pdf","82658291")</f>
        <v>82658291</v>
      </c>
      <c r="F2779" s="9" t="s">
        <v>7629</v>
      </c>
      <c r="G2779" s="9" t="s">
        <v>7630</v>
      </c>
      <c r="H2779" s="9" t="s">
        <v>7631</v>
      </c>
      <c r="I2779" s="10">
        <v>45645</v>
      </c>
    </row>
    <row r="2780" spans="1:9" x14ac:dyDescent="0.15">
      <c r="A2780" s="9">
        <v>2779</v>
      </c>
      <c r="B2780" s="9" t="s">
        <v>9</v>
      </c>
      <c r="C2780" s="9">
        <v>1927</v>
      </c>
      <c r="D2780" s="10">
        <v>45729</v>
      </c>
      <c r="E2780" s="11" t="str">
        <f>+HYPERLINK("http://trademark.i-assist.jp/data/china/image_1927th/82658927.pdf","82658927")</f>
        <v>82658927</v>
      </c>
      <c r="F2780" s="9" t="s">
        <v>7632</v>
      </c>
      <c r="G2780" s="12" t="s">
        <v>7633</v>
      </c>
      <c r="H2780" s="9" t="s">
        <v>7634</v>
      </c>
      <c r="I2780" s="10">
        <v>45645</v>
      </c>
    </row>
    <row r="2781" spans="1:9" x14ac:dyDescent="0.15">
      <c r="A2781" s="9">
        <v>2780</v>
      </c>
      <c r="B2781" s="9" t="s">
        <v>9</v>
      </c>
      <c r="C2781" s="9">
        <v>1927</v>
      </c>
      <c r="D2781" s="10">
        <v>45729</v>
      </c>
      <c r="E2781" s="11" t="str">
        <f>+HYPERLINK("http://trademark.i-assist.jp/data/china/image_1927th/82658952.pdf","82658952")</f>
        <v>82658952</v>
      </c>
      <c r="F2781" s="9" t="s">
        <v>7635</v>
      </c>
      <c r="G2781" s="9" t="s">
        <v>7636</v>
      </c>
      <c r="H2781" s="9" t="s">
        <v>7637</v>
      </c>
      <c r="I2781" s="10">
        <v>45645</v>
      </c>
    </row>
    <row r="2782" spans="1:9" x14ac:dyDescent="0.15">
      <c r="A2782" s="9">
        <v>2781</v>
      </c>
      <c r="B2782" s="9" t="s">
        <v>9</v>
      </c>
      <c r="C2782" s="9">
        <v>1927</v>
      </c>
      <c r="D2782" s="10">
        <v>45729</v>
      </c>
      <c r="E2782" s="11" t="str">
        <f>+HYPERLINK("http://trademark.i-assist.jp/data/china/image_1927th/82658982.pdf","82658982")</f>
        <v>82658982</v>
      </c>
      <c r="F2782" s="9" t="s">
        <v>7638</v>
      </c>
      <c r="G2782" s="9" t="s">
        <v>7639</v>
      </c>
      <c r="H2782" s="9" t="s">
        <v>7640</v>
      </c>
      <c r="I2782" s="10">
        <v>45645</v>
      </c>
    </row>
    <row r="2783" spans="1:9" x14ac:dyDescent="0.15">
      <c r="A2783" s="9">
        <v>2782</v>
      </c>
      <c r="B2783" s="9" t="s">
        <v>9</v>
      </c>
      <c r="C2783" s="9">
        <v>1927</v>
      </c>
      <c r="D2783" s="10">
        <v>45729</v>
      </c>
      <c r="E2783" s="11" t="str">
        <f>+HYPERLINK("http://trademark.i-assist.jp/data/china/image_1927th/82659199.pdf","82659199")</f>
        <v>82659199</v>
      </c>
      <c r="F2783" s="9" t="s">
        <v>7641</v>
      </c>
      <c r="G2783" s="9" t="s">
        <v>7534</v>
      </c>
      <c r="H2783" s="9" t="s">
        <v>7642</v>
      </c>
      <c r="I2783" s="10">
        <v>45645</v>
      </c>
    </row>
    <row r="2784" spans="1:9" x14ac:dyDescent="0.15">
      <c r="A2784" s="9">
        <v>2783</v>
      </c>
      <c r="B2784" s="9" t="s">
        <v>9</v>
      </c>
      <c r="C2784" s="9">
        <v>1927</v>
      </c>
      <c r="D2784" s="10">
        <v>45729</v>
      </c>
      <c r="E2784" s="11" t="str">
        <f>+HYPERLINK("http://trademark.i-assist.jp/data/china/image_1927th/82659365.pdf","82659365")</f>
        <v>82659365</v>
      </c>
      <c r="F2784" s="9" t="s">
        <v>7643</v>
      </c>
      <c r="G2784" s="9" t="s">
        <v>7415</v>
      </c>
      <c r="H2784" s="9" t="s">
        <v>7644</v>
      </c>
      <c r="I2784" s="10">
        <v>45645</v>
      </c>
    </row>
    <row r="2785" spans="1:9" x14ac:dyDescent="0.15">
      <c r="A2785" s="9">
        <v>2784</v>
      </c>
      <c r="B2785" s="9" t="s">
        <v>9</v>
      </c>
      <c r="C2785" s="9">
        <v>1927</v>
      </c>
      <c r="D2785" s="10">
        <v>45729</v>
      </c>
      <c r="E2785" s="11" t="str">
        <f>+HYPERLINK("http://trademark.i-assist.jp/data/china/image_1927th/82659377.pdf","82659377")</f>
        <v>82659377</v>
      </c>
      <c r="F2785" s="9" t="s">
        <v>7645</v>
      </c>
      <c r="G2785" s="9" t="s">
        <v>7646</v>
      </c>
      <c r="H2785" s="9" t="s">
        <v>7647</v>
      </c>
      <c r="I2785" s="10">
        <v>45645</v>
      </c>
    </row>
    <row r="2786" spans="1:9" x14ac:dyDescent="0.15">
      <c r="A2786" s="9">
        <v>2785</v>
      </c>
      <c r="B2786" s="9" t="s">
        <v>9</v>
      </c>
      <c r="C2786" s="9">
        <v>1927</v>
      </c>
      <c r="D2786" s="10">
        <v>45729</v>
      </c>
      <c r="E2786" s="11" t="str">
        <f>+HYPERLINK("http://trademark.i-assist.jp/data/china/image_1927th/82659689.pdf","82659689")</f>
        <v>82659689</v>
      </c>
      <c r="F2786" s="12" t="s">
        <v>7648</v>
      </c>
      <c r="G2786" s="9" t="s">
        <v>7649</v>
      </c>
      <c r="H2786" s="9" t="s">
        <v>7650</v>
      </c>
      <c r="I2786" s="10">
        <v>45645</v>
      </c>
    </row>
    <row r="2787" spans="1:9" x14ac:dyDescent="0.15">
      <c r="A2787" s="9">
        <v>2786</v>
      </c>
      <c r="B2787" s="9" t="s">
        <v>9</v>
      </c>
      <c r="C2787" s="9">
        <v>1927</v>
      </c>
      <c r="D2787" s="10">
        <v>45729</v>
      </c>
      <c r="E2787" s="11" t="str">
        <f>+HYPERLINK("http://trademark.i-assist.jp/data/china/image_1927th/82660017.pdf","82660017")</f>
        <v>82660017</v>
      </c>
      <c r="F2787" s="9" t="s">
        <v>7583</v>
      </c>
      <c r="G2787" s="12" t="s">
        <v>7584</v>
      </c>
      <c r="H2787" s="12" t="s">
        <v>7651</v>
      </c>
      <c r="I2787" s="10">
        <v>45645</v>
      </c>
    </row>
    <row r="2788" spans="1:9" x14ac:dyDescent="0.15">
      <c r="A2788" s="9">
        <v>2787</v>
      </c>
      <c r="B2788" s="9" t="s">
        <v>9</v>
      </c>
      <c r="C2788" s="9">
        <v>1927</v>
      </c>
      <c r="D2788" s="10">
        <v>45729</v>
      </c>
      <c r="E2788" s="11" t="str">
        <f>+HYPERLINK("http://trademark.i-assist.jp/data/china/image_1927th/82660124.pdf","82660124")</f>
        <v>82660124</v>
      </c>
      <c r="F2788" s="9" t="s">
        <v>7652</v>
      </c>
      <c r="G2788" s="12" t="s">
        <v>6586</v>
      </c>
      <c r="H2788" s="9" t="s">
        <v>7653</v>
      </c>
      <c r="I2788" s="10">
        <v>45645</v>
      </c>
    </row>
    <row r="2789" spans="1:9" x14ac:dyDescent="0.15">
      <c r="A2789" s="9">
        <v>2788</v>
      </c>
      <c r="B2789" s="9" t="s">
        <v>9</v>
      </c>
      <c r="C2789" s="9">
        <v>1927</v>
      </c>
      <c r="D2789" s="10">
        <v>45729</v>
      </c>
      <c r="E2789" s="11" t="str">
        <f>+HYPERLINK("http://trademark.i-assist.jp/data/china/image_1927th/82660132.pdf","82660132")</f>
        <v>82660132</v>
      </c>
      <c r="F2789" s="12" t="s">
        <v>7654</v>
      </c>
      <c r="G2789" s="9" t="s">
        <v>7655</v>
      </c>
      <c r="H2789" s="9" t="s">
        <v>7656</v>
      </c>
      <c r="I2789" s="10">
        <v>45645</v>
      </c>
    </row>
    <row r="2790" spans="1:9" x14ac:dyDescent="0.15">
      <c r="A2790" s="9">
        <v>2789</v>
      </c>
      <c r="B2790" s="9" t="s">
        <v>9</v>
      </c>
      <c r="C2790" s="9">
        <v>1927</v>
      </c>
      <c r="D2790" s="10">
        <v>45729</v>
      </c>
      <c r="E2790" s="11" t="str">
        <f>+HYPERLINK("http://trademark.i-assist.jp/data/china/image_1927th/82660293.pdf","82660293")</f>
        <v>82660293</v>
      </c>
      <c r="F2790" s="9" t="s">
        <v>7657</v>
      </c>
      <c r="G2790" s="9" t="s">
        <v>7658</v>
      </c>
      <c r="H2790" s="9" t="s">
        <v>7659</v>
      </c>
      <c r="I2790" s="10">
        <v>45645</v>
      </c>
    </row>
    <row r="2791" spans="1:9" x14ac:dyDescent="0.15">
      <c r="A2791" s="9">
        <v>2790</v>
      </c>
      <c r="B2791" s="9" t="s">
        <v>9</v>
      </c>
      <c r="C2791" s="9">
        <v>1927</v>
      </c>
      <c r="D2791" s="10">
        <v>45729</v>
      </c>
      <c r="E2791" s="11" t="str">
        <f>+HYPERLINK("http://trademark.i-assist.jp/data/china/image_1927th/82660347.pdf","82660347")</f>
        <v>82660347</v>
      </c>
      <c r="F2791" s="9" t="s">
        <v>7660</v>
      </c>
      <c r="G2791" s="9" t="s">
        <v>7587</v>
      </c>
      <c r="H2791" s="12" t="s">
        <v>7661</v>
      </c>
      <c r="I2791" s="10">
        <v>45645</v>
      </c>
    </row>
    <row r="2792" spans="1:9" x14ac:dyDescent="0.15">
      <c r="A2792" s="9">
        <v>2791</v>
      </c>
      <c r="B2792" s="9" t="s">
        <v>9</v>
      </c>
      <c r="C2792" s="9">
        <v>1927</v>
      </c>
      <c r="D2792" s="10">
        <v>45729</v>
      </c>
      <c r="E2792" s="11" t="str">
        <f>+HYPERLINK("http://trademark.i-assist.jp/data/china/image_1927th/82660378.pdf","82660378")</f>
        <v>82660378</v>
      </c>
      <c r="F2792" s="12" t="s">
        <v>7662</v>
      </c>
      <c r="G2792" s="12" t="s">
        <v>7663</v>
      </c>
      <c r="H2792" s="9" t="s">
        <v>7664</v>
      </c>
      <c r="I2792" s="10">
        <v>45645</v>
      </c>
    </row>
    <row r="2793" spans="1:9" x14ac:dyDescent="0.15">
      <c r="A2793" s="9">
        <v>2792</v>
      </c>
      <c r="B2793" s="9" t="s">
        <v>9</v>
      </c>
      <c r="C2793" s="9">
        <v>1927</v>
      </c>
      <c r="D2793" s="10">
        <v>45729</v>
      </c>
      <c r="E2793" s="11" t="str">
        <f>+HYPERLINK("http://trademark.i-assist.jp/data/china/image_1927th/82660597.pdf","82660597")</f>
        <v>82660597</v>
      </c>
      <c r="F2793" s="9" t="s">
        <v>7665</v>
      </c>
      <c r="G2793" s="9" t="s">
        <v>7666</v>
      </c>
      <c r="H2793" s="9" t="s">
        <v>7667</v>
      </c>
      <c r="I2793" s="10">
        <v>45645</v>
      </c>
    </row>
    <row r="2794" spans="1:9" x14ac:dyDescent="0.15">
      <c r="A2794" s="9">
        <v>2793</v>
      </c>
      <c r="B2794" s="9" t="s">
        <v>9</v>
      </c>
      <c r="C2794" s="9">
        <v>1927</v>
      </c>
      <c r="D2794" s="10">
        <v>45729</v>
      </c>
      <c r="E2794" s="11" t="str">
        <f>+HYPERLINK("http://trademark.i-assist.jp/data/china/image_1927th/82660683.pdf","82660683")</f>
        <v>82660683</v>
      </c>
      <c r="F2794" s="9" t="s">
        <v>7668</v>
      </c>
      <c r="G2794" s="9" t="s">
        <v>7669</v>
      </c>
      <c r="H2794" s="9" t="s">
        <v>7670</v>
      </c>
      <c r="I2794" s="10">
        <v>45645</v>
      </c>
    </row>
    <row r="2795" spans="1:9" x14ac:dyDescent="0.15">
      <c r="A2795" s="9">
        <v>2794</v>
      </c>
      <c r="B2795" s="9" t="s">
        <v>9</v>
      </c>
      <c r="C2795" s="9">
        <v>1927</v>
      </c>
      <c r="D2795" s="10">
        <v>45729</v>
      </c>
      <c r="E2795" s="11" t="str">
        <f>+HYPERLINK("http://trademark.i-assist.jp/data/china/image_1927th/82660925.pdf","82660925")</f>
        <v>82660925</v>
      </c>
      <c r="F2795" s="9" t="s">
        <v>7671</v>
      </c>
      <c r="G2795" s="9" t="s">
        <v>7672</v>
      </c>
      <c r="H2795" s="9" t="s">
        <v>7673</v>
      </c>
      <c r="I2795" s="10">
        <v>45645</v>
      </c>
    </row>
    <row r="2796" spans="1:9" x14ac:dyDescent="0.15">
      <c r="A2796" s="9">
        <v>2795</v>
      </c>
      <c r="B2796" s="9" t="s">
        <v>9</v>
      </c>
      <c r="C2796" s="9">
        <v>1927</v>
      </c>
      <c r="D2796" s="10">
        <v>45729</v>
      </c>
      <c r="E2796" s="11" t="str">
        <f>+HYPERLINK("http://trademark.i-assist.jp/data/china/image_1927th/82661245.pdf","82661245")</f>
        <v>82661245</v>
      </c>
      <c r="F2796" s="9" t="s">
        <v>7674</v>
      </c>
      <c r="G2796" s="9" t="s">
        <v>7675</v>
      </c>
      <c r="H2796" s="9" t="s">
        <v>7676</v>
      </c>
      <c r="I2796" s="10">
        <v>45645</v>
      </c>
    </row>
    <row r="2797" spans="1:9" x14ac:dyDescent="0.15">
      <c r="A2797" s="9">
        <v>2796</v>
      </c>
      <c r="B2797" s="9" t="s">
        <v>9</v>
      </c>
      <c r="C2797" s="9">
        <v>1927</v>
      </c>
      <c r="D2797" s="10">
        <v>45729</v>
      </c>
      <c r="E2797" s="11" t="str">
        <f>+HYPERLINK("http://trademark.i-assist.jp/data/china/image_1927th/82661267.pdf","82661267")</f>
        <v>82661267</v>
      </c>
      <c r="F2797" s="9" t="s">
        <v>7677</v>
      </c>
      <c r="G2797" s="9" t="s">
        <v>7678</v>
      </c>
      <c r="H2797" s="9" t="s">
        <v>7679</v>
      </c>
      <c r="I2797" s="10">
        <v>45645</v>
      </c>
    </row>
    <row r="2798" spans="1:9" x14ac:dyDescent="0.15">
      <c r="A2798" s="9">
        <v>2797</v>
      </c>
      <c r="B2798" s="9" t="s">
        <v>9</v>
      </c>
      <c r="C2798" s="9">
        <v>1927</v>
      </c>
      <c r="D2798" s="10">
        <v>45729</v>
      </c>
      <c r="E2798" s="11" t="str">
        <f>+HYPERLINK("http://trademark.i-assist.jp/data/china/image_1927th/82661414.pdf","82661414")</f>
        <v>82661414</v>
      </c>
      <c r="F2798" s="9" t="s">
        <v>7680</v>
      </c>
      <c r="G2798" s="12" t="s">
        <v>7681</v>
      </c>
      <c r="H2798" s="9" t="s">
        <v>7682</v>
      </c>
      <c r="I2798" s="10">
        <v>45645</v>
      </c>
    </row>
    <row r="2799" spans="1:9" x14ac:dyDescent="0.15">
      <c r="A2799" s="9">
        <v>2798</v>
      </c>
      <c r="B2799" s="9" t="s">
        <v>9</v>
      </c>
      <c r="C2799" s="9">
        <v>1927</v>
      </c>
      <c r="D2799" s="10">
        <v>45729</v>
      </c>
      <c r="E2799" s="11" t="str">
        <f>+HYPERLINK("http://trademark.i-assist.jp/data/china/image_1927th/82661577.pdf","82661577")</f>
        <v>82661577</v>
      </c>
      <c r="F2799" s="9" t="s">
        <v>7683</v>
      </c>
      <c r="G2799" s="9" t="s">
        <v>7684</v>
      </c>
      <c r="H2799" s="9" t="s">
        <v>7685</v>
      </c>
      <c r="I2799" s="10">
        <v>45645</v>
      </c>
    </row>
    <row r="2800" spans="1:9" x14ac:dyDescent="0.15">
      <c r="A2800" s="9">
        <v>2799</v>
      </c>
      <c r="B2800" s="9" t="s">
        <v>9</v>
      </c>
      <c r="C2800" s="9">
        <v>1927</v>
      </c>
      <c r="D2800" s="10">
        <v>45729</v>
      </c>
      <c r="E2800" s="11" t="str">
        <f>+HYPERLINK("http://trademark.i-assist.jp/data/china/image_1927th/82661672.pdf","82661672")</f>
        <v>82661672</v>
      </c>
      <c r="F2800" s="9" t="s">
        <v>7686</v>
      </c>
      <c r="G2800" s="9" t="s">
        <v>7687</v>
      </c>
      <c r="H2800" s="9" t="s">
        <v>7688</v>
      </c>
      <c r="I2800" s="10">
        <v>45645</v>
      </c>
    </row>
    <row r="2801" spans="1:9" x14ac:dyDescent="0.15">
      <c r="A2801" s="9">
        <v>2800</v>
      </c>
      <c r="B2801" s="9" t="s">
        <v>9</v>
      </c>
      <c r="C2801" s="9">
        <v>1927</v>
      </c>
      <c r="D2801" s="10">
        <v>45729</v>
      </c>
      <c r="E2801" s="11" t="str">
        <f>+HYPERLINK("http://trademark.i-assist.jp/data/china/image_1927th/82662979.pdf","82662979")</f>
        <v>82662979</v>
      </c>
      <c r="F2801" s="9" t="s">
        <v>7689</v>
      </c>
      <c r="G2801" s="9" t="s">
        <v>7690</v>
      </c>
      <c r="H2801" s="9" t="s">
        <v>7691</v>
      </c>
      <c r="I2801" s="10">
        <v>45646</v>
      </c>
    </row>
    <row r="2802" spans="1:9" x14ac:dyDescent="0.15">
      <c r="A2802" s="9">
        <v>2801</v>
      </c>
      <c r="B2802" s="9" t="s">
        <v>9</v>
      </c>
      <c r="C2802" s="9">
        <v>1927</v>
      </c>
      <c r="D2802" s="10">
        <v>45729</v>
      </c>
      <c r="E2802" s="11" t="str">
        <f>+HYPERLINK("http://trademark.i-assist.jp/data/china/image_1927th/82663621.pdf","82663621")</f>
        <v>82663621</v>
      </c>
      <c r="F2802" s="9" t="s">
        <v>7692</v>
      </c>
      <c r="G2802" s="9" t="s">
        <v>7693</v>
      </c>
      <c r="H2802" s="9" t="s">
        <v>7694</v>
      </c>
      <c r="I2802" s="10">
        <v>45646</v>
      </c>
    </row>
    <row r="2803" spans="1:9" x14ac:dyDescent="0.15">
      <c r="A2803" s="9">
        <v>2802</v>
      </c>
      <c r="B2803" s="9" t="s">
        <v>9</v>
      </c>
      <c r="C2803" s="9">
        <v>1927</v>
      </c>
      <c r="D2803" s="10">
        <v>45729</v>
      </c>
      <c r="E2803" s="11" t="str">
        <f>+HYPERLINK("http://trademark.i-assist.jp/data/china/image_1927th/82664080.pdf","82664080")</f>
        <v>82664080</v>
      </c>
      <c r="F2803" s="12" t="s">
        <v>7695</v>
      </c>
      <c r="G2803" s="9" t="s">
        <v>7696</v>
      </c>
      <c r="H2803" s="9" t="s">
        <v>7697</v>
      </c>
      <c r="I2803" s="10">
        <v>45646</v>
      </c>
    </row>
    <row r="2804" spans="1:9" x14ac:dyDescent="0.15">
      <c r="A2804" s="9">
        <v>2803</v>
      </c>
      <c r="B2804" s="9" t="s">
        <v>9</v>
      </c>
      <c r="C2804" s="9">
        <v>1927</v>
      </c>
      <c r="D2804" s="10">
        <v>45729</v>
      </c>
      <c r="E2804" s="11" t="str">
        <f>+HYPERLINK("http://trademark.i-assist.jp/data/china/image_1927th/82664537.pdf","82664537")</f>
        <v>82664537</v>
      </c>
      <c r="F2804" s="9" t="s">
        <v>7698</v>
      </c>
      <c r="G2804" s="9" t="s">
        <v>7699</v>
      </c>
      <c r="H2804" s="9" t="s">
        <v>7700</v>
      </c>
      <c r="I2804" s="10">
        <v>45646</v>
      </c>
    </row>
    <row r="2805" spans="1:9" x14ac:dyDescent="0.15">
      <c r="A2805" s="9">
        <v>2804</v>
      </c>
      <c r="B2805" s="9" t="s">
        <v>9</v>
      </c>
      <c r="C2805" s="9">
        <v>1927</v>
      </c>
      <c r="D2805" s="10">
        <v>45729</v>
      </c>
      <c r="E2805" s="11" t="str">
        <f>+HYPERLINK("http://trademark.i-assist.jp/data/china/image_1927th/82664706.pdf","82664706")</f>
        <v>82664706</v>
      </c>
      <c r="F2805" s="9" t="s">
        <v>7701</v>
      </c>
      <c r="G2805" s="9" t="s">
        <v>7702</v>
      </c>
      <c r="H2805" s="9" t="s">
        <v>7703</v>
      </c>
      <c r="I2805" s="10">
        <v>45646</v>
      </c>
    </row>
    <row r="2806" spans="1:9" x14ac:dyDescent="0.15">
      <c r="A2806" s="9">
        <v>2805</v>
      </c>
      <c r="B2806" s="9" t="s">
        <v>9</v>
      </c>
      <c r="C2806" s="9">
        <v>1927</v>
      </c>
      <c r="D2806" s="10">
        <v>45729</v>
      </c>
      <c r="E2806" s="11" t="str">
        <f>+HYPERLINK("http://trademark.i-assist.jp/data/china/image_1927th/82665145.pdf","82665145")</f>
        <v>82665145</v>
      </c>
      <c r="F2806" s="9" t="s">
        <v>7704</v>
      </c>
      <c r="G2806" s="12" t="s">
        <v>7705</v>
      </c>
      <c r="H2806" s="9" t="s">
        <v>7706</v>
      </c>
      <c r="I2806" s="10">
        <v>45646</v>
      </c>
    </row>
    <row r="2807" spans="1:9" x14ac:dyDescent="0.15">
      <c r="A2807" s="9">
        <v>2806</v>
      </c>
      <c r="B2807" s="9" t="s">
        <v>9</v>
      </c>
      <c r="C2807" s="9">
        <v>1927</v>
      </c>
      <c r="D2807" s="10">
        <v>45729</v>
      </c>
      <c r="E2807" s="11" t="str">
        <f>+HYPERLINK("http://trademark.i-assist.jp/data/china/image_1927th/82665598.pdf","82665598")</f>
        <v>82665598</v>
      </c>
      <c r="F2807" s="9" t="s">
        <v>7707</v>
      </c>
      <c r="G2807" s="9" t="s">
        <v>7708</v>
      </c>
      <c r="H2807" s="9" t="s">
        <v>7709</v>
      </c>
      <c r="I2807" s="10">
        <v>45646</v>
      </c>
    </row>
    <row r="2808" spans="1:9" x14ac:dyDescent="0.15">
      <c r="A2808" s="9">
        <v>2807</v>
      </c>
      <c r="B2808" s="9" t="s">
        <v>9</v>
      </c>
      <c r="C2808" s="9">
        <v>1927</v>
      </c>
      <c r="D2808" s="10">
        <v>45729</v>
      </c>
      <c r="E2808" s="11" t="str">
        <f>+HYPERLINK("http://trademark.i-assist.jp/data/china/image_1927th/82665803.pdf","82665803")</f>
        <v>82665803</v>
      </c>
      <c r="F2808" s="9" t="s">
        <v>7710</v>
      </c>
      <c r="G2808" s="9" t="s">
        <v>7711</v>
      </c>
      <c r="H2808" s="9" t="s">
        <v>7712</v>
      </c>
      <c r="I2808" s="10">
        <v>45646</v>
      </c>
    </row>
    <row r="2809" spans="1:9" x14ac:dyDescent="0.15">
      <c r="A2809" s="9">
        <v>2808</v>
      </c>
      <c r="B2809" s="9" t="s">
        <v>9</v>
      </c>
      <c r="C2809" s="9">
        <v>1927</v>
      </c>
      <c r="D2809" s="10">
        <v>45729</v>
      </c>
      <c r="E2809" s="11" t="str">
        <f>+HYPERLINK("http://trademark.i-assist.jp/data/china/image_1927th/82666605.pdf","82666605")</f>
        <v>82666605</v>
      </c>
      <c r="F2809" s="9" t="s">
        <v>7713</v>
      </c>
      <c r="G2809" s="9" t="s">
        <v>7714</v>
      </c>
      <c r="H2809" s="9" t="s">
        <v>7715</v>
      </c>
      <c r="I2809" s="10">
        <v>45646</v>
      </c>
    </row>
    <row r="2810" spans="1:9" x14ac:dyDescent="0.15">
      <c r="A2810" s="9">
        <v>2809</v>
      </c>
      <c r="B2810" s="9" t="s">
        <v>9</v>
      </c>
      <c r="C2810" s="9">
        <v>1927</v>
      </c>
      <c r="D2810" s="10">
        <v>45729</v>
      </c>
      <c r="E2810" s="11" t="str">
        <f>+HYPERLINK("http://trademark.i-assist.jp/data/china/image_1927th/82666710.pdf","82666710")</f>
        <v>82666710</v>
      </c>
      <c r="F2810" s="12" t="s">
        <v>16</v>
      </c>
      <c r="G2810" s="9" t="s">
        <v>7716</v>
      </c>
      <c r="H2810" s="9" t="s">
        <v>7717</v>
      </c>
      <c r="I2810" s="10">
        <v>45646</v>
      </c>
    </row>
    <row r="2811" spans="1:9" x14ac:dyDescent="0.15">
      <c r="A2811" s="9">
        <v>2810</v>
      </c>
      <c r="B2811" s="9" t="s">
        <v>9</v>
      </c>
      <c r="C2811" s="9">
        <v>1927</v>
      </c>
      <c r="D2811" s="10">
        <v>45729</v>
      </c>
      <c r="E2811" s="11" t="str">
        <f>+HYPERLINK("http://trademark.i-assist.jp/data/china/image_1927th/82666805.pdf","82666805")</f>
        <v>82666805</v>
      </c>
      <c r="F2811" s="9" t="s">
        <v>7718</v>
      </c>
      <c r="G2811" s="9" t="s">
        <v>7719</v>
      </c>
      <c r="H2811" s="9" t="s">
        <v>7720</v>
      </c>
      <c r="I2811" s="10">
        <v>45646</v>
      </c>
    </row>
    <row r="2812" spans="1:9" x14ac:dyDescent="0.15">
      <c r="A2812" s="9">
        <v>2811</v>
      </c>
      <c r="B2812" s="9" t="s">
        <v>9</v>
      </c>
      <c r="C2812" s="9">
        <v>1927</v>
      </c>
      <c r="D2812" s="10">
        <v>45729</v>
      </c>
      <c r="E2812" s="11" t="str">
        <f>+HYPERLINK("http://trademark.i-assist.jp/data/china/image_1927th/82666841.pdf","82666841")</f>
        <v>82666841</v>
      </c>
      <c r="F2812" s="12" t="s">
        <v>7721</v>
      </c>
      <c r="G2812" s="13" t="s">
        <v>7722</v>
      </c>
      <c r="H2812" s="9" t="s">
        <v>7723</v>
      </c>
      <c r="I2812" s="10">
        <v>45646</v>
      </c>
    </row>
    <row r="2813" spans="1:9" x14ac:dyDescent="0.15">
      <c r="A2813" s="9">
        <v>2812</v>
      </c>
      <c r="B2813" s="9" t="s">
        <v>9</v>
      </c>
      <c r="C2813" s="9">
        <v>1927</v>
      </c>
      <c r="D2813" s="10">
        <v>45729</v>
      </c>
      <c r="E2813" s="11" t="str">
        <f>+HYPERLINK("http://trademark.i-assist.jp/data/china/image_1927th/82667378.pdf","82667378")</f>
        <v>82667378</v>
      </c>
      <c r="F2813" s="9" t="s">
        <v>7724</v>
      </c>
      <c r="G2813" s="9" t="s">
        <v>7725</v>
      </c>
      <c r="H2813" s="9" t="s">
        <v>7726</v>
      </c>
      <c r="I2813" s="10">
        <v>45646</v>
      </c>
    </row>
    <row r="2814" spans="1:9" x14ac:dyDescent="0.15">
      <c r="A2814" s="9">
        <v>2813</v>
      </c>
      <c r="B2814" s="9" t="s">
        <v>9</v>
      </c>
      <c r="C2814" s="9">
        <v>1927</v>
      </c>
      <c r="D2814" s="10">
        <v>45729</v>
      </c>
      <c r="E2814" s="11" t="str">
        <f>+HYPERLINK("http://trademark.i-assist.jp/data/china/image_1927th/82668312.pdf","82668312")</f>
        <v>82668312</v>
      </c>
      <c r="F2814" s="9" t="s">
        <v>7727</v>
      </c>
      <c r="G2814" s="9" t="s">
        <v>7728</v>
      </c>
      <c r="H2814" s="9" t="s">
        <v>7729</v>
      </c>
      <c r="I2814" s="10">
        <v>45646</v>
      </c>
    </row>
    <row r="2815" spans="1:9" x14ac:dyDescent="0.15">
      <c r="A2815" s="9">
        <v>2814</v>
      </c>
      <c r="B2815" s="9" t="s">
        <v>9</v>
      </c>
      <c r="C2815" s="9">
        <v>1927</v>
      </c>
      <c r="D2815" s="10">
        <v>45729</v>
      </c>
      <c r="E2815" s="11" t="str">
        <f>+HYPERLINK("http://trademark.i-assist.jp/data/china/image_1927th/82668481.pdf","82668481")</f>
        <v>82668481</v>
      </c>
      <c r="F2815" s="9" t="s">
        <v>7730</v>
      </c>
      <c r="G2815" s="12" t="s">
        <v>7731</v>
      </c>
      <c r="H2815" s="9" t="s">
        <v>7732</v>
      </c>
      <c r="I2815" s="10">
        <v>45646</v>
      </c>
    </row>
    <row r="2816" spans="1:9" x14ac:dyDescent="0.15">
      <c r="A2816" s="9">
        <v>2815</v>
      </c>
      <c r="B2816" s="9" t="s">
        <v>9</v>
      </c>
      <c r="C2816" s="9">
        <v>1927</v>
      </c>
      <c r="D2816" s="10">
        <v>45729</v>
      </c>
      <c r="E2816" s="11" t="str">
        <f>+HYPERLINK("http://trademark.i-assist.jp/data/china/image_1927th/82668656.pdf","82668656")</f>
        <v>82668656</v>
      </c>
      <c r="F2816" s="9" t="s">
        <v>7733</v>
      </c>
      <c r="G2816" s="9" t="s">
        <v>7734</v>
      </c>
      <c r="H2816" s="9" t="s">
        <v>7735</v>
      </c>
      <c r="I2816" s="10">
        <v>45646</v>
      </c>
    </row>
    <row r="2817" spans="1:9" x14ac:dyDescent="0.15">
      <c r="A2817" s="9">
        <v>2816</v>
      </c>
      <c r="B2817" s="9" t="s">
        <v>9</v>
      </c>
      <c r="C2817" s="9">
        <v>1927</v>
      </c>
      <c r="D2817" s="10">
        <v>45729</v>
      </c>
      <c r="E2817" s="11" t="str">
        <f>+HYPERLINK("http://trademark.i-assist.jp/data/china/image_1927th/82670123.pdf","82670123")</f>
        <v>82670123</v>
      </c>
      <c r="F2817" s="9" t="s">
        <v>7736</v>
      </c>
      <c r="G2817" s="9" t="s">
        <v>7737</v>
      </c>
      <c r="H2817" s="9" t="s">
        <v>7738</v>
      </c>
      <c r="I2817" s="10">
        <v>45646</v>
      </c>
    </row>
    <row r="2818" spans="1:9" x14ac:dyDescent="0.15">
      <c r="A2818" s="9">
        <v>2817</v>
      </c>
      <c r="B2818" s="9" t="s">
        <v>9</v>
      </c>
      <c r="C2818" s="9">
        <v>1927</v>
      </c>
      <c r="D2818" s="10">
        <v>45729</v>
      </c>
      <c r="E2818" s="11" t="str">
        <f>+HYPERLINK("http://trademark.i-assist.jp/data/china/image_1927th/82670491.pdf","82670491")</f>
        <v>82670491</v>
      </c>
      <c r="F2818" s="9" t="s">
        <v>7739</v>
      </c>
      <c r="G2818" s="9" t="s">
        <v>7740</v>
      </c>
      <c r="H2818" s="9" t="s">
        <v>7741</v>
      </c>
      <c r="I2818" s="10">
        <v>45646</v>
      </c>
    </row>
    <row r="2819" spans="1:9" x14ac:dyDescent="0.15">
      <c r="A2819" s="9">
        <v>2818</v>
      </c>
      <c r="B2819" s="9" t="s">
        <v>9</v>
      </c>
      <c r="C2819" s="9">
        <v>1927</v>
      </c>
      <c r="D2819" s="10">
        <v>45729</v>
      </c>
      <c r="E2819" s="11" t="str">
        <f>+HYPERLINK("http://trademark.i-assist.jp/data/china/image_1927th/82670867.pdf","82670867")</f>
        <v>82670867</v>
      </c>
      <c r="F2819" s="9" t="s">
        <v>7742</v>
      </c>
      <c r="G2819" s="12" t="s">
        <v>7743</v>
      </c>
      <c r="H2819" s="9" t="s">
        <v>7744</v>
      </c>
      <c r="I2819" s="10">
        <v>45646</v>
      </c>
    </row>
    <row r="2820" spans="1:9" x14ac:dyDescent="0.15">
      <c r="A2820" s="9">
        <v>2819</v>
      </c>
      <c r="B2820" s="9" t="s">
        <v>9</v>
      </c>
      <c r="C2820" s="9">
        <v>1927</v>
      </c>
      <c r="D2820" s="10">
        <v>45729</v>
      </c>
      <c r="E2820" s="11" t="str">
        <f>+HYPERLINK("http://trademark.i-assist.jp/data/china/image_1927th/82670923.pdf","82670923")</f>
        <v>82670923</v>
      </c>
      <c r="F2820" s="9" t="s">
        <v>7745</v>
      </c>
      <c r="G2820" s="9" t="s">
        <v>7746</v>
      </c>
      <c r="H2820" s="9" t="s">
        <v>7747</v>
      </c>
      <c r="I2820" s="10">
        <v>45646</v>
      </c>
    </row>
    <row r="2821" spans="1:9" x14ac:dyDescent="0.15">
      <c r="A2821" s="9">
        <v>2820</v>
      </c>
      <c r="B2821" s="9" t="s">
        <v>9</v>
      </c>
      <c r="C2821" s="9">
        <v>1927</v>
      </c>
      <c r="D2821" s="10">
        <v>45729</v>
      </c>
      <c r="E2821" s="11" t="str">
        <f>+HYPERLINK("http://trademark.i-assist.jp/data/china/image_1927th/82671453.pdf","82671453")</f>
        <v>82671453</v>
      </c>
      <c r="F2821" s="9" t="s">
        <v>7748</v>
      </c>
      <c r="G2821" s="9" t="s">
        <v>7749</v>
      </c>
      <c r="H2821" s="9" t="s">
        <v>7750</v>
      </c>
      <c r="I2821" s="10">
        <v>45646</v>
      </c>
    </row>
    <row r="2822" spans="1:9" x14ac:dyDescent="0.15">
      <c r="A2822" s="9">
        <v>2821</v>
      </c>
      <c r="B2822" s="9" t="s">
        <v>9</v>
      </c>
      <c r="C2822" s="9">
        <v>1927</v>
      </c>
      <c r="D2822" s="10">
        <v>45729</v>
      </c>
      <c r="E2822" s="11" t="str">
        <f>+HYPERLINK("http://trademark.i-assist.jp/data/china/image_1927th/82671687.pdf","82671687")</f>
        <v>82671687</v>
      </c>
      <c r="F2822" s="9" t="s">
        <v>7751</v>
      </c>
      <c r="G2822" s="9" t="s">
        <v>7714</v>
      </c>
      <c r="H2822" s="9" t="s">
        <v>7752</v>
      </c>
      <c r="I2822" s="10">
        <v>45646</v>
      </c>
    </row>
    <row r="2823" spans="1:9" x14ac:dyDescent="0.15">
      <c r="A2823" s="9">
        <v>2822</v>
      </c>
      <c r="B2823" s="9" t="s">
        <v>9</v>
      </c>
      <c r="C2823" s="9">
        <v>1927</v>
      </c>
      <c r="D2823" s="10">
        <v>45729</v>
      </c>
      <c r="E2823" s="11" t="str">
        <f>+HYPERLINK("http://trademark.i-assist.jp/data/china/image_1927th/82671907.pdf","82671907")</f>
        <v>82671907</v>
      </c>
      <c r="F2823" s="9" t="s">
        <v>7753</v>
      </c>
      <c r="G2823" s="9" t="s">
        <v>7754</v>
      </c>
      <c r="H2823" s="9" t="s">
        <v>7755</v>
      </c>
      <c r="I2823" s="10">
        <v>45646</v>
      </c>
    </row>
    <row r="2824" spans="1:9" x14ac:dyDescent="0.15">
      <c r="A2824" s="9">
        <v>2823</v>
      </c>
      <c r="B2824" s="9" t="s">
        <v>9</v>
      </c>
      <c r="C2824" s="9">
        <v>1927</v>
      </c>
      <c r="D2824" s="10">
        <v>45729</v>
      </c>
      <c r="E2824" s="11" t="str">
        <f>+HYPERLINK("http://trademark.i-assist.jp/data/china/image_1927th/82672196.pdf","82672196")</f>
        <v>82672196</v>
      </c>
      <c r="F2824" s="9" t="s">
        <v>7756</v>
      </c>
      <c r="G2824" s="9" t="s">
        <v>7757</v>
      </c>
      <c r="H2824" s="9" t="s">
        <v>7758</v>
      </c>
      <c r="I2824" s="10">
        <v>45646</v>
      </c>
    </row>
    <row r="2825" spans="1:9" x14ac:dyDescent="0.15">
      <c r="A2825" s="9">
        <v>2824</v>
      </c>
      <c r="B2825" s="9" t="s">
        <v>9</v>
      </c>
      <c r="C2825" s="9">
        <v>1927</v>
      </c>
      <c r="D2825" s="10">
        <v>45729</v>
      </c>
      <c r="E2825" s="11" t="str">
        <f>+HYPERLINK("http://trademark.i-assist.jp/data/china/image_1927th/82672227.pdf","82672227")</f>
        <v>82672227</v>
      </c>
      <c r="F2825" s="9" t="s">
        <v>7759</v>
      </c>
      <c r="G2825" s="9" t="s">
        <v>7760</v>
      </c>
      <c r="H2825" s="12" t="s">
        <v>7761</v>
      </c>
      <c r="I2825" s="10">
        <v>45646</v>
      </c>
    </row>
    <row r="2826" spans="1:9" x14ac:dyDescent="0.15">
      <c r="A2826" s="9">
        <v>2825</v>
      </c>
      <c r="B2826" s="9" t="s">
        <v>9</v>
      </c>
      <c r="C2826" s="9">
        <v>1927</v>
      </c>
      <c r="D2826" s="10">
        <v>45729</v>
      </c>
      <c r="E2826" s="11" t="str">
        <f>+HYPERLINK("http://trademark.i-assist.jp/data/china/image_1927th/82673575.pdf","82673575")</f>
        <v>82673575</v>
      </c>
      <c r="F2826" s="9" t="s">
        <v>7762</v>
      </c>
      <c r="G2826" s="9" t="s">
        <v>7763</v>
      </c>
      <c r="H2826" s="9" t="s">
        <v>7764</v>
      </c>
      <c r="I2826" s="10">
        <v>45646</v>
      </c>
    </row>
    <row r="2827" spans="1:9" x14ac:dyDescent="0.15">
      <c r="A2827" s="9">
        <v>2826</v>
      </c>
      <c r="B2827" s="9" t="s">
        <v>9</v>
      </c>
      <c r="C2827" s="9">
        <v>1927</v>
      </c>
      <c r="D2827" s="10">
        <v>45729</v>
      </c>
      <c r="E2827" s="11" t="str">
        <f>+HYPERLINK("http://trademark.i-assist.jp/data/china/image_1927th/82673990.pdf","82673990")</f>
        <v>82673990</v>
      </c>
      <c r="F2827" s="9" t="s">
        <v>7765</v>
      </c>
      <c r="G2827" s="9" t="s">
        <v>7766</v>
      </c>
      <c r="H2827" s="9" t="s">
        <v>7767</v>
      </c>
      <c r="I2827" s="10">
        <v>45646</v>
      </c>
    </row>
    <row r="2828" spans="1:9" x14ac:dyDescent="0.15">
      <c r="A2828" s="9">
        <v>2827</v>
      </c>
      <c r="B2828" s="9" t="s">
        <v>9</v>
      </c>
      <c r="C2828" s="9">
        <v>1927</v>
      </c>
      <c r="D2828" s="10">
        <v>45729</v>
      </c>
      <c r="E2828" s="11" t="str">
        <f>+HYPERLINK("http://trademark.i-assist.jp/data/china/image_1927th/82674694.pdf","82674694")</f>
        <v>82674694</v>
      </c>
      <c r="F2828" s="12" t="s">
        <v>7768</v>
      </c>
      <c r="G2828" s="9" t="s">
        <v>7769</v>
      </c>
      <c r="H2828" s="9" t="s">
        <v>7770</v>
      </c>
      <c r="I2828" s="10">
        <v>45646</v>
      </c>
    </row>
    <row r="2829" spans="1:9" x14ac:dyDescent="0.15">
      <c r="A2829" s="9">
        <v>2828</v>
      </c>
      <c r="B2829" s="9" t="s">
        <v>9</v>
      </c>
      <c r="C2829" s="9">
        <v>1927</v>
      </c>
      <c r="D2829" s="10">
        <v>45729</v>
      </c>
      <c r="E2829" s="11" t="str">
        <f>+HYPERLINK("http://trademark.i-assist.jp/data/china/image_1927th/82675055.pdf","82675055")</f>
        <v>82675055</v>
      </c>
      <c r="F2829" s="9" t="s">
        <v>7771</v>
      </c>
      <c r="G2829" s="9" t="s">
        <v>7772</v>
      </c>
      <c r="H2829" s="9" t="s">
        <v>7773</v>
      </c>
      <c r="I2829" s="10">
        <v>45646</v>
      </c>
    </row>
    <row r="2830" spans="1:9" x14ac:dyDescent="0.15">
      <c r="A2830" s="9">
        <v>2829</v>
      </c>
      <c r="B2830" s="9" t="s">
        <v>9</v>
      </c>
      <c r="C2830" s="9">
        <v>1927</v>
      </c>
      <c r="D2830" s="10">
        <v>45729</v>
      </c>
      <c r="E2830" s="11" t="str">
        <f>+HYPERLINK("http://trademark.i-assist.jp/data/china/image_1927th/82676493.pdf","82676493")</f>
        <v>82676493</v>
      </c>
      <c r="F2830" s="12" t="s">
        <v>7774</v>
      </c>
      <c r="G2830" s="9" t="s">
        <v>7775</v>
      </c>
      <c r="H2830" s="9" t="s">
        <v>7776</v>
      </c>
      <c r="I2830" s="10">
        <v>45646</v>
      </c>
    </row>
    <row r="2831" spans="1:9" x14ac:dyDescent="0.15">
      <c r="A2831" s="9">
        <v>2830</v>
      </c>
      <c r="B2831" s="9" t="s">
        <v>9</v>
      </c>
      <c r="C2831" s="9">
        <v>1927</v>
      </c>
      <c r="D2831" s="10">
        <v>45729</v>
      </c>
      <c r="E2831" s="11" t="str">
        <f>+HYPERLINK("http://trademark.i-assist.jp/data/china/image_1927th/82676533.pdf","82676533")</f>
        <v>82676533</v>
      </c>
      <c r="F2831" s="9" t="s">
        <v>7777</v>
      </c>
      <c r="G2831" s="9" t="s">
        <v>7778</v>
      </c>
      <c r="H2831" s="9" t="s">
        <v>7779</v>
      </c>
      <c r="I2831" s="10">
        <v>45646</v>
      </c>
    </row>
    <row r="2832" spans="1:9" x14ac:dyDescent="0.15">
      <c r="A2832" s="9">
        <v>2831</v>
      </c>
      <c r="B2832" s="9" t="s">
        <v>9</v>
      </c>
      <c r="C2832" s="9">
        <v>1927</v>
      </c>
      <c r="D2832" s="10">
        <v>45729</v>
      </c>
      <c r="E2832" s="11" t="str">
        <f>+HYPERLINK("http://trademark.i-assist.jp/data/china/image_1927th/82676568.pdf","82676568")</f>
        <v>82676568</v>
      </c>
      <c r="F2832" s="9" t="s">
        <v>7780</v>
      </c>
      <c r="G2832" s="9" t="s">
        <v>4087</v>
      </c>
      <c r="H2832" s="9" t="s">
        <v>7781</v>
      </c>
      <c r="I2832" s="10">
        <v>45646</v>
      </c>
    </row>
    <row r="2833" spans="1:9" x14ac:dyDescent="0.15">
      <c r="A2833" s="9">
        <v>2832</v>
      </c>
      <c r="B2833" s="9" t="s">
        <v>9</v>
      </c>
      <c r="C2833" s="9">
        <v>1927</v>
      </c>
      <c r="D2833" s="10">
        <v>45729</v>
      </c>
      <c r="E2833" s="11" t="str">
        <f>+HYPERLINK("http://trademark.i-assist.jp/data/china/image_1927th/82676683.pdf","82676683")</f>
        <v>82676683</v>
      </c>
      <c r="F2833" s="12" t="s">
        <v>7782</v>
      </c>
      <c r="G2833" s="9" t="s">
        <v>7783</v>
      </c>
      <c r="H2833" s="9" t="s">
        <v>7784</v>
      </c>
      <c r="I2833" s="10">
        <v>45646</v>
      </c>
    </row>
    <row r="2834" spans="1:9" x14ac:dyDescent="0.15">
      <c r="A2834" s="9">
        <v>2833</v>
      </c>
      <c r="B2834" s="9" t="s">
        <v>9</v>
      </c>
      <c r="C2834" s="9">
        <v>1927</v>
      </c>
      <c r="D2834" s="10">
        <v>45729</v>
      </c>
      <c r="E2834" s="11" t="str">
        <f>+HYPERLINK("http://trademark.i-assist.jp/data/china/image_1927th/82676849.pdf","82676849")</f>
        <v>82676849</v>
      </c>
      <c r="F2834" s="12" t="s">
        <v>16</v>
      </c>
      <c r="G2834" s="9" t="s">
        <v>7785</v>
      </c>
      <c r="H2834" s="9" t="s">
        <v>7786</v>
      </c>
      <c r="I2834" s="10">
        <v>45646</v>
      </c>
    </row>
    <row r="2835" spans="1:9" x14ac:dyDescent="0.15">
      <c r="A2835" s="9">
        <v>2834</v>
      </c>
      <c r="B2835" s="9" t="s">
        <v>9</v>
      </c>
      <c r="C2835" s="9">
        <v>1927</v>
      </c>
      <c r="D2835" s="10">
        <v>45729</v>
      </c>
      <c r="E2835" s="11" t="str">
        <f>+HYPERLINK("http://trademark.i-assist.jp/data/china/image_1927th/82676957.pdf","82676957")</f>
        <v>82676957</v>
      </c>
      <c r="F2835" s="12" t="s">
        <v>16</v>
      </c>
      <c r="G2835" s="9" t="s">
        <v>7787</v>
      </c>
      <c r="H2835" s="9" t="s">
        <v>7788</v>
      </c>
      <c r="I2835" s="10">
        <v>45646</v>
      </c>
    </row>
    <row r="2836" spans="1:9" x14ac:dyDescent="0.15">
      <c r="A2836" s="9">
        <v>2835</v>
      </c>
      <c r="B2836" s="9" t="s">
        <v>9</v>
      </c>
      <c r="C2836" s="9">
        <v>1927</v>
      </c>
      <c r="D2836" s="10">
        <v>45729</v>
      </c>
      <c r="E2836" s="11" t="str">
        <f>+HYPERLINK("http://trademark.i-assist.jp/data/china/image_1927th/82677831.pdf","82677831")</f>
        <v>82677831</v>
      </c>
      <c r="F2836" s="12" t="s">
        <v>16</v>
      </c>
      <c r="G2836" s="12" t="s">
        <v>7789</v>
      </c>
      <c r="H2836" s="9" t="s">
        <v>7790</v>
      </c>
      <c r="I2836" s="10">
        <v>45646</v>
      </c>
    </row>
    <row r="2837" spans="1:9" x14ac:dyDescent="0.15">
      <c r="A2837" s="9">
        <v>2836</v>
      </c>
      <c r="B2837" s="9" t="s">
        <v>9</v>
      </c>
      <c r="C2837" s="9">
        <v>1927</v>
      </c>
      <c r="D2837" s="10">
        <v>45729</v>
      </c>
      <c r="E2837" s="11" t="str">
        <f>+HYPERLINK("http://trademark.i-assist.jp/data/china/image_1927th/82677841.pdf","82677841")</f>
        <v>82677841</v>
      </c>
      <c r="F2837" s="9" t="s">
        <v>7791</v>
      </c>
      <c r="G2837" s="9" t="s">
        <v>7792</v>
      </c>
      <c r="H2837" s="9" t="s">
        <v>7793</v>
      </c>
      <c r="I2837" s="10">
        <v>45646</v>
      </c>
    </row>
    <row r="2838" spans="1:9" x14ac:dyDescent="0.15">
      <c r="A2838" s="9">
        <v>2837</v>
      </c>
      <c r="B2838" s="9" t="s">
        <v>9</v>
      </c>
      <c r="C2838" s="9">
        <v>1927</v>
      </c>
      <c r="D2838" s="10">
        <v>45729</v>
      </c>
      <c r="E2838" s="11" t="str">
        <f>+HYPERLINK("http://trademark.i-assist.jp/data/china/image_1927th/82677897.pdf","82677897")</f>
        <v>82677897</v>
      </c>
      <c r="F2838" s="9" t="s">
        <v>7794</v>
      </c>
      <c r="G2838" s="9" t="s">
        <v>226</v>
      </c>
      <c r="H2838" s="9" t="s">
        <v>7795</v>
      </c>
      <c r="I2838" s="10">
        <v>45646</v>
      </c>
    </row>
    <row r="2839" spans="1:9" x14ac:dyDescent="0.15">
      <c r="A2839" s="9">
        <v>2838</v>
      </c>
      <c r="B2839" s="9" t="s">
        <v>9</v>
      </c>
      <c r="C2839" s="9">
        <v>1927</v>
      </c>
      <c r="D2839" s="10">
        <v>45729</v>
      </c>
      <c r="E2839" s="11" t="str">
        <f>+HYPERLINK("http://trademark.i-assist.jp/data/china/image_1927th/82678222.pdf","82678222")</f>
        <v>82678222</v>
      </c>
      <c r="F2839" s="9" t="s">
        <v>7796</v>
      </c>
      <c r="G2839" s="9" t="s">
        <v>7725</v>
      </c>
      <c r="H2839" s="9" t="s">
        <v>7797</v>
      </c>
      <c r="I2839" s="10">
        <v>45646</v>
      </c>
    </row>
    <row r="2840" spans="1:9" x14ac:dyDescent="0.15">
      <c r="A2840" s="9">
        <v>2839</v>
      </c>
      <c r="B2840" s="9" t="s">
        <v>9</v>
      </c>
      <c r="C2840" s="9">
        <v>1927</v>
      </c>
      <c r="D2840" s="10">
        <v>45729</v>
      </c>
      <c r="E2840" s="11" t="str">
        <f>+HYPERLINK("http://trademark.i-assist.jp/data/china/image_1927th/82678387.pdf","82678387")</f>
        <v>82678387</v>
      </c>
      <c r="F2840" s="9" t="s">
        <v>7798</v>
      </c>
      <c r="G2840" s="9" t="s">
        <v>7799</v>
      </c>
      <c r="H2840" s="12" t="s">
        <v>7800</v>
      </c>
      <c r="I2840" s="10">
        <v>45646</v>
      </c>
    </row>
    <row r="2841" spans="1:9" x14ac:dyDescent="0.15">
      <c r="A2841" s="9">
        <v>2840</v>
      </c>
      <c r="B2841" s="9" t="s">
        <v>9</v>
      </c>
      <c r="C2841" s="9">
        <v>1927</v>
      </c>
      <c r="D2841" s="10">
        <v>45729</v>
      </c>
      <c r="E2841" s="11" t="str">
        <f>+HYPERLINK("http://trademark.i-assist.jp/data/china/image_1927th/82679170.pdf","82679170")</f>
        <v>82679170</v>
      </c>
      <c r="F2841" s="9" t="s">
        <v>7801</v>
      </c>
      <c r="G2841" s="9" t="s">
        <v>7802</v>
      </c>
      <c r="H2841" s="9" t="s">
        <v>7803</v>
      </c>
      <c r="I2841" s="10">
        <v>45646</v>
      </c>
    </row>
    <row r="2842" spans="1:9" x14ac:dyDescent="0.15">
      <c r="A2842" s="9">
        <v>2841</v>
      </c>
      <c r="B2842" s="9" t="s">
        <v>9</v>
      </c>
      <c r="C2842" s="9">
        <v>1927</v>
      </c>
      <c r="D2842" s="10">
        <v>45729</v>
      </c>
      <c r="E2842" s="11" t="str">
        <f>+HYPERLINK("http://trademark.i-assist.jp/data/china/image_1927th/82679641.pdf","82679641")</f>
        <v>82679641</v>
      </c>
      <c r="F2842" s="9" t="s">
        <v>7804</v>
      </c>
      <c r="G2842" s="9" t="s">
        <v>7805</v>
      </c>
      <c r="H2842" s="9" t="s">
        <v>7806</v>
      </c>
      <c r="I2842" s="10">
        <v>45646</v>
      </c>
    </row>
    <row r="2843" spans="1:9" x14ac:dyDescent="0.15">
      <c r="A2843" s="9">
        <v>2842</v>
      </c>
      <c r="B2843" s="9" t="s">
        <v>9</v>
      </c>
      <c r="C2843" s="9">
        <v>1927</v>
      </c>
      <c r="D2843" s="10">
        <v>45729</v>
      </c>
      <c r="E2843" s="11" t="str">
        <f>+HYPERLINK("http://trademark.i-assist.jp/data/china/image_1927th/82680842.pdf","82680842")</f>
        <v>82680842</v>
      </c>
      <c r="F2843" s="9" t="s">
        <v>7807</v>
      </c>
      <c r="G2843" s="9" t="s">
        <v>7808</v>
      </c>
      <c r="H2843" s="9" t="s">
        <v>7809</v>
      </c>
      <c r="I2843" s="10">
        <v>45646</v>
      </c>
    </row>
    <row r="2844" spans="1:9" x14ac:dyDescent="0.15">
      <c r="A2844" s="9">
        <v>2843</v>
      </c>
      <c r="B2844" s="9" t="s">
        <v>9</v>
      </c>
      <c r="C2844" s="9">
        <v>1927</v>
      </c>
      <c r="D2844" s="10">
        <v>45729</v>
      </c>
      <c r="E2844" s="11" t="str">
        <f>+HYPERLINK("http://trademark.i-assist.jp/data/china/image_1927th/82681338.pdf","82681338")</f>
        <v>82681338</v>
      </c>
      <c r="F2844" s="9" t="s">
        <v>7810</v>
      </c>
      <c r="G2844" s="9" t="s">
        <v>7811</v>
      </c>
      <c r="H2844" s="12" t="s">
        <v>7812</v>
      </c>
      <c r="I2844" s="10">
        <v>45646</v>
      </c>
    </row>
    <row r="2845" spans="1:9" x14ac:dyDescent="0.15">
      <c r="A2845" s="9">
        <v>2844</v>
      </c>
      <c r="B2845" s="9" t="s">
        <v>9</v>
      </c>
      <c r="C2845" s="9">
        <v>1927</v>
      </c>
      <c r="D2845" s="10">
        <v>45729</v>
      </c>
      <c r="E2845" s="11" t="str">
        <f>+HYPERLINK("http://trademark.i-assist.jp/data/china/image_1927th/82681347.pdf","82681347")</f>
        <v>82681347</v>
      </c>
      <c r="F2845" s="9" t="s">
        <v>7813</v>
      </c>
      <c r="G2845" s="9" t="s">
        <v>7814</v>
      </c>
      <c r="H2845" s="12" t="s">
        <v>7815</v>
      </c>
      <c r="I2845" s="10">
        <v>45646</v>
      </c>
    </row>
    <row r="2846" spans="1:9" x14ac:dyDescent="0.15">
      <c r="A2846" s="9">
        <v>2845</v>
      </c>
      <c r="B2846" s="9" t="s">
        <v>9</v>
      </c>
      <c r="C2846" s="9">
        <v>1927</v>
      </c>
      <c r="D2846" s="10">
        <v>45729</v>
      </c>
      <c r="E2846" s="11" t="str">
        <f>+HYPERLINK("http://trademark.i-assist.jp/data/china/image_1927th/82681418.pdf","82681418")</f>
        <v>82681418</v>
      </c>
      <c r="F2846" s="12" t="s">
        <v>7816</v>
      </c>
      <c r="G2846" s="9" t="s">
        <v>7817</v>
      </c>
      <c r="H2846" s="9" t="s">
        <v>7818</v>
      </c>
      <c r="I2846" s="10">
        <v>45646</v>
      </c>
    </row>
    <row r="2847" spans="1:9" x14ac:dyDescent="0.15">
      <c r="A2847" s="9">
        <v>2846</v>
      </c>
      <c r="B2847" s="9" t="s">
        <v>9</v>
      </c>
      <c r="C2847" s="9">
        <v>1927</v>
      </c>
      <c r="D2847" s="10">
        <v>45729</v>
      </c>
      <c r="E2847" s="11" t="str">
        <f>+HYPERLINK("http://trademark.i-assist.jp/data/china/image_1927th/82681741.pdf","82681741")</f>
        <v>82681741</v>
      </c>
      <c r="F2847" s="9" t="s">
        <v>7819</v>
      </c>
      <c r="G2847" s="9" t="s">
        <v>2315</v>
      </c>
      <c r="H2847" s="9" t="s">
        <v>7820</v>
      </c>
      <c r="I2847" s="10">
        <v>45646</v>
      </c>
    </row>
    <row r="2848" spans="1:9" x14ac:dyDescent="0.15">
      <c r="A2848" s="9">
        <v>2847</v>
      </c>
      <c r="B2848" s="9" t="s">
        <v>9</v>
      </c>
      <c r="C2848" s="9">
        <v>1927</v>
      </c>
      <c r="D2848" s="10">
        <v>45729</v>
      </c>
      <c r="E2848" s="11" t="str">
        <f>+HYPERLINK("http://trademark.i-assist.jp/data/china/image_1927th/82682175.pdf","82682175")</f>
        <v>82682175</v>
      </c>
      <c r="F2848" s="12" t="s">
        <v>7821</v>
      </c>
      <c r="G2848" s="9" t="s">
        <v>7822</v>
      </c>
      <c r="H2848" s="9" t="s">
        <v>7823</v>
      </c>
      <c r="I2848" s="10">
        <v>45646</v>
      </c>
    </row>
    <row r="2849" spans="1:9" x14ac:dyDescent="0.15">
      <c r="A2849" s="9">
        <v>2848</v>
      </c>
      <c r="B2849" s="9" t="s">
        <v>9</v>
      </c>
      <c r="C2849" s="9">
        <v>1927</v>
      </c>
      <c r="D2849" s="10">
        <v>45729</v>
      </c>
      <c r="E2849" s="11" t="str">
        <f>+HYPERLINK("http://trademark.i-assist.jp/data/china/image_1927th/82682261.pdf","82682261")</f>
        <v>82682261</v>
      </c>
      <c r="F2849" s="9" t="s">
        <v>7824</v>
      </c>
      <c r="G2849" s="12" t="s">
        <v>7825</v>
      </c>
      <c r="H2849" s="9" t="s">
        <v>7826</v>
      </c>
      <c r="I2849" s="10">
        <v>45646</v>
      </c>
    </row>
    <row r="2850" spans="1:9" x14ac:dyDescent="0.15">
      <c r="A2850" s="9">
        <v>2849</v>
      </c>
      <c r="B2850" s="9" t="s">
        <v>9</v>
      </c>
      <c r="C2850" s="9">
        <v>1927</v>
      </c>
      <c r="D2850" s="10">
        <v>45729</v>
      </c>
      <c r="E2850" s="11" t="str">
        <f>+HYPERLINK("http://trademark.i-assist.jp/data/china/image_1927th/82683042.pdf","82683042")</f>
        <v>82683042</v>
      </c>
      <c r="F2850" s="9" t="s">
        <v>7827</v>
      </c>
      <c r="G2850" s="9" t="s">
        <v>7725</v>
      </c>
      <c r="H2850" s="9" t="s">
        <v>7828</v>
      </c>
      <c r="I2850" s="10">
        <v>45646</v>
      </c>
    </row>
    <row r="2851" spans="1:9" x14ac:dyDescent="0.15">
      <c r="A2851" s="9">
        <v>2850</v>
      </c>
      <c r="B2851" s="9" t="s">
        <v>9</v>
      </c>
      <c r="C2851" s="9">
        <v>1927</v>
      </c>
      <c r="D2851" s="10">
        <v>45729</v>
      </c>
      <c r="E2851" s="11" t="str">
        <f>+HYPERLINK("http://trademark.i-assist.jp/data/china/image_1927th/82683816.pdf","82683816")</f>
        <v>82683816</v>
      </c>
      <c r="F2851" s="9" t="s">
        <v>7829</v>
      </c>
      <c r="G2851" s="9" t="s">
        <v>7830</v>
      </c>
      <c r="H2851" s="9" t="s">
        <v>7831</v>
      </c>
      <c r="I2851" s="10">
        <v>45646</v>
      </c>
    </row>
    <row r="2852" spans="1:9" x14ac:dyDescent="0.15">
      <c r="A2852" s="9">
        <v>2851</v>
      </c>
      <c r="B2852" s="9" t="s">
        <v>9</v>
      </c>
      <c r="C2852" s="9">
        <v>1927</v>
      </c>
      <c r="D2852" s="10">
        <v>45729</v>
      </c>
      <c r="E2852" s="11" t="str">
        <f>+HYPERLINK("http://trademark.i-assist.jp/data/china/image_1927th/82684277.pdf","82684277")</f>
        <v>82684277</v>
      </c>
      <c r="F2852" s="9" t="s">
        <v>7832</v>
      </c>
      <c r="G2852" s="9" t="s">
        <v>7039</v>
      </c>
      <c r="H2852" s="9" t="s">
        <v>7833</v>
      </c>
      <c r="I2852" s="10">
        <v>45646</v>
      </c>
    </row>
    <row r="2853" spans="1:9" x14ac:dyDescent="0.15">
      <c r="A2853" s="9">
        <v>2852</v>
      </c>
      <c r="B2853" s="9" t="s">
        <v>9</v>
      </c>
      <c r="C2853" s="9">
        <v>1927</v>
      </c>
      <c r="D2853" s="10">
        <v>45729</v>
      </c>
      <c r="E2853" s="11" t="str">
        <f>+HYPERLINK("http://trademark.i-assist.jp/data/china/image_1927th/82684452.pdf","82684452")</f>
        <v>82684452</v>
      </c>
      <c r="F2853" s="9" t="s">
        <v>7834</v>
      </c>
      <c r="G2853" s="9" t="s">
        <v>192</v>
      </c>
      <c r="H2853" s="9" t="s">
        <v>7835</v>
      </c>
      <c r="I2853" s="10">
        <v>45646</v>
      </c>
    </row>
    <row r="2854" spans="1:9" x14ac:dyDescent="0.15">
      <c r="A2854" s="9">
        <v>2853</v>
      </c>
      <c r="B2854" s="9" t="s">
        <v>9</v>
      </c>
      <c r="C2854" s="9">
        <v>1927</v>
      </c>
      <c r="D2854" s="10">
        <v>45729</v>
      </c>
      <c r="E2854" s="11" t="str">
        <f>+HYPERLINK("http://trademark.i-assist.jp/data/china/image_1927th/82684524.pdf","82684524")</f>
        <v>82684524</v>
      </c>
      <c r="F2854" s="9" t="s">
        <v>7836</v>
      </c>
      <c r="G2854" s="9" t="s">
        <v>7837</v>
      </c>
      <c r="H2854" s="9" t="s">
        <v>7838</v>
      </c>
      <c r="I2854" s="10">
        <v>45646</v>
      </c>
    </row>
    <row r="2855" spans="1:9" x14ac:dyDescent="0.15">
      <c r="A2855" s="9">
        <v>2854</v>
      </c>
      <c r="B2855" s="9" t="s">
        <v>9</v>
      </c>
      <c r="C2855" s="9">
        <v>1927</v>
      </c>
      <c r="D2855" s="10">
        <v>45729</v>
      </c>
      <c r="E2855" s="11" t="str">
        <f>+HYPERLINK("http://trademark.i-assist.jp/data/china/image_1927th/82684613.pdf","82684613")</f>
        <v>82684613</v>
      </c>
      <c r="F2855" s="9" t="s">
        <v>7839</v>
      </c>
      <c r="G2855" s="9" t="s">
        <v>7840</v>
      </c>
      <c r="H2855" s="9" t="s">
        <v>7841</v>
      </c>
      <c r="I2855" s="10">
        <v>45646</v>
      </c>
    </row>
    <row r="2856" spans="1:9" x14ac:dyDescent="0.15">
      <c r="A2856" s="9">
        <v>2855</v>
      </c>
      <c r="B2856" s="9" t="s">
        <v>9</v>
      </c>
      <c r="C2856" s="9">
        <v>1927</v>
      </c>
      <c r="D2856" s="10">
        <v>45729</v>
      </c>
      <c r="E2856" s="11" t="str">
        <f>+HYPERLINK("http://trademark.i-assist.jp/data/china/image_1927th/82685350.pdf","82685350")</f>
        <v>82685350</v>
      </c>
      <c r="F2856" s="9" t="s">
        <v>7842</v>
      </c>
      <c r="G2856" s="12" t="s">
        <v>7843</v>
      </c>
      <c r="H2856" s="9" t="s">
        <v>7844</v>
      </c>
      <c r="I2856" s="10">
        <v>45646</v>
      </c>
    </row>
    <row r="2857" spans="1:9" x14ac:dyDescent="0.15">
      <c r="A2857" s="9">
        <v>2856</v>
      </c>
      <c r="B2857" s="9" t="s">
        <v>9</v>
      </c>
      <c r="C2857" s="9">
        <v>1927</v>
      </c>
      <c r="D2857" s="10">
        <v>45729</v>
      </c>
      <c r="E2857" s="11" t="str">
        <f>+HYPERLINK("http://trademark.i-assist.jp/data/china/image_1927th/82685449.pdf","82685449")</f>
        <v>82685449</v>
      </c>
      <c r="F2857" s="9" t="s">
        <v>7845</v>
      </c>
      <c r="G2857" s="9" t="s">
        <v>7846</v>
      </c>
      <c r="H2857" s="12" t="s">
        <v>7847</v>
      </c>
      <c r="I2857" s="10">
        <v>45646</v>
      </c>
    </row>
    <row r="2858" spans="1:9" x14ac:dyDescent="0.15">
      <c r="A2858" s="9">
        <v>2857</v>
      </c>
      <c r="B2858" s="9" t="s">
        <v>9</v>
      </c>
      <c r="C2858" s="9">
        <v>1927</v>
      </c>
      <c r="D2858" s="10">
        <v>45729</v>
      </c>
      <c r="E2858" s="11" t="str">
        <f>+HYPERLINK("http://trademark.i-assist.jp/data/china/image_1927th/82685998.pdf","82685998")</f>
        <v>82685998</v>
      </c>
      <c r="F2858" s="9" t="s">
        <v>7848</v>
      </c>
      <c r="G2858" s="9" t="s">
        <v>7849</v>
      </c>
      <c r="H2858" s="9" t="s">
        <v>7850</v>
      </c>
      <c r="I2858" s="10">
        <v>45646</v>
      </c>
    </row>
    <row r="2859" spans="1:9" x14ac:dyDescent="0.15">
      <c r="A2859" s="9">
        <v>2858</v>
      </c>
      <c r="B2859" s="9" t="s">
        <v>9</v>
      </c>
      <c r="C2859" s="9">
        <v>1927</v>
      </c>
      <c r="D2859" s="10">
        <v>45729</v>
      </c>
      <c r="E2859" s="11" t="str">
        <f>+HYPERLINK("http://trademark.i-assist.jp/data/china/image_1927th/82686042.pdf","82686042")</f>
        <v>82686042</v>
      </c>
      <c r="F2859" s="9" t="s">
        <v>7851</v>
      </c>
      <c r="G2859" s="9" t="s">
        <v>7852</v>
      </c>
      <c r="H2859" s="9" t="s">
        <v>7853</v>
      </c>
      <c r="I2859" s="10">
        <v>45646</v>
      </c>
    </row>
    <row r="2860" spans="1:9" x14ac:dyDescent="0.15">
      <c r="A2860" s="9">
        <v>2859</v>
      </c>
      <c r="B2860" s="9" t="s">
        <v>9</v>
      </c>
      <c r="C2860" s="9">
        <v>1927</v>
      </c>
      <c r="D2860" s="10">
        <v>45729</v>
      </c>
      <c r="E2860" s="11" t="str">
        <f>+HYPERLINK("http://trademark.i-assist.jp/data/china/image_1927th/82686426.pdf","82686426")</f>
        <v>82686426</v>
      </c>
      <c r="F2860" s="9" t="s">
        <v>7854</v>
      </c>
      <c r="G2860" s="9" t="s">
        <v>7855</v>
      </c>
      <c r="H2860" s="9" t="s">
        <v>7856</v>
      </c>
      <c r="I2860" s="10">
        <v>45646</v>
      </c>
    </row>
    <row r="2861" spans="1:9" x14ac:dyDescent="0.15">
      <c r="A2861" s="9">
        <v>2860</v>
      </c>
      <c r="B2861" s="9" t="s">
        <v>9</v>
      </c>
      <c r="C2861" s="9">
        <v>1927</v>
      </c>
      <c r="D2861" s="10">
        <v>45729</v>
      </c>
      <c r="E2861" s="11" t="str">
        <f>+HYPERLINK("http://trademark.i-assist.jp/data/china/image_1927th/82686564.pdf","82686564")</f>
        <v>82686564</v>
      </c>
      <c r="F2861" s="12" t="s">
        <v>7857</v>
      </c>
      <c r="G2861" s="9" t="s">
        <v>7805</v>
      </c>
      <c r="H2861" s="9" t="s">
        <v>7858</v>
      </c>
      <c r="I2861" s="10">
        <v>45646</v>
      </c>
    </row>
    <row r="2862" spans="1:9" x14ac:dyDescent="0.15">
      <c r="A2862" s="9">
        <v>2861</v>
      </c>
      <c r="B2862" s="9" t="s">
        <v>9</v>
      </c>
      <c r="C2862" s="9">
        <v>1927</v>
      </c>
      <c r="D2862" s="10">
        <v>45729</v>
      </c>
      <c r="E2862" s="11" t="str">
        <f>+HYPERLINK("http://trademark.i-assist.jp/data/china/image_1927th/82687371.pdf","82687371")</f>
        <v>82687371</v>
      </c>
      <c r="F2862" s="9" t="s">
        <v>7859</v>
      </c>
      <c r="G2862" s="9" t="s">
        <v>7860</v>
      </c>
      <c r="H2862" s="9" t="s">
        <v>7861</v>
      </c>
      <c r="I2862" s="10">
        <v>45647</v>
      </c>
    </row>
    <row r="2863" spans="1:9" x14ac:dyDescent="0.15">
      <c r="A2863" s="9">
        <v>2862</v>
      </c>
      <c r="B2863" s="9" t="s">
        <v>9</v>
      </c>
      <c r="C2863" s="9">
        <v>1927</v>
      </c>
      <c r="D2863" s="10">
        <v>45729</v>
      </c>
      <c r="E2863" s="11" t="str">
        <f>+HYPERLINK("http://trademark.i-assist.jp/data/china/image_1927th/82687443.pdf","82687443")</f>
        <v>82687443</v>
      </c>
      <c r="F2863" s="12" t="s">
        <v>7862</v>
      </c>
      <c r="G2863" s="9" t="s">
        <v>7863</v>
      </c>
      <c r="H2863" s="9" t="s">
        <v>7864</v>
      </c>
      <c r="I2863" s="10">
        <v>45647</v>
      </c>
    </row>
    <row r="2864" spans="1:9" x14ac:dyDescent="0.15">
      <c r="A2864" s="9">
        <v>2863</v>
      </c>
      <c r="B2864" s="9" t="s">
        <v>9</v>
      </c>
      <c r="C2864" s="9">
        <v>1927</v>
      </c>
      <c r="D2864" s="10">
        <v>45729</v>
      </c>
      <c r="E2864" s="11" t="str">
        <f>+HYPERLINK("http://trademark.i-assist.jp/data/china/image_1927th/82687544.pdf","82687544")</f>
        <v>82687544</v>
      </c>
      <c r="F2864" s="9" t="s">
        <v>7865</v>
      </c>
      <c r="G2864" s="9" t="s">
        <v>7866</v>
      </c>
      <c r="H2864" s="9" t="s">
        <v>7867</v>
      </c>
      <c r="I2864" s="10">
        <v>45647</v>
      </c>
    </row>
    <row r="2865" spans="1:9" x14ac:dyDescent="0.15">
      <c r="A2865" s="9">
        <v>2864</v>
      </c>
      <c r="B2865" s="9" t="s">
        <v>9</v>
      </c>
      <c r="C2865" s="9">
        <v>1927</v>
      </c>
      <c r="D2865" s="10">
        <v>45729</v>
      </c>
      <c r="E2865" s="11" t="str">
        <f>+HYPERLINK("http://trademark.i-assist.jp/data/china/image_1927th/82687956.pdf","82687956")</f>
        <v>82687956</v>
      </c>
      <c r="F2865" s="9" t="s">
        <v>7868</v>
      </c>
      <c r="G2865" s="9" t="s">
        <v>7869</v>
      </c>
      <c r="H2865" s="9" t="s">
        <v>7870</v>
      </c>
      <c r="I2865" s="10">
        <v>45647</v>
      </c>
    </row>
    <row r="2866" spans="1:9" x14ac:dyDescent="0.15">
      <c r="A2866" s="9">
        <v>2865</v>
      </c>
      <c r="B2866" s="9" t="s">
        <v>9</v>
      </c>
      <c r="C2866" s="9">
        <v>1927</v>
      </c>
      <c r="D2866" s="10">
        <v>45729</v>
      </c>
      <c r="E2866" s="11" t="str">
        <f>+HYPERLINK("http://trademark.i-assist.jp/data/china/image_1927th/82688056.pdf","82688056")</f>
        <v>82688056</v>
      </c>
      <c r="F2866" s="9" t="s">
        <v>7871</v>
      </c>
      <c r="G2866" s="9" t="s">
        <v>7866</v>
      </c>
      <c r="H2866" s="12" t="s">
        <v>7872</v>
      </c>
      <c r="I2866" s="10">
        <v>45647</v>
      </c>
    </row>
    <row r="2867" spans="1:9" x14ac:dyDescent="0.15">
      <c r="A2867" s="9">
        <v>2866</v>
      </c>
      <c r="B2867" s="9" t="s">
        <v>9</v>
      </c>
      <c r="C2867" s="9">
        <v>1927</v>
      </c>
      <c r="D2867" s="10">
        <v>45729</v>
      </c>
      <c r="E2867" s="11" t="str">
        <f>+HYPERLINK("http://trademark.i-assist.jp/data/china/image_1927th/82688257.pdf","82688257")</f>
        <v>82688257</v>
      </c>
      <c r="F2867" s="9" t="s">
        <v>7873</v>
      </c>
      <c r="G2867" s="9" t="s">
        <v>7874</v>
      </c>
      <c r="H2867" s="9" t="s">
        <v>7875</v>
      </c>
      <c r="I2867" s="10">
        <v>45647</v>
      </c>
    </row>
    <row r="2868" spans="1:9" x14ac:dyDescent="0.15">
      <c r="A2868" s="9">
        <v>2867</v>
      </c>
      <c r="B2868" s="9" t="s">
        <v>9</v>
      </c>
      <c r="C2868" s="9">
        <v>1927</v>
      </c>
      <c r="D2868" s="10">
        <v>45729</v>
      </c>
      <c r="E2868" s="11" t="str">
        <f>+HYPERLINK("http://trademark.i-assist.jp/data/china/image_1927th/82688298.pdf","82688298")</f>
        <v>82688298</v>
      </c>
      <c r="F2868" s="9" t="s">
        <v>7876</v>
      </c>
      <c r="G2868" s="9" t="s">
        <v>7877</v>
      </c>
      <c r="H2868" s="9" t="s">
        <v>7878</v>
      </c>
      <c r="I2868" s="10">
        <v>45647</v>
      </c>
    </row>
    <row r="2869" spans="1:9" x14ac:dyDescent="0.15">
      <c r="A2869" s="9">
        <v>2868</v>
      </c>
      <c r="B2869" s="9" t="s">
        <v>9</v>
      </c>
      <c r="C2869" s="9">
        <v>1927</v>
      </c>
      <c r="D2869" s="10">
        <v>45729</v>
      </c>
      <c r="E2869" s="11" t="str">
        <f>+HYPERLINK("http://trademark.i-assist.jp/data/china/image_1927th/82688344.pdf","82688344")</f>
        <v>82688344</v>
      </c>
      <c r="F2869" s="9" t="s">
        <v>7879</v>
      </c>
      <c r="G2869" s="9" t="s">
        <v>7880</v>
      </c>
      <c r="H2869" s="9" t="s">
        <v>7881</v>
      </c>
      <c r="I2869" s="10">
        <v>45647</v>
      </c>
    </row>
    <row r="2870" spans="1:9" x14ac:dyDescent="0.15">
      <c r="A2870" s="9">
        <v>2869</v>
      </c>
      <c r="B2870" s="9" t="s">
        <v>9</v>
      </c>
      <c r="C2870" s="9">
        <v>1927</v>
      </c>
      <c r="D2870" s="10">
        <v>45729</v>
      </c>
      <c r="E2870" s="11" t="str">
        <f>+HYPERLINK("http://trademark.i-assist.jp/data/china/image_1927th/82688514.pdf","82688514")</f>
        <v>82688514</v>
      </c>
      <c r="F2870" s="9" t="s">
        <v>7882</v>
      </c>
      <c r="G2870" s="9" t="s">
        <v>7883</v>
      </c>
      <c r="H2870" s="9" t="s">
        <v>7884</v>
      </c>
      <c r="I2870" s="10">
        <v>45647</v>
      </c>
    </row>
    <row r="2871" spans="1:9" x14ac:dyDescent="0.15">
      <c r="A2871" s="9">
        <v>2870</v>
      </c>
      <c r="B2871" s="9" t="s">
        <v>9</v>
      </c>
      <c r="C2871" s="9">
        <v>1927</v>
      </c>
      <c r="D2871" s="10">
        <v>45729</v>
      </c>
      <c r="E2871" s="11" t="str">
        <f>+HYPERLINK("http://trademark.i-assist.jp/data/china/image_1927th/82688550.pdf","82688550")</f>
        <v>82688550</v>
      </c>
      <c r="F2871" s="9" t="s">
        <v>7885</v>
      </c>
      <c r="G2871" s="9" t="s">
        <v>7886</v>
      </c>
      <c r="H2871" s="9" t="s">
        <v>7887</v>
      </c>
      <c r="I2871" s="10">
        <v>45647</v>
      </c>
    </row>
    <row r="2872" spans="1:9" x14ac:dyDescent="0.15">
      <c r="A2872" s="9">
        <v>2871</v>
      </c>
      <c r="B2872" s="9" t="s">
        <v>9</v>
      </c>
      <c r="C2872" s="9">
        <v>1927</v>
      </c>
      <c r="D2872" s="10">
        <v>45729</v>
      </c>
      <c r="E2872" s="11" t="str">
        <f>+HYPERLINK("http://trademark.i-assist.jp/data/china/image_1927th/82688818.pdf","82688818")</f>
        <v>82688818</v>
      </c>
      <c r="F2872" s="12" t="s">
        <v>7888</v>
      </c>
      <c r="G2872" s="9" t="s">
        <v>7889</v>
      </c>
      <c r="H2872" s="9" t="s">
        <v>7890</v>
      </c>
      <c r="I2872" s="10">
        <v>45647</v>
      </c>
    </row>
    <row r="2873" spans="1:9" x14ac:dyDescent="0.15">
      <c r="A2873" s="9">
        <v>2872</v>
      </c>
      <c r="B2873" s="9" t="s">
        <v>9</v>
      </c>
      <c r="C2873" s="9">
        <v>1927</v>
      </c>
      <c r="D2873" s="10">
        <v>45729</v>
      </c>
      <c r="E2873" s="11" t="str">
        <f>+HYPERLINK("http://trademark.i-assist.jp/data/china/image_1927th/82689233.pdf","82689233")</f>
        <v>82689233</v>
      </c>
      <c r="F2873" s="9" t="s">
        <v>7891</v>
      </c>
      <c r="G2873" s="9" t="s">
        <v>7892</v>
      </c>
      <c r="H2873" s="9" t="s">
        <v>7893</v>
      </c>
      <c r="I2873" s="10">
        <v>45647</v>
      </c>
    </row>
    <row r="2874" spans="1:9" x14ac:dyDescent="0.15">
      <c r="A2874" s="9">
        <v>2873</v>
      </c>
      <c r="B2874" s="9" t="s">
        <v>9</v>
      </c>
      <c r="C2874" s="9">
        <v>1927</v>
      </c>
      <c r="D2874" s="10">
        <v>45729</v>
      </c>
      <c r="E2874" s="11" t="str">
        <f>+HYPERLINK("http://trademark.i-assist.jp/data/china/image_1927th/82689455.pdf","82689455")</f>
        <v>82689455</v>
      </c>
      <c r="F2874" s="12" t="s">
        <v>7894</v>
      </c>
      <c r="G2874" s="9" t="s">
        <v>7895</v>
      </c>
      <c r="H2874" s="9" t="s">
        <v>7896</v>
      </c>
      <c r="I2874" s="10">
        <v>45647</v>
      </c>
    </row>
    <row r="2875" spans="1:9" x14ac:dyDescent="0.15">
      <c r="A2875" s="9">
        <v>2874</v>
      </c>
      <c r="B2875" s="9" t="s">
        <v>9</v>
      </c>
      <c r="C2875" s="9">
        <v>1927</v>
      </c>
      <c r="D2875" s="10">
        <v>45729</v>
      </c>
      <c r="E2875" s="11" t="str">
        <f>+HYPERLINK("http://trademark.i-assist.jp/data/china/image_1927th/82689528.pdf","82689528")</f>
        <v>82689528</v>
      </c>
      <c r="F2875" s="9" t="s">
        <v>7897</v>
      </c>
      <c r="G2875" s="9" t="s">
        <v>7898</v>
      </c>
      <c r="H2875" s="9" t="s">
        <v>7899</v>
      </c>
      <c r="I2875" s="10">
        <v>45647</v>
      </c>
    </row>
    <row r="2876" spans="1:9" x14ac:dyDescent="0.15">
      <c r="A2876" s="9">
        <v>2875</v>
      </c>
      <c r="B2876" s="9" t="s">
        <v>9</v>
      </c>
      <c r="C2876" s="9">
        <v>1927</v>
      </c>
      <c r="D2876" s="10">
        <v>45729</v>
      </c>
      <c r="E2876" s="11" t="str">
        <f>+HYPERLINK("http://trademark.i-assist.jp/data/china/image_1927th/82689773.pdf","82689773")</f>
        <v>82689773</v>
      </c>
      <c r="F2876" s="9" t="s">
        <v>7900</v>
      </c>
      <c r="G2876" s="9" t="s">
        <v>7898</v>
      </c>
      <c r="H2876" s="9" t="s">
        <v>7901</v>
      </c>
      <c r="I2876" s="10">
        <v>45647</v>
      </c>
    </row>
    <row r="2877" spans="1:9" x14ac:dyDescent="0.15">
      <c r="A2877" s="9">
        <v>2876</v>
      </c>
      <c r="B2877" s="9" t="s">
        <v>9</v>
      </c>
      <c r="C2877" s="9">
        <v>1927</v>
      </c>
      <c r="D2877" s="10">
        <v>45729</v>
      </c>
      <c r="E2877" s="11" t="str">
        <f>+HYPERLINK("http://trademark.i-assist.jp/data/china/image_1927th/82689831.pdf","82689831")</f>
        <v>82689831</v>
      </c>
      <c r="F2877" s="9" t="s">
        <v>7902</v>
      </c>
      <c r="G2877" s="9" t="s">
        <v>7903</v>
      </c>
      <c r="H2877" s="12" t="s">
        <v>7904</v>
      </c>
      <c r="I2877" s="10">
        <v>45647</v>
      </c>
    </row>
    <row r="2878" spans="1:9" x14ac:dyDescent="0.15">
      <c r="A2878" s="9">
        <v>2877</v>
      </c>
      <c r="B2878" s="9" t="s">
        <v>9</v>
      </c>
      <c r="C2878" s="9">
        <v>1927</v>
      </c>
      <c r="D2878" s="10">
        <v>45729</v>
      </c>
      <c r="E2878" s="11" t="str">
        <f>+HYPERLINK("http://trademark.i-assist.jp/data/china/image_1927th/82691341.pdf","82691341")</f>
        <v>82691341</v>
      </c>
      <c r="F2878" s="9" t="s">
        <v>7905</v>
      </c>
      <c r="G2878" s="9" t="s">
        <v>7906</v>
      </c>
      <c r="H2878" s="9" t="s">
        <v>7907</v>
      </c>
      <c r="I2878" s="10">
        <v>45647</v>
      </c>
    </row>
    <row r="2879" spans="1:9" x14ac:dyDescent="0.15">
      <c r="A2879" s="9">
        <v>2878</v>
      </c>
      <c r="B2879" s="9" t="s">
        <v>9</v>
      </c>
      <c r="C2879" s="9">
        <v>1927</v>
      </c>
      <c r="D2879" s="10">
        <v>45729</v>
      </c>
      <c r="E2879" s="11" t="str">
        <f>+HYPERLINK("http://trademark.i-assist.jp/data/china/image_1927th/82691954.pdf","82691954")</f>
        <v>82691954</v>
      </c>
      <c r="F2879" s="9" t="s">
        <v>7908</v>
      </c>
      <c r="G2879" s="9" t="s">
        <v>7909</v>
      </c>
      <c r="H2879" s="9" t="s">
        <v>7910</v>
      </c>
      <c r="I2879" s="10">
        <v>45647</v>
      </c>
    </row>
    <row r="2880" spans="1:9" x14ac:dyDescent="0.15">
      <c r="A2880" s="9">
        <v>2879</v>
      </c>
      <c r="B2880" s="9" t="s">
        <v>9</v>
      </c>
      <c r="C2880" s="9">
        <v>1927</v>
      </c>
      <c r="D2880" s="10">
        <v>45729</v>
      </c>
      <c r="E2880" s="11" t="str">
        <f>+HYPERLINK("http://trademark.i-assist.jp/data/china/image_1927th/82692113.pdf","82692113")</f>
        <v>82692113</v>
      </c>
      <c r="F2880" s="12" t="s">
        <v>16</v>
      </c>
      <c r="G2880" s="9" t="s">
        <v>7911</v>
      </c>
      <c r="H2880" s="9" t="s">
        <v>7912</v>
      </c>
      <c r="I2880" s="10">
        <v>45647</v>
      </c>
    </row>
    <row r="2881" spans="1:9" x14ac:dyDescent="0.15">
      <c r="A2881" s="9">
        <v>2880</v>
      </c>
      <c r="B2881" s="9" t="s">
        <v>9</v>
      </c>
      <c r="C2881" s="9">
        <v>1927</v>
      </c>
      <c r="D2881" s="10">
        <v>45729</v>
      </c>
      <c r="E2881" s="11" t="str">
        <f>+HYPERLINK("http://trademark.i-assist.jp/data/china/image_1927th/82692406.pdf","82692406")</f>
        <v>82692406</v>
      </c>
      <c r="F2881" s="9" t="s">
        <v>7913</v>
      </c>
      <c r="G2881" s="9" t="s">
        <v>7914</v>
      </c>
      <c r="H2881" s="9" t="s">
        <v>7915</v>
      </c>
      <c r="I2881" s="10">
        <v>45647</v>
      </c>
    </row>
    <row r="2882" spans="1:9" x14ac:dyDescent="0.15">
      <c r="A2882" s="9">
        <v>2881</v>
      </c>
      <c r="B2882" s="9" t="s">
        <v>9</v>
      </c>
      <c r="C2882" s="9">
        <v>1927</v>
      </c>
      <c r="D2882" s="10">
        <v>45729</v>
      </c>
      <c r="E2882" s="11" t="str">
        <f>+HYPERLINK("http://trademark.i-assist.jp/data/china/image_1927th/82693343.pdf","82693343")</f>
        <v>82693343</v>
      </c>
      <c r="F2882" s="12" t="s">
        <v>7916</v>
      </c>
      <c r="G2882" s="9" t="s">
        <v>7917</v>
      </c>
      <c r="H2882" s="9" t="s">
        <v>7918</v>
      </c>
      <c r="I2882" s="10">
        <v>45648</v>
      </c>
    </row>
    <row r="2883" spans="1:9" x14ac:dyDescent="0.15">
      <c r="A2883" s="9">
        <v>2882</v>
      </c>
      <c r="B2883" s="9" t="s">
        <v>9</v>
      </c>
      <c r="C2883" s="9">
        <v>1927</v>
      </c>
      <c r="D2883" s="10">
        <v>45729</v>
      </c>
      <c r="E2883" s="11" t="str">
        <f>+HYPERLINK("http://trademark.i-assist.jp/data/china/image_1927th/82693975.pdf","82693975")</f>
        <v>82693975</v>
      </c>
      <c r="F2883" s="9" t="s">
        <v>7919</v>
      </c>
      <c r="G2883" s="9" t="s">
        <v>7920</v>
      </c>
      <c r="H2883" s="12" t="s">
        <v>7921</v>
      </c>
      <c r="I2883" s="10">
        <v>45648</v>
      </c>
    </row>
    <row r="2884" spans="1:9" x14ac:dyDescent="0.15">
      <c r="A2884" s="9">
        <v>2883</v>
      </c>
      <c r="B2884" s="9" t="s">
        <v>9</v>
      </c>
      <c r="C2884" s="9">
        <v>1927</v>
      </c>
      <c r="D2884" s="10">
        <v>45729</v>
      </c>
      <c r="E2884" s="11" t="str">
        <f>+HYPERLINK("http://trademark.i-assist.jp/data/china/image_1927th/82694424.pdf","82694424")</f>
        <v>82694424</v>
      </c>
      <c r="F2884" s="9" t="s">
        <v>7922</v>
      </c>
      <c r="G2884" s="9" t="s">
        <v>7923</v>
      </c>
      <c r="H2884" s="12" t="s">
        <v>7924</v>
      </c>
      <c r="I2884" s="10">
        <v>45648</v>
      </c>
    </row>
    <row r="2885" spans="1:9" x14ac:dyDescent="0.15">
      <c r="A2885" s="9">
        <v>2884</v>
      </c>
      <c r="B2885" s="9" t="s">
        <v>9</v>
      </c>
      <c r="C2885" s="9">
        <v>1927</v>
      </c>
      <c r="D2885" s="10">
        <v>45729</v>
      </c>
      <c r="E2885" s="11" t="str">
        <f>+HYPERLINK("http://trademark.i-assist.jp/data/china/image_1927th/82695040.pdf","82695040")</f>
        <v>82695040</v>
      </c>
      <c r="F2885" s="9" t="s">
        <v>7925</v>
      </c>
      <c r="G2885" s="9" t="s">
        <v>7926</v>
      </c>
      <c r="H2885" s="9" t="s">
        <v>7927</v>
      </c>
      <c r="I2885" s="10">
        <v>45648</v>
      </c>
    </row>
    <row r="2886" spans="1:9" x14ac:dyDescent="0.15">
      <c r="A2886" s="9">
        <v>2885</v>
      </c>
      <c r="B2886" s="9" t="s">
        <v>9</v>
      </c>
      <c r="C2886" s="9">
        <v>1927</v>
      </c>
      <c r="D2886" s="10">
        <v>45729</v>
      </c>
      <c r="E2886" s="11" t="str">
        <f>+HYPERLINK("http://trademark.i-assist.jp/data/china/image_1927th/82695295.pdf","82695295")</f>
        <v>82695295</v>
      </c>
      <c r="F2886" s="9" t="s">
        <v>7928</v>
      </c>
      <c r="G2886" s="9" t="s">
        <v>7929</v>
      </c>
      <c r="H2886" s="9" t="s">
        <v>7930</v>
      </c>
      <c r="I2886" s="10">
        <v>45648</v>
      </c>
    </row>
    <row r="2887" spans="1:9" x14ac:dyDescent="0.15">
      <c r="A2887" s="9">
        <v>2886</v>
      </c>
      <c r="B2887" s="9" t="s">
        <v>9</v>
      </c>
      <c r="C2887" s="9">
        <v>1927</v>
      </c>
      <c r="D2887" s="10">
        <v>45729</v>
      </c>
      <c r="E2887" s="11" t="str">
        <f>+HYPERLINK("http://trademark.i-assist.jp/data/china/image_1927th/82696023.pdf","82696023")</f>
        <v>82696023</v>
      </c>
      <c r="F2887" s="9" t="s">
        <v>7931</v>
      </c>
      <c r="G2887" s="9" t="s">
        <v>7932</v>
      </c>
      <c r="H2887" s="9" t="s">
        <v>7933</v>
      </c>
      <c r="I2887" s="10">
        <v>45649</v>
      </c>
    </row>
    <row r="2888" spans="1:9" x14ac:dyDescent="0.15">
      <c r="A2888" s="9">
        <v>2887</v>
      </c>
      <c r="B2888" s="9" t="s">
        <v>9</v>
      </c>
      <c r="C2888" s="9">
        <v>1927</v>
      </c>
      <c r="D2888" s="10">
        <v>45729</v>
      </c>
      <c r="E2888" s="11" t="str">
        <f>+HYPERLINK("http://trademark.i-assist.jp/data/china/image_1927th/82696346.pdf","82696346")</f>
        <v>82696346</v>
      </c>
      <c r="F2888" s="9" t="s">
        <v>7934</v>
      </c>
      <c r="G2888" s="9" t="s">
        <v>7935</v>
      </c>
      <c r="H2888" s="9" t="s">
        <v>7936</v>
      </c>
      <c r="I2888" s="10">
        <v>45649</v>
      </c>
    </row>
    <row r="2889" spans="1:9" x14ac:dyDescent="0.15">
      <c r="A2889" s="9">
        <v>2888</v>
      </c>
      <c r="B2889" s="9" t="s">
        <v>9</v>
      </c>
      <c r="C2889" s="9">
        <v>1927</v>
      </c>
      <c r="D2889" s="10">
        <v>45729</v>
      </c>
      <c r="E2889" s="11" t="str">
        <f>+HYPERLINK("http://trademark.i-assist.jp/data/china/image_1927th/82696437.pdf","82696437")</f>
        <v>82696437</v>
      </c>
      <c r="F2889" s="9" t="s">
        <v>7937</v>
      </c>
      <c r="G2889" s="12" t="s">
        <v>7938</v>
      </c>
      <c r="H2889" s="9" t="s">
        <v>7939</v>
      </c>
      <c r="I2889" s="10">
        <v>45649</v>
      </c>
    </row>
    <row r="2890" spans="1:9" x14ac:dyDescent="0.15">
      <c r="A2890" s="9">
        <v>2889</v>
      </c>
      <c r="B2890" s="9" t="s">
        <v>9</v>
      </c>
      <c r="C2890" s="9">
        <v>1927</v>
      </c>
      <c r="D2890" s="10">
        <v>45729</v>
      </c>
      <c r="E2890" s="11" t="str">
        <f>+HYPERLINK("http://trademark.i-assist.jp/data/china/image_1927th/82696467.pdf","82696467")</f>
        <v>82696467</v>
      </c>
      <c r="F2890" s="12" t="s">
        <v>7940</v>
      </c>
      <c r="G2890" s="12" t="s">
        <v>7941</v>
      </c>
      <c r="H2890" s="9" t="s">
        <v>7942</v>
      </c>
      <c r="I2890" s="10">
        <v>45649</v>
      </c>
    </row>
    <row r="2891" spans="1:9" x14ac:dyDescent="0.15">
      <c r="A2891" s="9">
        <v>2890</v>
      </c>
      <c r="B2891" s="9" t="s">
        <v>9</v>
      </c>
      <c r="C2891" s="9">
        <v>1927</v>
      </c>
      <c r="D2891" s="10">
        <v>45729</v>
      </c>
      <c r="E2891" s="11" t="str">
        <f>+HYPERLINK("http://trademark.i-assist.jp/data/china/image_1927th/82696766.pdf","82696766")</f>
        <v>82696766</v>
      </c>
      <c r="F2891" s="9" t="s">
        <v>7943</v>
      </c>
      <c r="G2891" s="12" t="s">
        <v>7938</v>
      </c>
      <c r="H2891" s="9" t="s">
        <v>7944</v>
      </c>
      <c r="I2891" s="10">
        <v>45649</v>
      </c>
    </row>
    <row r="2892" spans="1:9" x14ac:dyDescent="0.15">
      <c r="A2892" s="9">
        <v>2891</v>
      </c>
      <c r="B2892" s="9" t="s">
        <v>9</v>
      </c>
      <c r="C2892" s="9">
        <v>1927</v>
      </c>
      <c r="D2892" s="10">
        <v>45729</v>
      </c>
      <c r="E2892" s="11" t="str">
        <f>+HYPERLINK("http://trademark.i-assist.jp/data/china/image_1927th/82696961.pdf","82696961")</f>
        <v>82696961</v>
      </c>
      <c r="F2892" s="9" t="s">
        <v>7945</v>
      </c>
      <c r="G2892" s="9" t="s">
        <v>93</v>
      </c>
      <c r="H2892" s="9" t="s">
        <v>7946</v>
      </c>
      <c r="I2892" s="10">
        <v>45649</v>
      </c>
    </row>
    <row r="2893" spans="1:9" x14ac:dyDescent="0.15">
      <c r="A2893" s="9">
        <v>2892</v>
      </c>
      <c r="B2893" s="9" t="s">
        <v>9</v>
      </c>
      <c r="C2893" s="9">
        <v>1927</v>
      </c>
      <c r="D2893" s="10">
        <v>45729</v>
      </c>
      <c r="E2893" s="11" t="str">
        <f>+HYPERLINK("http://trademark.i-assist.jp/data/china/image_1927th/82697145.pdf","82697145")</f>
        <v>82697145</v>
      </c>
      <c r="F2893" s="12" t="s">
        <v>7947</v>
      </c>
      <c r="G2893" s="9" t="s">
        <v>7948</v>
      </c>
      <c r="H2893" s="9" t="s">
        <v>7949</v>
      </c>
      <c r="I2893" s="10">
        <v>45649</v>
      </c>
    </row>
    <row r="2894" spans="1:9" x14ac:dyDescent="0.15">
      <c r="A2894" s="9">
        <v>2893</v>
      </c>
      <c r="B2894" s="9" t="s">
        <v>9</v>
      </c>
      <c r="C2894" s="9">
        <v>1927</v>
      </c>
      <c r="D2894" s="10">
        <v>45729</v>
      </c>
      <c r="E2894" s="11" t="str">
        <f>+HYPERLINK("http://trademark.i-assist.jp/data/china/image_1927th/82697154.pdf","82697154")</f>
        <v>82697154</v>
      </c>
      <c r="F2894" s="12" t="s">
        <v>7950</v>
      </c>
      <c r="G2894" s="9" t="s">
        <v>7948</v>
      </c>
      <c r="H2894" s="9" t="s">
        <v>7951</v>
      </c>
      <c r="I2894" s="10">
        <v>45649</v>
      </c>
    </row>
    <row r="2895" spans="1:9" x14ac:dyDescent="0.15">
      <c r="A2895" s="9">
        <v>2894</v>
      </c>
      <c r="B2895" s="9" t="s">
        <v>9</v>
      </c>
      <c r="C2895" s="9">
        <v>1927</v>
      </c>
      <c r="D2895" s="10">
        <v>45729</v>
      </c>
      <c r="E2895" s="11" t="str">
        <f>+HYPERLINK("http://trademark.i-assist.jp/data/china/image_1927th/82697294.pdf","82697294")</f>
        <v>82697294</v>
      </c>
      <c r="F2895" s="9" t="s">
        <v>7952</v>
      </c>
      <c r="G2895" s="9" t="s">
        <v>7953</v>
      </c>
      <c r="H2895" s="9" t="s">
        <v>7954</v>
      </c>
      <c r="I2895" s="10">
        <v>45649</v>
      </c>
    </row>
    <row r="2896" spans="1:9" x14ac:dyDescent="0.15">
      <c r="A2896" s="9">
        <v>2895</v>
      </c>
      <c r="B2896" s="9" t="s">
        <v>9</v>
      </c>
      <c r="C2896" s="9">
        <v>1927</v>
      </c>
      <c r="D2896" s="10">
        <v>45729</v>
      </c>
      <c r="E2896" s="11" t="str">
        <f>+HYPERLINK("http://trademark.i-assist.jp/data/china/image_1927th/82697327.pdf","82697327")</f>
        <v>82697327</v>
      </c>
      <c r="F2896" s="9" t="s">
        <v>7955</v>
      </c>
      <c r="G2896" s="9" t="s">
        <v>7953</v>
      </c>
      <c r="H2896" s="9" t="s">
        <v>7956</v>
      </c>
      <c r="I2896" s="10">
        <v>45649</v>
      </c>
    </row>
    <row r="2897" spans="1:9" x14ac:dyDescent="0.15">
      <c r="A2897" s="9">
        <v>2896</v>
      </c>
      <c r="B2897" s="9" t="s">
        <v>9</v>
      </c>
      <c r="C2897" s="9">
        <v>1927</v>
      </c>
      <c r="D2897" s="10">
        <v>45729</v>
      </c>
      <c r="E2897" s="11" t="str">
        <f>+HYPERLINK("http://trademark.i-assist.jp/data/china/image_1927th/82697650.pdf","82697650")</f>
        <v>82697650</v>
      </c>
      <c r="F2897" s="9" t="s">
        <v>7957</v>
      </c>
      <c r="G2897" s="12" t="s">
        <v>7958</v>
      </c>
      <c r="H2897" s="9" t="s">
        <v>7959</v>
      </c>
      <c r="I2897" s="10">
        <v>45649</v>
      </c>
    </row>
    <row r="2898" spans="1:9" x14ac:dyDescent="0.15">
      <c r="A2898" s="9">
        <v>2897</v>
      </c>
      <c r="B2898" s="9" t="s">
        <v>9</v>
      </c>
      <c r="C2898" s="9">
        <v>1927</v>
      </c>
      <c r="D2898" s="10">
        <v>45729</v>
      </c>
      <c r="E2898" s="11" t="str">
        <f>+HYPERLINK("http://trademark.i-assist.jp/data/china/image_1927th/82697738.pdf","82697738")</f>
        <v>82697738</v>
      </c>
      <c r="F2898" s="9" t="s">
        <v>7960</v>
      </c>
      <c r="G2898" s="9" t="s">
        <v>7961</v>
      </c>
      <c r="H2898" s="9" t="s">
        <v>7962</v>
      </c>
      <c r="I2898" s="10">
        <v>45649</v>
      </c>
    </row>
    <row r="2899" spans="1:9" x14ac:dyDescent="0.15">
      <c r="A2899" s="9">
        <v>2898</v>
      </c>
      <c r="B2899" s="9" t="s">
        <v>9</v>
      </c>
      <c r="C2899" s="9">
        <v>1927</v>
      </c>
      <c r="D2899" s="10">
        <v>45729</v>
      </c>
      <c r="E2899" s="11" t="str">
        <f>+HYPERLINK("http://trademark.i-assist.jp/data/china/image_1927th/82697773.pdf","82697773")</f>
        <v>82697773</v>
      </c>
      <c r="F2899" s="12" t="s">
        <v>7963</v>
      </c>
      <c r="G2899" s="9" t="s">
        <v>7935</v>
      </c>
      <c r="H2899" s="9" t="s">
        <v>7964</v>
      </c>
      <c r="I2899" s="10">
        <v>45649</v>
      </c>
    </row>
    <row r="2900" spans="1:9" x14ac:dyDescent="0.15">
      <c r="A2900" s="9">
        <v>2899</v>
      </c>
      <c r="B2900" s="9" t="s">
        <v>9</v>
      </c>
      <c r="C2900" s="9">
        <v>1927</v>
      </c>
      <c r="D2900" s="10">
        <v>45729</v>
      </c>
      <c r="E2900" s="11" t="str">
        <f>+HYPERLINK("http://trademark.i-assist.jp/data/china/image_1927th/82697793.pdf","82697793")</f>
        <v>82697793</v>
      </c>
      <c r="F2900" s="9" t="s">
        <v>7965</v>
      </c>
      <c r="G2900" s="9" t="s">
        <v>7935</v>
      </c>
      <c r="H2900" s="9" t="s">
        <v>7966</v>
      </c>
      <c r="I2900" s="10">
        <v>45649</v>
      </c>
    </row>
    <row r="2901" spans="1:9" x14ac:dyDescent="0.15">
      <c r="A2901" s="9">
        <v>2900</v>
      </c>
      <c r="B2901" s="9" t="s">
        <v>9</v>
      </c>
      <c r="C2901" s="9">
        <v>1927</v>
      </c>
      <c r="D2901" s="10">
        <v>45729</v>
      </c>
      <c r="E2901" s="11" t="str">
        <f>+HYPERLINK("http://trademark.i-assist.jp/data/china/image_1927th/82698347.pdf","82698347")</f>
        <v>82698347</v>
      </c>
      <c r="F2901" s="9" t="s">
        <v>7967</v>
      </c>
      <c r="G2901" s="9" t="s">
        <v>7948</v>
      </c>
      <c r="H2901" s="12" t="s">
        <v>7968</v>
      </c>
      <c r="I2901" s="10">
        <v>45649</v>
      </c>
    </row>
    <row r="2902" spans="1:9" x14ac:dyDescent="0.15">
      <c r="A2902" s="9">
        <v>2901</v>
      </c>
      <c r="B2902" s="9" t="s">
        <v>9</v>
      </c>
      <c r="C2902" s="9">
        <v>1927</v>
      </c>
      <c r="D2902" s="10">
        <v>45729</v>
      </c>
      <c r="E2902" s="11" t="str">
        <f>+HYPERLINK("http://trademark.i-assist.jp/data/china/image_1927th/82698850.pdf","82698850")</f>
        <v>82698850</v>
      </c>
      <c r="F2902" s="9" t="s">
        <v>7969</v>
      </c>
      <c r="G2902" s="9" t="s">
        <v>7932</v>
      </c>
      <c r="H2902" s="9" t="s">
        <v>7970</v>
      </c>
      <c r="I2902" s="10">
        <v>45649</v>
      </c>
    </row>
    <row r="2903" spans="1:9" x14ac:dyDescent="0.15">
      <c r="A2903" s="9">
        <v>2902</v>
      </c>
      <c r="B2903" s="9" t="s">
        <v>9</v>
      </c>
      <c r="C2903" s="9">
        <v>1927</v>
      </c>
      <c r="D2903" s="10">
        <v>45729</v>
      </c>
      <c r="E2903" s="11" t="str">
        <f>+HYPERLINK("http://trademark.i-assist.jp/data/china/image_1927th/82699101.pdf","82699101")</f>
        <v>82699101</v>
      </c>
      <c r="F2903" s="9" t="s">
        <v>7971</v>
      </c>
      <c r="G2903" s="9" t="s">
        <v>7972</v>
      </c>
      <c r="H2903" s="9" t="s">
        <v>7973</v>
      </c>
      <c r="I2903" s="10">
        <v>45649</v>
      </c>
    </row>
    <row r="2904" spans="1:9" x14ac:dyDescent="0.15">
      <c r="A2904" s="9">
        <v>2903</v>
      </c>
      <c r="B2904" s="9" t="s">
        <v>9</v>
      </c>
      <c r="C2904" s="9">
        <v>1927</v>
      </c>
      <c r="D2904" s="10">
        <v>45729</v>
      </c>
      <c r="E2904" s="11" t="str">
        <f>+HYPERLINK("http://trademark.i-assist.jp/data/china/image_1927th/82699320.pdf","82699320")</f>
        <v>82699320</v>
      </c>
      <c r="F2904" s="9" t="s">
        <v>7974</v>
      </c>
      <c r="G2904" s="9" t="s">
        <v>7948</v>
      </c>
      <c r="H2904" s="9" t="s">
        <v>7975</v>
      </c>
      <c r="I2904" s="10">
        <v>45649</v>
      </c>
    </row>
    <row r="2905" spans="1:9" x14ac:dyDescent="0.15">
      <c r="A2905" s="9">
        <v>2904</v>
      </c>
      <c r="B2905" s="9" t="s">
        <v>9</v>
      </c>
      <c r="C2905" s="9">
        <v>1927</v>
      </c>
      <c r="D2905" s="10">
        <v>45729</v>
      </c>
      <c r="E2905" s="11" t="str">
        <f>+HYPERLINK("http://trademark.i-assist.jp/data/china/image_1927th/82699370.pdf","82699370")</f>
        <v>82699370</v>
      </c>
      <c r="F2905" s="9" t="s">
        <v>7976</v>
      </c>
      <c r="G2905" s="9" t="s">
        <v>7977</v>
      </c>
      <c r="H2905" s="9" t="s">
        <v>7978</v>
      </c>
      <c r="I2905" s="10">
        <v>45649</v>
      </c>
    </row>
    <row r="2906" spans="1:9" x14ac:dyDescent="0.15">
      <c r="A2906" s="9">
        <v>2905</v>
      </c>
      <c r="B2906" s="9" t="s">
        <v>9</v>
      </c>
      <c r="C2906" s="9">
        <v>1927</v>
      </c>
      <c r="D2906" s="10">
        <v>45729</v>
      </c>
      <c r="E2906" s="11" t="str">
        <f>+HYPERLINK("http://trademark.i-assist.jp/data/china/image_1927th/82699399.pdf","82699399")</f>
        <v>82699399</v>
      </c>
      <c r="F2906" s="9" t="s">
        <v>7979</v>
      </c>
      <c r="G2906" s="9" t="s">
        <v>7932</v>
      </c>
      <c r="H2906" s="9" t="s">
        <v>7980</v>
      </c>
      <c r="I2906" s="10">
        <v>45649</v>
      </c>
    </row>
    <row r="2907" spans="1:9" x14ac:dyDescent="0.15">
      <c r="A2907" s="9">
        <v>2906</v>
      </c>
      <c r="B2907" s="9" t="s">
        <v>9</v>
      </c>
      <c r="C2907" s="9">
        <v>1927</v>
      </c>
      <c r="D2907" s="10">
        <v>45729</v>
      </c>
      <c r="E2907" s="11" t="str">
        <f>+HYPERLINK("http://trademark.i-assist.jp/data/china/image_1927th/82700261.pdf","82700261")</f>
        <v>82700261</v>
      </c>
      <c r="F2907" s="12" t="s">
        <v>7981</v>
      </c>
      <c r="G2907" s="9" t="s">
        <v>7982</v>
      </c>
      <c r="H2907" s="9" t="s">
        <v>7983</v>
      </c>
      <c r="I2907" s="10">
        <v>45649</v>
      </c>
    </row>
    <row r="2908" spans="1:9" x14ac:dyDescent="0.15">
      <c r="A2908" s="9">
        <v>2907</v>
      </c>
      <c r="B2908" s="9" t="s">
        <v>9</v>
      </c>
      <c r="C2908" s="9">
        <v>1927</v>
      </c>
      <c r="D2908" s="10">
        <v>45729</v>
      </c>
      <c r="E2908" s="11" t="str">
        <f>+HYPERLINK("http://trademark.i-assist.jp/data/china/image_1927th/82700425.pdf","82700425")</f>
        <v>82700425</v>
      </c>
      <c r="F2908" s="9" t="s">
        <v>7984</v>
      </c>
      <c r="G2908" s="9" t="s">
        <v>7935</v>
      </c>
      <c r="H2908" s="9" t="s">
        <v>7985</v>
      </c>
      <c r="I2908" s="10">
        <v>45649</v>
      </c>
    </row>
    <row r="2909" spans="1:9" x14ac:dyDescent="0.15">
      <c r="A2909" s="9">
        <v>2908</v>
      </c>
      <c r="B2909" s="9" t="s">
        <v>9</v>
      </c>
      <c r="C2909" s="9">
        <v>1927</v>
      </c>
      <c r="D2909" s="10">
        <v>45729</v>
      </c>
      <c r="E2909" s="11" t="str">
        <f>+HYPERLINK("http://trademark.i-assist.jp/data/china/image_1927th/82701025.pdf","82701025")</f>
        <v>82701025</v>
      </c>
      <c r="F2909" s="12" t="s">
        <v>7986</v>
      </c>
      <c r="G2909" s="9" t="s">
        <v>7987</v>
      </c>
      <c r="H2909" s="9" t="s">
        <v>7988</v>
      </c>
      <c r="I2909" s="10">
        <v>45649</v>
      </c>
    </row>
    <row r="2910" spans="1:9" x14ac:dyDescent="0.15">
      <c r="A2910" s="9">
        <v>2909</v>
      </c>
      <c r="B2910" s="9" t="s">
        <v>9</v>
      </c>
      <c r="C2910" s="9">
        <v>1927</v>
      </c>
      <c r="D2910" s="10">
        <v>45729</v>
      </c>
      <c r="E2910" s="11" t="str">
        <f>+HYPERLINK("http://trademark.i-assist.jp/data/china/image_1927th/82701339.pdf","82701339")</f>
        <v>82701339</v>
      </c>
      <c r="F2910" s="9" t="s">
        <v>7989</v>
      </c>
      <c r="G2910" s="9" t="s">
        <v>7932</v>
      </c>
      <c r="H2910" s="12" t="s">
        <v>7990</v>
      </c>
      <c r="I2910" s="10">
        <v>45649</v>
      </c>
    </row>
    <row r="2911" spans="1:9" x14ac:dyDescent="0.15">
      <c r="A2911" s="9">
        <v>2910</v>
      </c>
      <c r="B2911" s="9" t="s">
        <v>9</v>
      </c>
      <c r="C2911" s="9">
        <v>1927</v>
      </c>
      <c r="D2911" s="10">
        <v>45729</v>
      </c>
      <c r="E2911" s="11" t="str">
        <f>+HYPERLINK("http://trademark.i-assist.jp/data/china/image_1927th/82701537.pdf","82701537")</f>
        <v>82701537</v>
      </c>
      <c r="F2911" s="12" t="s">
        <v>16</v>
      </c>
      <c r="G2911" s="9" t="s">
        <v>7991</v>
      </c>
      <c r="H2911" s="9" t="s">
        <v>7992</v>
      </c>
      <c r="I2911" s="10">
        <v>45649</v>
      </c>
    </row>
    <row r="2912" spans="1:9" x14ac:dyDescent="0.15">
      <c r="A2912" s="9">
        <v>2911</v>
      </c>
      <c r="B2912" s="9" t="s">
        <v>9</v>
      </c>
      <c r="C2912" s="9">
        <v>1927</v>
      </c>
      <c r="D2912" s="10">
        <v>45729</v>
      </c>
      <c r="E2912" s="11" t="str">
        <f>+HYPERLINK("http://trademark.i-assist.jp/data/china/image_1927th/82701539.pdf","82701539")</f>
        <v>82701539</v>
      </c>
      <c r="F2912" s="9" t="s">
        <v>7993</v>
      </c>
      <c r="G2912" s="9" t="s">
        <v>93</v>
      </c>
      <c r="H2912" s="9" t="s">
        <v>7994</v>
      </c>
      <c r="I2912" s="10">
        <v>45649</v>
      </c>
    </row>
    <row r="2913" spans="1:9" x14ac:dyDescent="0.15">
      <c r="A2913" s="9">
        <v>2912</v>
      </c>
      <c r="B2913" s="9" t="s">
        <v>9</v>
      </c>
      <c r="C2913" s="9">
        <v>1927</v>
      </c>
      <c r="D2913" s="10">
        <v>45729</v>
      </c>
      <c r="E2913" s="11" t="str">
        <f>+HYPERLINK("http://trademark.i-assist.jp/data/china/image_1927th/82702701.pdf","82702701")</f>
        <v>82702701</v>
      </c>
      <c r="F2913" s="9" t="s">
        <v>7995</v>
      </c>
      <c r="G2913" s="9" t="s">
        <v>7953</v>
      </c>
      <c r="H2913" s="9" t="s">
        <v>7996</v>
      </c>
      <c r="I2913" s="10">
        <v>45649</v>
      </c>
    </row>
    <row r="2914" spans="1:9" x14ac:dyDescent="0.15">
      <c r="A2914" s="9">
        <v>2913</v>
      </c>
      <c r="B2914" s="9" t="s">
        <v>9</v>
      </c>
      <c r="C2914" s="9">
        <v>1927</v>
      </c>
      <c r="D2914" s="10">
        <v>45729</v>
      </c>
      <c r="E2914" s="11" t="str">
        <f>+HYPERLINK("http://trademark.i-assist.jp/data/china/image_1927th/82703320.pdf","82703320")</f>
        <v>82703320</v>
      </c>
      <c r="F2914" s="9" t="s">
        <v>7997</v>
      </c>
      <c r="G2914" s="9" t="s">
        <v>7932</v>
      </c>
      <c r="H2914" s="12" t="s">
        <v>7998</v>
      </c>
      <c r="I2914" s="10">
        <v>45649</v>
      </c>
    </row>
    <row r="2915" spans="1:9" x14ac:dyDescent="0.15">
      <c r="A2915" s="9">
        <v>2914</v>
      </c>
      <c r="B2915" s="9" t="s">
        <v>9</v>
      </c>
      <c r="C2915" s="9">
        <v>1927</v>
      </c>
      <c r="D2915" s="10">
        <v>45729</v>
      </c>
      <c r="E2915" s="11" t="str">
        <f>+HYPERLINK("http://trademark.i-assist.jp/data/china/image_1927th/82703346.pdf","82703346")</f>
        <v>82703346</v>
      </c>
      <c r="F2915" s="9" t="s">
        <v>7999</v>
      </c>
      <c r="G2915" s="9" t="s">
        <v>7932</v>
      </c>
      <c r="H2915" s="9" t="s">
        <v>8000</v>
      </c>
      <c r="I2915" s="10">
        <v>45649</v>
      </c>
    </row>
    <row r="2916" spans="1:9" x14ac:dyDescent="0.15">
      <c r="A2916" s="9">
        <v>2915</v>
      </c>
      <c r="B2916" s="9" t="s">
        <v>9</v>
      </c>
      <c r="C2916" s="9">
        <v>1927</v>
      </c>
      <c r="D2916" s="10">
        <v>45729</v>
      </c>
      <c r="E2916" s="11" t="str">
        <f>+HYPERLINK("http://trademark.i-assist.jp/data/china/image_1927th/82703381.pdf","82703381")</f>
        <v>82703381</v>
      </c>
      <c r="F2916" s="9" t="s">
        <v>8001</v>
      </c>
      <c r="G2916" s="9" t="s">
        <v>7932</v>
      </c>
      <c r="H2916" s="9" t="s">
        <v>8002</v>
      </c>
      <c r="I2916" s="10">
        <v>45649</v>
      </c>
    </row>
    <row r="2917" spans="1:9" x14ac:dyDescent="0.15">
      <c r="A2917" s="9">
        <v>2916</v>
      </c>
      <c r="B2917" s="9" t="s">
        <v>9</v>
      </c>
      <c r="C2917" s="9">
        <v>1927</v>
      </c>
      <c r="D2917" s="10">
        <v>45729</v>
      </c>
      <c r="E2917" s="11" t="str">
        <f>+HYPERLINK("http://trademark.i-assist.jp/data/china/image_1927th/82703760.pdf","82703760")</f>
        <v>82703760</v>
      </c>
      <c r="F2917" s="12" t="s">
        <v>16</v>
      </c>
      <c r="G2917" s="9" t="s">
        <v>103</v>
      </c>
      <c r="H2917" s="12" t="s">
        <v>8003</v>
      </c>
      <c r="I2917" s="10">
        <v>45649</v>
      </c>
    </row>
    <row r="2918" spans="1:9" x14ac:dyDescent="0.15">
      <c r="A2918" s="9">
        <v>2917</v>
      </c>
      <c r="B2918" s="9" t="s">
        <v>9</v>
      </c>
      <c r="C2918" s="9">
        <v>1927</v>
      </c>
      <c r="D2918" s="10">
        <v>45729</v>
      </c>
      <c r="E2918" s="11" t="str">
        <f>+HYPERLINK("http://trademark.i-assist.jp/data/china/image_1927th/82704175.pdf","82704175")</f>
        <v>82704175</v>
      </c>
      <c r="F2918" s="9" t="s">
        <v>8004</v>
      </c>
      <c r="G2918" s="12" t="s">
        <v>8005</v>
      </c>
      <c r="H2918" s="9" t="s">
        <v>8006</v>
      </c>
      <c r="I2918" s="10">
        <v>45649</v>
      </c>
    </row>
    <row r="2919" spans="1:9" x14ac:dyDescent="0.15">
      <c r="A2919" s="9">
        <v>2918</v>
      </c>
      <c r="B2919" s="9" t="s">
        <v>9</v>
      </c>
      <c r="C2919" s="9">
        <v>1927</v>
      </c>
      <c r="D2919" s="10">
        <v>45729</v>
      </c>
      <c r="E2919" s="11" t="str">
        <f>+HYPERLINK("http://trademark.i-assist.jp/data/china/image_1927th/82704979.pdf","82704979")</f>
        <v>82704979</v>
      </c>
      <c r="F2919" s="9" t="s">
        <v>8007</v>
      </c>
      <c r="G2919" s="9" t="s">
        <v>7948</v>
      </c>
      <c r="H2919" s="9" t="s">
        <v>8008</v>
      </c>
      <c r="I2919" s="10">
        <v>45649</v>
      </c>
    </row>
    <row r="2920" spans="1:9" x14ac:dyDescent="0.15">
      <c r="A2920" s="9">
        <v>2919</v>
      </c>
      <c r="B2920" s="9" t="s">
        <v>9</v>
      </c>
      <c r="C2920" s="9">
        <v>1927</v>
      </c>
      <c r="D2920" s="10">
        <v>45729</v>
      </c>
      <c r="E2920" s="11" t="str">
        <f>+HYPERLINK("http://trademark.i-assist.jp/data/china/image_1927th/82705034.pdf","82705034")</f>
        <v>82705034</v>
      </c>
      <c r="F2920" s="12" t="s">
        <v>16</v>
      </c>
      <c r="G2920" s="9" t="s">
        <v>8009</v>
      </c>
      <c r="H2920" s="9" t="s">
        <v>8010</v>
      </c>
      <c r="I2920" s="10">
        <v>45649</v>
      </c>
    </row>
    <row r="2921" spans="1:9" x14ac:dyDescent="0.15">
      <c r="A2921" s="9">
        <v>2920</v>
      </c>
      <c r="B2921" s="9" t="s">
        <v>9</v>
      </c>
      <c r="C2921" s="9">
        <v>1927</v>
      </c>
      <c r="D2921" s="10">
        <v>45729</v>
      </c>
      <c r="E2921" s="11" t="str">
        <f>+HYPERLINK("http://trademark.i-assist.jp/data/china/image_1927th/82705178.pdf","82705178")</f>
        <v>82705178</v>
      </c>
      <c r="F2921" s="9" t="s">
        <v>8011</v>
      </c>
      <c r="G2921" s="9" t="s">
        <v>8012</v>
      </c>
      <c r="H2921" s="9" t="s">
        <v>8013</v>
      </c>
      <c r="I2921" s="10">
        <v>45649</v>
      </c>
    </row>
    <row r="2922" spans="1:9" x14ac:dyDescent="0.15">
      <c r="A2922" s="9">
        <v>2921</v>
      </c>
      <c r="B2922" s="9" t="s">
        <v>9</v>
      </c>
      <c r="C2922" s="9">
        <v>1927</v>
      </c>
      <c r="D2922" s="10">
        <v>45729</v>
      </c>
      <c r="E2922" s="11" t="str">
        <f>+HYPERLINK("http://trademark.i-assist.jp/data/china/image_1927th/82705791.pdf","82705791")</f>
        <v>82705791</v>
      </c>
      <c r="F2922" s="9" t="s">
        <v>8014</v>
      </c>
      <c r="G2922" s="12" t="s">
        <v>8015</v>
      </c>
      <c r="H2922" s="9" t="s">
        <v>8016</v>
      </c>
      <c r="I2922" s="10">
        <v>45649</v>
      </c>
    </row>
    <row r="2923" spans="1:9" x14ac:dyDescent="0.15">
      <c r="A2923" s="9">
        <v>2922</v>
      </c>
      <c r="B2923" s="9" t="s">
        <v>9</v>
      </c>
      <c r="C2923" s="9">
        <v>1927</v>
      </c>
      <c r="D2923" s="10">
        <v>45729</v>
      </c>
      <c r="E2923" s="11" t="str">
        <f>+HYPERLINK("http://trademark.i-assist.jp/data/china/image_1927th/82705806.pdf","82705806")</f>
        <v>82705806</v>
      </c>
      <c r="F2923" s="9" t="s">
        <v>8017</v>
      </c>
      <c r="G2923" s="9" t="s">
        <v>7935</v>
      </c>
      <c r="H2923" s="9" t="s">
        <v>8018</v>
      </c>
      <c r="I2923" s="10">
        <v>45649</v>
      </c>
    </row>
    <row r="2924" spans="1:9" x14ac:dyDescent="0.15">
      <c r="A2924" s="9">
        <v>2923</v>
      </c>
      <c r="B2924" s="9" t="s">
        <v>9</v>
      </c>
      <c r="C2924" s="9">
        <v>1927</v>
      </c>
      <c r="D2924" s="10">
        <v>45729</v>
      </c>
      <c r="E2924" s="11" t="str">
        <f>+HYPERLINK("http://trademark.i-assist.jp/data/china/image_1927th/82706056.pdf","82706056")</f>
        <v>82706056</v>
      </c>
      <c r="F2924" s="12" t="s">
        <v>8019</v>
      </c>
      <c r="G2924" s="9" t="s">
        <v>7948</v>
      </c>
      <c r="H2924" s="9" t="s">
        <v>8020</v>
      </c>
      <c r="I2924" s="10">
        <v>45649</v>
      </c>
    </row>
    <row r="2925" spans="1:9" x14ac:dyDescent="0.15">
      <c r="A2925" s="9">
        <v>2924</v>
      </c>
      <c r="B2925" s="9" t="s">
        <v>9</v>
      </c>
      <c r="C2925" s="9">
        <v>1927</v>
      </c>
      <c r="D2925" s="10">
        <v>45729</v>
      </c>
      <c r="E2925" s="11" t="str">
        <f>+HYPERLINK("http://trademark.i-assist.jp/data/china/image_1927th/82706091.pdf","82706091")</f>
        <v>82706091</v>
      </c>
      <c r="F2925" s="9" t="s">
        <v>8021</v>
      </c>
      <c r="G2925" s="9" t="s">
        <v>7935</v>
      </c>
      <c r="H2925" s="9" t="s">
        <v>8022</v>
      </c>
      <c r="I2925" s="10">
        <v>45649</v>
      </c>
    </row>
    <row r="2926" spans="1:9" x14ac:dyDescent="0.15">
      <c r="A2926" s="9">
        <v>2925</v>
      </c>
      <c r="B2926" s="9" t="s">
        <v>9</v>
      </c>
      <c r="C2926" s="9">
        <v>1927</v>
      </c>
      <c r="D2926" s="10">
        <v>45729</v>
      </c>
      <c r="E2926" s="11" t="str">
        <f>+HYPERLINK("http://trademark.i-assist.jp/data/china/image_1927th/82706439.pdf","82706439")</f>
        <v>82706439</v>
      </c>
      <c r="F2926" s="9" t="s">
        <v>8023</v>
      </c>
      <c r="G2926" s="9" t="s">
        <v>8024</v>
      </c>
      <c r="H2926" s="9" t="s">
        <v>8025</v>
      </c>
      <c r="I2926" s="10">
        <v>45649</v>
      </c>
    </row>
    <row r="2927" spans="1:9" x14ac:dyDescent="0.15">
      <c r="A2927" s="9">
        <v>2926</v>
      </c>
      <c r="B2927" s="9" t="s">
        <v>9</v>
      </c>
      <c r="C2927" s="9">
        <v>1927</v>
      </c>
      <c r="D2927" s="10">
        <v>45729</v>
      </c>
      <c r="E2927" s="11" t="str">
        <f>+HYPERLINK("http://trademark.i-assist.jp/data/china/image_1927th/82706559.pdf","82706559")</f>
        <v>82706559</v>
      </c>
      <c r="F2927" s="9" t="s">
        <v>8026</v>
      </c>
      <c r="G2927" s="9" t="s">
        <v>93</v>
      </c>
      <c r="H2927" s="9" t="s">
        <v>8027</v>
      </c>
      <c r="I2927" s="10">
        <v>45649</v>
      </c>
    </row>
    <row r="2928" spans="1:9" x14ac:dyDescent="0.15">
      <c r="A2928" s="9">
        <v>2927</v>
      </c>
      <c r="B2928" s="9" t="s">
        <v>9</v>
      </c>
      <c r="C2928" s="9">
        <v>1927</v>
      </c>
      <c r="D2928" s="10">
        <v>45729</v>
      </c>
      <c r="E2928" s="11" t="str">
        <f>+HYPERLINK("http://trademark.i-assist.jp/data/china/image_1927th/82706674.pdf","82706674")</f>
        <v>82706674</v>
      </c>
      <c r="F2928" s="9" t="s">
        <v>8028</v>
      </c>
      <c r="G2928" s="9" t="s">
        <v>93</v>
      </c>
      <c r="H2928" s="9" t="s">
        <v>8029</v>
      </c>
      <c r="I2928" s="10">
        <v>45649</v>
      </c>
    </row>
    <row r="2929" spans="1:9" x14ac:dyDescent="0.15">
      <c r="A2929" s="9">
        <v>2928</v>
      </c>
      <c r="B2929" s="9" t="s">
        <v>9</v>
      </c>
      <c r="C2929" s="9">
        <v>1927</v>
      </c>
      <c r="D2929" s="10">
        <v>45729</v>
      </c>
      <c r="E2929" s="11" t="str">
        <f>+HYPERLINK("http://trademark.i-assist.jp/data/china/image_1927th/82707732.pdf","82707732")</f>
        <v>82707732</v>
      </c>
      <c r="F2929" s="9" t="s">
        <v>8030</v>
      </c>
      <c r="G2929" s="9" t="s">
        <v>7961</v>
      </c>
      <c r="H2929" s="9" t="s">
        <v>8031</v>
      </c>
      <c r="I2929" s="10">
        <v>45649</v>
      </c>
    </row>
    <row r="2930" spans="1:9" x14ac:dyDescent="0.15">
      <c r="A2930" s="9">
        <v>2929</v>
      </c>
      <c r="B2930" s="9" t="s">
        <v>9</v>
      </c>
      <c r="C2930" s="9">
        <v>1927</v>
      </c>
      <c r="D2930" s="10">
        <v>45729</v>
      </c>
      <c r="E2930" s="11" t="str">
        <f>+HYPERLINK("http://trademark.i-assist.jp/data/china/image_1927th/82707788.pdf","82707788")</f>
        <v>82707788</v>
      </c>
      <c r="F2930" s="9" t="s">
        <v>8032</v>
      </c>
      <c r="G2930" s="9" t="s">
        <v>8033</v>
      </c>
      <c r="H2930" s="9" t="s">
        <v>8034</v>
      </c>
      <c r="I2930" s="10">
        <v>45649</v>
      </c>
    </row>
    <row r="2931" spans="1:9" x14ac:dyDescent="0.15">
      <c r="A2931" s="9">
        <v>2930</v>
      </c>
      <c r="B2931" s="9" t="s">
        <v>9</v>
      </c>
      <c r="C2931" s="9">
        <v>1927</v>
      </c>
      <c r="D2931" s="10">
        <v>45729</v>
      </c>
      <c r="E2931" s="11" t="str">
        <f>+HYPERLINK("http://trademark.i-assist.jp/data/china/image_1927th/82707818.pdf","82707818")</f>
        <v>82707818</v>
      </c>
      <c r="F2931" s="9" t="s">
        <v>8035</v>
      </c>
      <c r="G2931" s="9" t="s">
        <v>7953</v>
      </c>
      <c r="H2931" s="9" t="s">
        <v>8036</v>
      </c>
      <c r="I2931" s="10">
        <v>45649</v>
      </c>
    </row>
    <row r="2932" spans="1:9" x14ac:dyDescent="0.15">
      <c r="A2932" s="9">
        <v>2931</v>
      </c>
      <c r="B2932" s="9" t="s">
        <v>9</v>
      </c>
      <c r="C2932" s="9">
        <v>1927</v>
      </c>
      <c r="D2932" s="10">
        <v>45729</v>
      </c>
      <c r="E2932" s="11" t="str">
        <f>+HYPERLINK("http://trademark.i-assist.jp/data/china/image_1927th/82708089.pdf","82708089")</f>
        <v>82708089</v>
      </c>
      <c r="F2932" s="9" t="s">
        <v>8037</v>
      </c>
      <c r="G2932" s="9" t="s">
        <v>7932</v>
      </c>
      <c r="H2932" s="9" t="s">
        <v>8038</v>
      </c>
      <c r="I2932" s="10">
        <v>45649</v>
      </c>
    </row>
    <row r="2933" spans="1:9" x14ac:dyDescent="0.15">
      <c r="A2933" s="9">
        <v>2932</v>
      </c>
      <c r="B2933" s="9" t="s">
        <v>9</v>
      </c>
      <c r="C2933" s="9">
        <v>1927</v>
      </c>
      <c r="D2933" s="10">
        <v>45729</v>
      </c>
      <c r="E2933" s="11" t="str">
        <f>+HYPERLINK("http://trademark.i-assist.jp/data/china/image_1927th/82708558.pdf","82708558")</f>
        <v>82708558</v>
      </c>
      <c r="F2933" s="9" t="s">
        <v>8039</v>
      </c>
      <c r="G2933" s="9" t="s">
        <v>7953</v>
      </c>
      <c r="H2933" s="9" t="s">
        <v>8040</v>
      </c>
      <c r="I2933" s="10">
        <v>45649</v>
      </c>
    </row>
    <row r="2934" spans="1:9" x14ac:dyDescent="0.15">
      <c r="A2934" s="9">
        <v>2933</v>
      </c>
      <c r="B2934" s="9" t="s">
        <v>9</v>
      </c>
      <c r="C2934" s="9">
        <v>1927</v>
      </c>
      <c r="D2934" s="10">
        <v>45729</v>
      </c>
      <c r="E2934" s="11" t="str">
        <f>+HYPERLINK("http://trademark.i-assist.jp/data/china/image_1927th/82708580.pdf","82708580")</f>
        <v>82708580</v>
      </c>
      <c r="F2934" s="9" t="s">
        <v>8041</v>
      </c>
      <c r="G2934" s="9" t="s">
        <v>7953</v>
      </c>
      <c r="H2934" s="9" t="s">
        <v>8042</v>
      </c>
      <c r="I2934" s="10">
        <v>45649</v>
      </c>
    </row>
    <row r="2935" spans="1:9" x14ac:dyDescent="0.15">
      <c r="A2935" s="9">
        <v>2934</v>
      </c>
      <c r="B2935" s="9" t="s">
        <v>9</v>
      </c>
      <c r="C2935" s="9">
        <v>1927</v>
      </c>
      <c r="D2935" s="10">
        <v>45729</v>
      </c>
      <c r="E2935" s="11" t="str">
        <f>+HYPERLINK("http://trademark.i-assist.jp/data/china/image_1927th/82708608.pdf","82708608")</f>
        <v>82708608</v>
      </c>
      <c r="F2935" s="9" t="s">
        <v>8043</v>
      </c>
      <c r="G2935" s="9" t="s">
        <v>7935</v>
      </c>
      <c r="H2935" s="9" t="s">
        <v>8044</v>
      </c>
      <c r="I2935" s="10">
        <v>45649</v>
      </c>
    </row>
    <row r="2936" spans="1:9" x14ac:dyDescent="0.15">
      <c r="A2936" s="9">
        <v>2935</v>
      </c>
      <c r="B2936" s="9" t="s">
        <v>9</v>
      </c>
      <c r="C2936" s="9">
        <v>1927</v>
      </c>
      <c r="D2936" s="10">
        <v>45729</v>
      </c>
      <c r="E2936" s="11" t="str">
        <f>+HYPERLINK("http://trademark.i-assist.jp/data/china/image_1927th/82709109.pdf","82709109")</f>
        <v>82709109</v>
      </c>
      <c r="F2936" s="9" t="s">
        <v>8045</v>
      </c>
      <c r="G2936" s="9" t="s">
        <v>8046</v>
      </c>
      <c r="H2936" s="12" t="s">
        <v>8047</v>
      </c>
      <c r="I2936" s="10">
        <v>45649</v>
      </c>
    </row>
    <row r="2937" spans="1:9" x14ac:dyDescent="0.15">
      <c r="A2937" s="9">
        <v>2936</v>
      </c>
      <c r="B2937" s="9" t="s">
        <v>9</v>
      </c>
      <c r="C2937" s="9">
        <v>1927</v>
      </c>
      <c r="D2937" s="10">
        <v>45729</v>
      </c>
      <c r="E2937" s="11" t="str">
        <f>+HYPERLINK("http://trademark.i-assist.jp/data/china/image_1927th/82709358.pdf","82709358")</f>
        <v>82709358</v>
      </c>
      <c r="F2937" s="9" t="s">
        <v>8048</v>
      </c>
      <c r="G2937" s="9" t="s">
        <v>8049</v>
      </c>
      <c r="H2937" s="9" t="s">
        <v>8050</v>
      </c>
      <c r="I2937" s="10">
        <v>45649</v>
      </c>
    </row>
    <row r="2938" spans="1:9" x14ac:dyDescent="0.15">
      <c r="A2938" s="9">
        <v>2937</v>
      </c>
      <c r="B2938" s="9" t="s">
        <v>9</v>
      </c>
      <c r="C2938" s="9">
        <v>1927</v>
      </c>
      <c r="D2938" s="10">
        <v>45729</v>
      </c>
      <c r="E2938" s="11" t="str">
        <f>+HYPERLINK("http://trademark.i-assist.jp/data/china/image_1927th/82709498.pdf","82709498")</f>
        <v>82709498</v>
      </c>
      <c r="F2938" s="9" t="s">
        <v>8051</v>
      </c>
      <c r="G2938" s="12" t="s">
        <v>8052</v>
      </c>
      <c r="H2938" s="9" t="s">
        <v>8053</v>
      </c>
      <c r="I2938" s="10">
        <v>45649</v>
      </c>
    </row>
    <row r="2939" spans="1:9" x14ac:dyDescent="0.15">
      <c r="A2939" s="9">
        <v>2938</v>
      </c>
      <c r="B2939" s="9" t="s">
        <v>9</v>
      </c>
      <c r="C2939" s="9">
        <v>1927</v>
      </c>
      <c r="D2939" s="10">
        <v>45729</v>
      </c>
      <c r="E2939" s="11" t="str">
        <f>+HYPERLINK("http://trademark.i-assist.jp/data/china/image_1927th/82710155.pdf","82710155")</f>
        <v>82710155</v>
      </c>
      <c r="F2939" s="12" t="s">
        <v>8054</v>
      </c>
      <c r="G2939" s="9" t="s">
        <v>7948</v>
      </c>
      <c r="H2939" s="9" t="s">
        <v>8055</v>
      </c>
      <c r="I2939" s="10">
        <v>45649</v>
      </c>
    </row>
    <row r="2940" spans="1:9" x14ac:dyDescent="0.15">
      <c r="A2940" s="9">
        <v>2939</v>
      </c>
      <c r="B2940" s="9" t="s">
        <v>9</v>
      </c>
      <c r="C2940" s="9">
        <v>1927</v>
      </c>
      <c r="D2940" s="10">
        <v>45729</v>
      </c>
      <c r="E2940" s="11" t="str">
        <f>+HYPERLINK("http://trademark.i-assist.jp/data/china/image_1927th/82710187.pdf","82710187")</f>
        <v>82710187</v>
      </c>
      <c r="F2940" s="12" t="s">
        <v>8056</v>
      </c>
      <c r="G2940" s="9" t="s">
        <v>7932</v>
      </c>
      <c r="H2940" s="9" t="s">
        <v>8057</v>
      </c>
      <c r="I2940" s="10">
        <v>45649</v>
      </c>
    </row>
    <row r="2941" spans="1:9" x14ac:dyDescent="0.15">
      <c r="A2941" s="9">
        <v>2940</v>
      </c>
      <c r="B2941" s="9" t="s">
        <v>9</v>
      </c>
      <c r="C2941" s="9">
        <v>1927</v>
      </c>
      <c r="D2941" s="10">
        <v>45729</v>
      </c>
      <c r="E2941" s="11" t="str">
        <f>+HYPERLINK("http://trademark.i-assist.jp/data/china/image_1927th/82710234.pdf","82710234")</f>
        <v>82710234</v>
      </c>
      <c r="F2941" s="9" t="s">
        <v>8058</v>
      </c>
      <c r="G2941" s="9" t="s">
        <v>7948</v>
      </c>
      <c r="H2941" s="12" t="s">
        <v>8059</v>
      </c>
      <c r="I2941" s="10">
        <v>45649</v>
      </c>
    </row>
    <row r="2942" spans="1:9" x14ac:dyDescent="0.15">
      <c r="A2942" s="9">
        <v>2941</v>
      </c>
      <c r="B2942" s="9" t="s">
        <v>9</v>
      </c>
      <c r="C2942" s="9">
        <v>1927</v>
      </c>
      <c r="D2942" s="10">
        <v>45729</v>
      </c>
      <c r="E2942" s="11" t="str">
        <f>+HYPERLINK("http://trademark.i-assist.jp/data/china/image_1927th/82710664.pdf","82710664")</f>
        <v>82710664</v>
      </c>
      <c r="F2942" s="9" t="s">
        <v>8060</v>
      </c>
      <c r="G2942" s="9" t="s">
        <v>8061</v>
      </c>
      <c r="H2942" s="9" t="s">
        <v>8062</v>
      </c>
      <c r="I2942" s="10">
        <v>45649</v>
      </c>
    </row>
    <row r="2943" spans="1:9" x14ac:dyDescent="0.15">
      <c r="A2943" s="9">
        <v>2942</v>
      </c>
      <c r="B2943" s="9" t="s">
        <v>9</v>
      </c>
      <c r="C2943" s="9">
        <v>1927</v>
      </c>
      <c r="D2943" s="10">
        <v>45729</v>
      </c>
      <c r="E2943" s="11" t="str">
        <f>+HYPERLINK("http://trademark.i-assist.jp/data/china/image_1927th/82711086.pdf","82711086")</f>
        <v>82711086</v>
      </c>
      <c r="F2943" s="12" t="s">
        <v>8063</v>
      </c>
      <c r="G2943" s="9" t="s">
        <v>8064</v>
      </c>
      <c r="H2943" s="9" t="s">
        <v>8065</v>
      </c>
      <c r="I2943" s="10">
        <v>45649</v>
      </c>
    </row>
    <row r="2944" spans="1:9" x14ac:dyDescent="0.15">
      <c r="A2944" s="9">
        <v>2943</v>
      </c>
      <c r="B2944" s="9" t="s">
        <v>9</v>
      </c>
      <c r="C2944" s="9">
        <v>1927</v>
      </c>
      <c r="D2944" s="10">
        <v>45729</v>
      </c>
      <c r="E2944" s="11" t="str">
        <f>+HYPERLINK("http://trademark.i-assist.jp/data/china/image_1927th/82711149.pdf","82711149")</f>
        <v>82711149</v>
      </c>
      <c r="F2944" s="9" t="s">
        <v>8066</v>
      </c>
      <c r="G2944" s="9" t="s">
        <v>8067</v>
      </c>
      <c r="H2944" s="9" t="s">
        <v>8068</v>
      </c>
      <c r="I2944" s="10">
        <v>45649</v>
      </c>
    </row>
    <row r="2945" spans="1:9" x14ac:dyDescent="0.15">
      <c r="A2945" s="9">
        <v>2944</v>
      </c>
      <c r="B2945" s="9" t="s">
        <v>9</v>
      </c>
      <c r="C2945" s="9">
        <v>1927</v>
      </c>
      <c r="D2945" s="10">
        <v>45729</v>
      </c>
      <c r="E2945" s="11" t="str">
        <f>+HYPERLINK("http://trademark.i-assist.jp/data/china/image_1927th/82711200.pdf","82711200")</f>
        <v>82711200</v>
      </c>
      <c r="F2945" s="9" t="s">
        <v>8069</v>
      </c>
      <c r="G2945" s="9" t="s">
        <v>8070</v>
      </c>
      <c r="H2945" s="9" t="s">
        <v>8071</v>
      </c>
      <c r="I2945" s="10">
        <v>45649</v>
      </c>
    </row>
    <row r="2946" spans="1:9" x14ac:dyDescent="0.15">
      <c r="A2946" s="9">
        <v>2945</v>
      </c>
      <c r="B2946" s="9" t="s">
        <v>9</v>
      </c>
      <c r="C2946" s="9">
        <v>1927</v>
      </c>
      <c r="D2946" s="10">
        <v>45729</v>
      </c>
      <c r="E2946" s="11" t="str">
        <f>+HYPERLINK("http://trademark.i-assist.jp/data/china/image_1927th/82711223.pdf","82711223")</f>
        <v>82711223</v>
      </c>
      <c r="F2946" s="9" t="s">
        <v>8072</v>
      </c>
      <c r="G2946" s="9" t="s">
        <v>7948</v>
      </c>
      <c r="H2946" s="9" t="s">
        <v>8073</v>
      </c>
      <c r="I2946" s="10">
        <v>45649</v>
      </c>
    </row>
    <row r="2947" spans="1:9" x14ac:dyDescent="0.15">
      <c r="A2947" s="9">
        <v>2946</v>
      </c>
      <c r="B2947" s="9" t="s">
        <v>9</v>
      </c>
      <c r="C2947" s="9">
        <v>1927</v>
      </c>
      <c r="D2947" s="10">
        <v>45729</v>
      </c>
      <c r="E2947" s="11" t="str">
        <f>+HYPERLINK("http://trademark.i-assist.jp/data/china/image_1927th/82711266.pdf","82711266")</f>
        <v>82711266</v>
      </c>
      <c r="F2947" s="9" t="s">
        <v>8074</v>
      </c>
      <c r="G2947" s="9" t="s">
        <v>7948</v>
      </c>
      <c r="H2947" s="9" t="s">
        <v>8075</v>
      </c>
      <c r="I2947" s="10">
        <v>45649</v>
      </c>
    </row>
    <row r="2948" spans="1:9" x14ac:dyDescent="0.15">
      <c r="A2948" s="9">
        <v>2947</v>
      </c>
      <c r="B2948" s="9" t="s">
        <v>9</v>
      </c>
      <c r="C2948" s="9">
        <v>1927</v>
      </c>
      <c r="D2948" s="10">
        <v>45729</v>
      </c>
      <c r="E2948" s="11" t="str">
        <f>+HYPERLINK("http://trademark.i-assist.jp/data/china/image_1927th/82711340.pdf","82711340")</f>
        <v>82711340</v>
      </c>
      <c r="F2948" s="9" t="s">
        <v>8076</v>
      </c>
      <c r="G2948" s="9" t="s">
        <v>7935</v>
      </c>
      <c r="H2948" s="9" t="s">
        <v>8077</v>
      </c>
      <c r="I2948" s="10">
        <v>45649</v>
      </c>
    </row>
    <row r="2949" spans="1:9" x14ac:dyDescent="0.15">
      <c r="A2949" s="9">
        <v>2948</v>
      </c>
      <c r="B2949" s="9" t="s">
        <v>9</v>
      </c>
      <c r="C2949" s="9">
        <v>1927</v>
      </c>
      <c r="D2949" s="10">
        <v>45729</v>
      </c>
      <c r="E2949" s="11" t="str">
        <f>+HYPERLINK("http://trademark.i-assist.jp/data/china/image_1927th/82711374.pdf","82711374")</f>
        <v>82711374</v>
      </c>
      <c r="F2949" s="12" t="s">
        <v>8078</v>
      </c>
      <c r="G2949" s="9" t="s">
        <v>7935</v>
      </c>
      <c r="H2949" s="9" t="s">
        <v>8079</v>
      </c>
      <c r="I2949" s="10">
        <v>45649</v>
      </c>
    </row>
    <row r="2950" spans="1:9" x14ac:dyDescent="0.15">
      <c r="A2950" s="9">
        <v>2949</v>
      </c>
      <c r="B2950" s="9" t="s">
        <v>9</v>
      </c>
      <c r="C2950" s="9">
        <v>1927</v>
      </c>
      <c r="D2950" s="10">
        <v>45729</v>
      </c>
      <c r="E2950" s="11" t="str">
        <f>+HYPERLINK("http://trademark.i-assist.jp/data/china/image_1927th/82711390.pdf","82711390")</f>
        <v>82711390</v>
      </c>
      <c r="F2950" s="9" t="s">
        <v>8080</v>
      </c>
      <c r="G2950" s="9" t="s">
        <v>7953</v>
      </c>
      <c r="H2950" s="9" t="s">
        <v>8081</v>
      </c>
      <c r="I2950" s="10">
        <v>45649</v>
      </c>
    </row>
    <row r="2951" spans="1:9" x14ac:dyDescent="0.15">
      <c r="A2951" s="9">
        <v>2950</v>
      </c>
      <c r="B2951" s="9" t="s">
        <v>9</v>
      </c>
      <c r="C2951" s="9">
        <v>1927</v>
      </c>
      <c r="D2951" s="10">
        <v>45729</v>
      </c>
      <c r="E2951" s="11" t="str">
        <f>+HYPERLINK("http://trademark.i-assist.jp/data/china/image_1927th/82711397.pdf","82711397")</f>
        <v>82711397</v>
      </c>
      <c r="F2951" s="9" t="s">
        <v>8082</v>
      </c>
      <c r="G2951" s="9" t="s">
        <v>7935</v>
      </c>
      <c r="H2951" s="9" t="s">
        <v>8083</v>
      </c>
      <c r="I2951" s="10">
        <v>45649</v>
      </c>
    </row>
    <row r="2952" spans="1:9" x14ac:dyDescent="0.15">
      <c r="A2952" s="9">
        <v>2951</v>
      </c>
      <c r="B2952" s="9" t="s">
        <v>9</v>
      </c>
      <c r="C2952" s="9">
        <v>1927</v>
      </c>
      <c r="D2952" s="10">
        <v>45729</v>
      </c>
      <c r="E2952" s="11" t="str">
        <f>+HYPERLINK("http://trademark.i-assist.jp/data/china/image_1927th/82711666.pdf","82711666")</f>
        <v>82711666</v>
      </c>
      <c r="F2952" s="9" t="s">
        <v>7957</v>
      </c>
      <c r="G2952" s="12" t="s">
        <v>7958</v>
      </c>
      <c r="H2952" s="9" t="s">
        <v>8084</v>
      </c>
      <c r="I2952" s="10">
        <v>45649</v>
      </c>
    </row>
    <row r="2953" spans="1:9" x14ac:dyDescent="0.15">
      <c r="A2953" s="9">
        <v>2952</v>
      </c>
      <c r="B2953" s="9" t="s">
        <v>9</v>
      </c>
      <c r="C2953" s="9">
        <v>1927</v>
      </c>
      <c r="D2953" s="10">
        <v>45729</v>
      </c>
      <c r="E2953" s="11" t="str">
        <f>+HYPERLINK("http://trademark.i-assist.jp/data/china/image_1927th/82712518.pdf","82712518")</f>
        <v>82712518</v>
      </c>
      <c r="F2953" s="9" t="s">
        <v>8085</v>
      </c>
      <c r="G2953" s="12" t="s">
        <v>7958</v>
      </c>
      <c r="H2953" s="9" t="s">
        <v>8086</v>
      </c>
      <c r="I2953" s="10">
        <v>45649</v>
      </c>
    </row>
    <row r="2954" spans="1:9" x14ac:dyDescent="0.15">
      <c r="A2954" s="9">
        <v>2953</v>
      </c>
      <c r="B2954" s="9" t="s">
        <v>9</v>
      </c>
      <c r="C2954" s="9">
        <v>1927</v>
      </c>
      <c r="D2954" s="10">
        <v>45729</v>
      </c>
      <c r="E2954" s="11" t="str">
        <f>+HYPERLINK("http://trademark.i-assist.jp/data/china/image_1927th/82713170.pdf","82713170")</f>
        <v>82713170</v>
      </c>
      <c r="F2954" s="12" t="s">
        <v>8087</v>
      </c>
      <c r="G2954" s="9" t="s">
        <v>7948</v>
      </c>
      <c r="H2954" s="12" t="s">
        <v>8088</v>
      </c>
      <c r="I2954" s="10">
        <v>45649</v>
      </c>
    </row>
    <row r="2955" spans="1:9" x14ac:dyDescent="0.15">
      <c r="A2955" s="9">
        <v>2954</v>
      </c>
      <c r="B2955" s="9" t="s">
        <v>9</v>
      </c>
      <c r="C2955" s="9">
        <v>1927</v>
      </c>
      <c r="D2955" s="10">
        <v>45729</v>
      </c>
      <c r="E2955" s="11" t="str">
        <f>+HYPERLINK("http://trademark.i-assist.jp/data/china/image_1927th/82713188.pdf","82713188")</f>
        <v>82713188</v>
      </c>
      <c r="F2955" s="9" t="s">
        <v>8089</v>
      </c>
      <c r="G2955" s="9" t="s">
        <v>7948</v>
      </c>
      <c r="H2955" s="9" t="s">
        <v>8090</v>
      </c>
      <c r="I2955" s="10">
        <v>45649</v>
      </c>
    </row>
    <row r="2956" spans="1:9" x14ac:dyDescent="0.15">
      <c r="A2956" s="9">
        <v>2955</v>
      </c>
      <c r="B2956" s="9" t="s">
        <v>9</v>
      </c>
      <c r="C2956" s="9">
        <v>1927</v>
      </c>
      <c r="D2956" s="10">
        <v>45729</v>
      </c>
      <c r="E2956" s="11" t="str">
        <f>+HYPERLINK("http://trademark.i-assist.jp/data/china/image_1927th/82713723.pdf","82713723")</f>
        <v>82713723</v>
      </c>
      <c r="F2956" s="12" t="s">
        <v>168</v>
      </c>
      <c r="G2956" s="9" t="s">
        <v>169</v>
      </c>
      <c r="H2956" s="9" t="s">
        <v>8091</v>
      </c>
      <c r="I2956" s="10">
        <v>45649</v>
      </c>
    </row>
    <row r="2957" spans="1:9" x14ac:dyDescent="0.15">
      <c r="A2957" s="9">
        <v>2956</v>
      </c>
      <c r="B2957" s="9" t="s">
        <v>9</v>
      </c>
      <c r="C2957" s="9">
        <v>1927</v>
      </c>
      <c r="D2957" s="10">
        <v>45729</v>
      </c>
      <c r="E2957" s="11" t="str">
        <f>+HYPERLINK("http://trademark.i-assist.jp/data/china/image_1927th/82714049.pdf","82714049")</f>
        <v>82714049</v>
      </c>
      <c r="F2957" s="9" t="s">
        <v>8092</v>
      </c>
      <c r="G2957" s="9" t="s">
        <v>7972</v>
      </c>
      <c r="H2957" s="9" t="s">
        <v>8093</v>
      </c>
      <c r="I2957" s="10">
        <v>45649</v>
      </c>
    </row>
    <row r="2958" spans="1:9" x14ac:dyDescent="0.15">
      <c r="A2958" s="9">
        <v>2957</v>
      </c>
      <c r="B2958" s="9" t="s">
        <v>9</v>
      </c>
      <c r="C2958" s="9">
        <v>1927</v>
      </c>
      <c r="D2958" s="10">
        <v>45729</v>
      </c>
      <c r="E2958" s="11" t="str">
        <f>+HYPERLINK("http://trademark.i-assist.jp/data/china/image_1927th/82714203.pdf","82714203")</f>
        <v>82714203</v>
      </c>
      <c r="F2958" s="9" t="s">
        <v>8094</v>
      </c>
      <c r="G2958" s="9" t="s">
        <v>7948</v>
      </c>
      <c r="H2958" s="9" t="s">
        <v>8095</v>
      </c>
      <c r="I2958" s="10">
        <v>45649</v>
      </c>
    </row>
    <row r="2959" spans="1:9" x14ac:dyDescent="0.15">
      <c r="A2959" s="9">
        <v>2958</v>
      </c>
      <c r="B2959" s="9" t="s">
        <v>9</v>
      </c>
      <c r="C2959" s="9">
        <v>1927</v>
      </c>
      <c r="D2959" s="10">
        <v>45729</v>
      </c>
      <c r="E2959" s="11" t="str">
        <f>+HYPERLINK("http://trademark.i-assist.jp/data/china/image_1927th/82714370.pdf","82714370")</f>
        <v>82714370</v>
      </c>
      <c r="F2959" s="9" t="s">
        <v>8096</v>
      </c>
      <c r="G2959" s="9" t="s">
        <v>8097</v>
      </c>
      <c r="H2959" s="9" t="s">
        <v>8098</v>
      </c>
      <c r="I2959" s="10">
        <v>45649</v>
      </c>
    </row>
    <row r="2960" spans="1:9" x14ac:dyDescent="0.15">
      <c r="A2960" s="9">
        <v>2959</v>
      </c>
      <c r="B2960" s="9" t="s">
        <v>9</v>
      </c>
      <c r="C2960" s="9">
        <v>1927</v>
      </c>
      <c r="D2960" s="10">
        <v>45729</v>
      </c>
      <c r="E2960" s="11" t="str">
        <f>+HYPERLINK("http://trademark.i-assist.jp/data/china/image_1927th/82714777.pdf","82714777")</f>
        <v>82714777</v>
      </c>
      <c r="F2960" s="9" t="s">
        <v>8099</v>
      </c>
      <c r="G2960" s="9" t="s">
        <v>8100</v>
      </c>
      <c r="H2960" s="9" t="s">
        <v>8101</v>
      </c>
      <c r="I2960" s="10">
        <v>45649</v>
      </c>
    </row>
    <row r="2961" spans="1:9" x14ac:dyDescent="0.15">
      <c r="A2961" s="9">
        <v>2960</v>
      </c>
      <c r="B2961" s="9" t="s">
        <v>9</v>
      </c>
      <c r="C2961" s="9">
        <v>1927</v>
      </c>
      <c r="D2961" s="10">
        <v>45729</v>
      </c>
      <c r="E2961" s="11" t="str">
        <f>+HYPERLINK("http://trademark.i-assist.jp/data/china/image_1927th/82714862.pdf","82714862")</f>
        <v>82714862</v>
      </c>
      <c r="F2961" s="9" t="s">
        <v>8102</v>
      </c>
      <c r="G2961" s="9" t="s">
        <v>7948</v>
      </c>
      <c r="H2961" s="9" t="s">
        <v>8103</v>
      </c>
      <c r="I2961" s="10">
        <v>45649</v>
      </c>
    </row>
    <row r="2962" spans="1:9" x14ac:dyDescent="0.15">
      <c r="A2962" s="9">
        <v>2961</v>
      </c>
      <c r="B2962" s="9" t="s">
        <v>9</v>
      </c>
      <c r="C2962" s="9">
        <v>1927</v>
      </c>
      <c r="D2962" s="10">
        <v>45729</v>
      </c>
      <c r="E2962" s="11" t="str">
        <f>+HYPERLINK("http://trademark.i-assist.jp/data/china/image_1927th/82714921.pdf","82714921")</f>
        <v>82714921</v>
      </c>
      <c r="F2962" s="9" t="s">
        <v>8104</v>
      </c>
      <c r="G2962" s="9" t="s">
        <v>7953</v>
      </c>
      <c r="H2962" s="9" t="s">
        <v>8105</v>
      </c>
      <c r="I2962" s="10">
        <v>45649</v>
      </c>
    </row>
    <row r="2963" spans="1:9" x14ac:dyDescent="0.15">
      <c r="A2963" s="9">
        <v>2962</v>
      </c>
      <c r="B2963" s="9" t="s">
        <v>9</v>
      </c>
      <c r="C2963" s="9">
        <v>1927</v>
      </c>
      <c r="D2963" s="10">
        <v>45729</v>
      </c>
      <c r="E2963" s="11" t="str">
        <f>+HYPERLINK("http://trademark.i-assist.jp/data/china/image_1927th/82715011.pdf","82715011")</f>
        <v>82715011</v>
      </c>
      <c r="F2963" s="12" t="s">
        <v>16</v>
      </c>
      <c r="G2963" s="12" t="s">
        <v>8106</v>
      </c>
      <c r="H2963" s="9" t="s">
        <v>8107</v>
      </c>
      <c r="I2963" s="10">
        <v>45649</v>
      </c>
    </row>
    <row r="2964" spans="1:9" x14ac:dyDescent="0.15">
      <c r="A2964" s="9">
        <v>2963</v>
      </c>
      <c r="B2964" s="9" t="s">
        <v>9</v>
      </c>
      <c r="C2964" s="9">
        <v>1927</v>
      </c>
      <c r="D2964" s="10">
        <v>45729</v>
      </c>
      <c r="E2964" s="11" t="str">
        <f>+HYPERLINK("http://trademark.i-assist.jp/data/china/image_1927th/82715020.pdf","82715020")</f>
        <v>82715020</v>
      </c>
      <c r="F2964" s="9" t="s">
        <v>8108</v>
      </c>
      <c r="G2964" s="12" t="s">
        <v>8106</v>
      </c>
      <c r="H2964" s="9" t="s">
        <v>8109</v>
      </c>
      <c r="I2964" s="10">
        <v>45649</v>
      </c>
    </row>
    <row r="2965" spans="1:9" x14ac:dyDescent="0.15">
      <c r="A2965" s="9">
        <v>2964</v>
      </c>
      <c r="B2965" s="9" t="s">
        <v>9</v>
      </c>
      <c r="C2965" s="9">
        <v>1927</v>
      </c>
      <c r="D2965" s="10">
        <v>45729</v>
      </c>
      <c r="E2965" s="11" t="str">
        <f>+HYPERLINK("http://trademark.i-assist.jp/data/china/image_1927th/82715813.pdf","82715813")</f>
        <v>82715813</v>
      </c>
      <c r="F2965" s="9" t="s">
        <v>8110</v>
      </c>
      <c r="G2965" s="9" t="s">
        <v>8024</v>
      </c>
      <c r="H2965" s="9" t="s">
        <v>8111</v>
      </c>
      <c r="I2965" s="10">
        <v>45649</v>
      </c>
    </row>
    <row r="2966" spans="1:9" x14ac:dyDescent="0.15">
      <c r="A2966" s="9">
        <v>2965</v>
      </c>
      <c r="B2966" s="9" t="s">
        <v>9</v>
      </c>
      <c r="C2966" s="9">
        <v>1927</v>
      </c>
      <c r="D2966" s="10">
        <v>45729</v>
      </c>
      <c r="E2966" s="11" t="str">
        <f>+HYPERLINK("http://trademark.i-assist.jp/data/china/image_1927th/82716103.pdf","82716103")</f>
        <v>82716103</v>
      </c>
      <c r="F2966" s="9" t="s">
        <v>8112</v>
      </c>
      <c r="G2966" s="9" t="s">
        <v>7932</v>
      </c>
      <c r="H2966" s="9" t="s">
        <v>8113</v>
      </c>
      <c r="I2966" s="10">
        <v>45649</v>
      </c>
    </row>
    <row r="2967" spans="1:9" x14ac:dyDescent="0.15">
      <c r="A2967" s="9">
        <v>2966</v>
      </c>
      <c r="B2967" s="9" t="s">
        <v>9</v>
      </c>
      <c r="C2967" s="9">
        <v>1927</v>
      </c>
      <c r="D2967" s="10">
        <v>45729</v>
      </c>
      <c r="E2967" s="11" t="str">
        <f>+HYPERLINK("http://trademark.i-assist.jp/data/china/image_1927th/82716119.pdf","82716119")</f>
        <v>82716119</v>
      </c>
      <c r="F2967" s="9" t="s">
        <v>8114</v>
      </c>
      <c r="G2967" s="9" t="s">
        <v>8115</v>
      </c>
      <c r="H2967" s="9" t="s">
        <v>8116</v>
      </c>
      <c r="I2967" s="10">
        <v>45649</v>
      </c>
    </row>
    <row r="2968" spans="1:9" x14ac:dyDescent="0.15">
      <c r="A2968" s="9">
        <v>2967</v>
      </c>
      <c r="B2968" s="9" t="s">
        <v>9</v>
      </c>
      <c r="C2968" s="9">
        <v>1927</v>
      </c>
      <c r="D2968" s="10">
        <v>45729</v>
      </c>
      <c r="E2968" s="11" t="str">
        <f>+HYPERLINK("http://trademark.i-assist.jp/data/china/image_1927th/82716130.pdf","82716130")</f>
        <v>82716130</v>
      </c>
      <c r="F2968" s="9" t="s">
        <v>8117</v>
      </c>
      <c r="G2968" s="9" t="s">
        <v>7935</v>
      </c>
      <c r="H2968" s="12" t="s">
        <v>8118</v>
      </c>
      <c r="I2968" s="10">
        <v>45649</v>
      </c>
    </row>
    <row r="2969" spans="1:9" x14ac:dyDescent="0.15">
      <c r="A2969" s="9">
        <v>2968</v>
      </c>
      <c r="B2969" s="9" t="s">
        <v>9</v>
      </c>
      <c r="C2969" s="9">
        <v>1927</v>
      </c>
      <c r="D2969" s="10">
        <v>45729</v>
      </c>
      <c r="E2969" s="11" t="str">
        <f>+HYPERLINK("http://trademark.i-assist.jp/data/china/image_1927th/82716275.pdf","82716275")</f>
        <v>82716275</v>
      </c>
      <c r="F2969" s="9" t="s">
        <v>8119</v>
      </c>
      <c r="G2969" s="9" t="s">
        <v>93</v>
      </c>
      <c r="H2969" s="9" t="s">
        <v>8120</v>
      </c>
      <c r="I2969" s="10">
        <v>45649</v>
      </c>
    </row>
    <row r="2970" spans="1:9" x14ac:dyDescent="0.15">
      <c r="A2970" s="9">
        <v>2969</v>
      </c>
      <c r="B2970" s="9" t="s">
        <v>9</v>
      </c>
      <c r="C2970" s="9">
        <v>1927</v>
      </c>
      <c r="D2970" s="10">
        <v>45729</v>
      </c>
      <c r="E2970" s="11" t="str">
        <f>+HYPERLINK("http://trademark.i-assist.jp/data/china/image_1927th/82716513.pdf","82716513")</f>
        <v>82716513</v>
      </c>
      <c r="F2970" s="9" t="s">
        <v>8121</v>
      </c>
      <c r="G2970" s="9" t="s">
        <v>8122</v>
      </c>
      <c r="H2970" s="9" t="s">
        <v>8123</v>
      </c>
      <c r="I2970" s="10">
        <v>45649</v>
      </c>
    </row>
    <row r="2971" spans="1:9" x14ac:dyDescent="0.15">
      <c r="A2971" s="9">
        <v>2970</v>
      </c>
      <c r="B2971" s="9" t="s">
        <v>9</v>
      </c>
      <c r="C2971" s="9">
        <v>1927</v>
      </c>
      <c r="D2971" s="10">
        <v>45729</v>
      </c>
      <c r="E2971" s="11" t="str">
        <f>+HYPERLINK("http://trademark.i-assist.jp/data/china/image_1927th/82716721.pdf","82716721")</f>
        <v>82716721</v>
      </c>
      <c r="F2971" s="9" t="s">
        <v>8124</v>
      </c>
      <c r="G2971" s="9" t="s">
        <v>7932</v>
      </c>
      <c r="H2971" s="9" t="s">
        <v>8125</v>
      </c>
      <c r="I2971" s="10">
        <v>45649</v>
      </c>
    </row>
    <row r="2972" spans="1:9" x14ac:dyDescent="0.15">
      <c r="A2972" s="9">
        <v>2971</v>
      </c>
      <c r="B2972" s="9" t="s">
        <v>9</v>
      </c>
      <c r="C2972" s="9">
        <v>1927</v>
      </c>
      <c r="D2972" s="10">
        <v>45729</v>
      </c>
      <c r="E2972" s="11" t="str">
        <f>+HYPERLINK("http://trademark.i-assist.jp/data/china/image_1927th/82717049.pdf","82717049")</f>
        <v>82717049</v>
      </c>
      <c r="F2972" s="9" t="s">
        <v>8126</v>
      </c>
      <c r="G2972" s="12" t="s">
        <v>8127</v>
      </c>
      <c r="H2972" s="12" t="s">
        <v>8128</v>
      </c>
      <c r="I2972" s="10">
        <v>45649</v>
      </c>
    </row>
    <row r="2973" spans="1:9" x14ac:dyDescent="0.15">
      <c r="A2973" s="9">
        <v>2972</v>
      </c>
      <c r="B2973" s="9" t="s">
        <v>9</v>
      </c>
      <c r="C2973" s="9">
        <v>1927</v>
      </c>
      <c r="D2973" s="10">
        <v>45729</v>
      </c>
      <c r="E2973" s="11" t="str">
        <f>+HYPERLINK("http://trademark.i-assist.jp/data/china/image_1927th/82717630.pdf","82717630")</f>
        <v>82717630</v>
      </c>
      <c r="F2973" s="9" t="s">
        <v>8129</v>
      </c>
      <c r="G2973" s="9" t="s">
        <v>7935</v>
      </c>
      <c r="H2973" s="12" t="s">
        <v>8130</v>
      </c>
      <c r="I2973" s="10">
        <v>45649</v>
      </c>
    </row>
    <row r="2974" spans="1:9" x14ac:dyDescent="0.15">
      <c r="A2974" s="9">
        <v>2973</v>
      </c>
      <c r="B2974" s="9" t="s">
        <v>9</v>
      </c>
      <c r="C2974" s="9">
        <v>1927</v>
      </c>
      <c r="D2974" s="10">
        <v>45729</v>
      </c>
      <c r="E2974" s="11" t="str">
        <f>+HYPERLINK("http://trademark.i-assist.jp/data/china/image_1927th/82717642.pdf","82717642")</f>
        <v>82717642</v>
      </c>
      <c r="F2974" s="9" t="s">
        <v>8131</v>
      </c>
      <c r="G2974" s="9" t="s">
        <v>7935</v>
      </c>
      <c r="H2974" s="12" t="s">
        <v>8132</v>
      </c>
      <c r="I2974" s="10">
        <v>45649</v>
      </c>
    </row>
    <row r="2975" spans="1:9" x14ac:dyDescent="0.15">
      <c r="A2975" s="9">
        <v>2974</v>
      </c>
      <c r="B2975" s="9" t="s">
        <v>9</v>
      </c>
      <c r="C2975" s="9">
        <v>1927</v>
      </c>
      <c r="D2975" s="10">
        <v>45729</v>
      </c>
      <c r="E2975" s="11" t="str">
        <f>+HYPERLINK("http://trademark.i-assist.jp/data/china/image_1927th/82717654.pdf","82717654")</f>
        <v>82717654</v>
      </c>
      <c r="F2975" s="12" t="s">
        <v>8133</v>
      </c>
      <c r="G2975" s="12" t="s">
        <v>8134</v>
      </c>
      <c r="H2975" s="9" t="s">
        <v>8135</v>
      </c>
      <c r="I2975" s="10">
        <v>45649</v>
      </c>
    </row>
    <row r="2976" spans="1:9" x14ac:dyDescent="0.15">
      <c r="A2976" s="9">
        <v>2975</v>
      </c>
      <c r="B2976" s="9" t="s">
        <v>9</v>
      </c>
      <c r="C2976" s="9">
        <v>1927</v>
      </c>
      <c r="D2976" s="10">
        <v>45729</v>
      </c>
      <c r="E2976" s="11" t="str">
        <f>+HYPERLINK("http://trademark.i-assist.jp/data/china/image_1927th/82718152.pdf","82718152")</f>
        <v>82718152</v>
      </c>
      <c r="F2976" s="9" t="s">
        <v>8136</v>
      </c>
      <c r="G2976" s="9" t="s">
        <v>7935</v>
      </c>
      <c r="H2976" s="9" t="s">
        <v>8137</v>
      </c>
      <c r="I2976" s="10">
        <v>45649</v>
      </c>
    </row>
    <row r="2977" spans="1:9" x14ac:dyDescent="0.15">
      <c r="A2977" s="9">
        <v>2976</v>
      </c>
      <c r="B2977" s="9" t="s">
        <v>9</v>
      </c>
      <c r="C2977" s="9">
        <v>1927</v>
      </c>
      <c r="D2977" s="10">
        <v>45729</v>
      </c>
      <c r="E2977" s="11" t="str">
        <f>+HYPERLINK("http://trademark.i-assist.jp/data/china/image_1927th/82718169.pdf","82718169")</f>
        <v>82718169</v>
      </c>
      <c r="F2977" s="12" t="s">
        <v>8138</v>
      </c>
      <c r="G2977" s="9" t="s">
        <v>7935</v>
      </c>
      <c r="H2977" s="9" t="s">
        <v>8139</v>
      </c>
      <c r="I2977" s="10">
        <v>45649</v>
      </c>
    </row>
    <row r="2978" spans="1:9" x14ac:dyDescent="0.15">
      <c r="A2978" s="9">
        <v>2977</v>
      </c>
      <c r="B2978" s="9" t="s">
        <v>9</v>
      </c>
      <c r="C2978" s="9">
        <v>1927</v>
      </c>
      <c r="D2978" s="10">
        <v>45729</v>
      </c>
      <c r="E2978" s="11" t="str">
        <f>+HYPERLINK("http://trademark.i-assist.jp/data/china/image_1927th/82718255.pdf","82718255")</f>
        <v>82718255</v>
      </c>
      <c r="F2978" s="9" t="s">
        <v>8140</v>
      </c>
      <c r="G2978" s="12" t="s">
        <v>8141</v>
      </c>
      <c r="H2978" s="9" t="s">
        <v>8142</v>
      </c>
      <c r="I2978" s="10">
        <v>45649</v>
      </c>
    </row>
    <row r="2979" spans="1:9" x14ac:dyDescent="0.15">
      <c r="A2979" s="9">
        <v>2978</v>
      </c>
      <c r="B2979" s="9" t="s">
        <v>9</v>
      </c>
      <c r="C2979" s="9">
        <v>1927</v>
      </c>
      <c r="D2979" s="10">
        <v>45729</v>
      </c>
      <c r="E2979" s="11" t="str">
        <f>+HYPERLINK("http://trademark.i-assist.jp/data/china/image_1927th/82718258.pdf","82718258")</f>
        <v>82718258</v>
      </c>
      <c r="F2979" s="12" t="s">
        <v>16</v>
      </c>
      <c r="G2979" s="9" t="s">
        <v>8143</v>
      </c>
      <c r="H2979" s="9" t="s">
        <v>8144</v>
      </c>
      <c r="I2979" s="10">
        <v>45649</v>
      </c>
    </row>
    <row r="2980" spans="1:9" x14ac:dyDescent="0.15">
      <c r="A2980" s="9">
        <v>2979</v>
      </c>
      <c r="B2980" s="9" t="s">
        <v>9</v>
      </c>
      <c r="C2980" s="9">
        <v>1927</v>
      </c>
      <c r="D2980" s="10">
        <v>45729</v>
      </c>
      <c r="E2980" s="11" t="str">
        <f>+HYPERLINK("http://trademark.i-assist.jp/data/china/image_1927th/82718448.pdf","82718448")</f>
        <v>82718448</v>
      </c>
      <c r="F2980" s="12" t="s">
        <v>8145</v>
      </c>
      <c r="G2980" s="9" t="s">
        <v>7948</v>
      </c>
      <c r="H2980" s="9" t="s">
        <v>8146</v>
      </c>
      <c r="I2980" s="10">
        <v>45649</v>
      </c>
    </row>
    <row r="2981" spans="1:9" x14ac:dyDescent="0.15">
      <c r="A2981" s="9">
        <v>2980</v>
      </c>
      <c r="B2981" s="9" t="s">
        <v>9</v>
      </c>
      <c r="C2981" s="9">
        <v>1927</v>
      </c>
      <c r="D2981" s="10">
        <v>45729</v>
      </c>
      <c r="E2981" s="11" t="str">
        <f>+HYPERLINK("http://trademark.i-assist.jp/data/china/image_1927th/82718618.pdf","82718618")</f>
        <v>82718618</v>
      </c>
      <c r="F2981" s="9" t="s">
        <v>8147</v>
      </c>
      <c r="G2981" s="9" t="s">
        <v>93</v>
      </c>
      <c r="H2981" s="9" t="s">
        <v>8148</v>
      </c>
      <c r="I2981" s="10">
        <v>45649</v>
      </c>
    </row>
    <row r="2982" spans="1:9" x14ac:dyDescent="0.15">
      <c r="A2982" s="9">
        <v>2981</v>
      </c>
      <c r="B2982" s="9" t="s">
        <v>9</v>
      </c>
      <c r="C2982" s="9">
        <v>1927</v>
      </c>
      <c r="D2982" s="10">
        <v>45729</v>
      </c>
      <c r="E2982" s="11" t="str">
        <f>+HYPERLINK("http://trademark.i-assist.jp/data/china/image_1927th/82718991.pdf","82718991")</f>
        <v>82718991</v>
      </c>
      <c r="F2982" s="9" t="s">
        <v>8149</v>
      </c>
      <c r="G2982" s="9" t="s">
        <v>132</v>
      </c>
      <c r="H2982" s="9" t="s">
        <v>8150</v>
      </c>
      <c r="I2982" s="10">
        <v>45649</v>
      </c>
    </row>
    <row r="2983" spans="1:9" x14ac:dyDescent="0.15">
      <c r="A2983" s="9">
        <v>2982</v>
      </c>
      <c r="B2983" s="9" t="s">
        <v>9</v>
      </c>
      <c r="C2983" s="9">
        <v>1927</v>
      </c>
      <c r="D2983" s="10">
        <v>45729</v>
      </c>
      <c r="E2983" s="11" t="str">
        <f>+HYPERLINK("http://trademark.i-assist.jp/data/china/image_1927th/82719084.pdf","82719084")</f>
        <v>82719084</v>
      </c>
      <c r="F2983" s="12" t="s">
        <v>8151</v>
      </c>
      <c r="G2983" s="9" t="s">
        <v>8152</v>
      </c>
      <c r="H2983" s="9" t="s">
        <v>8153</v>
      </c>
      <c r="I2983" s="10">
        <v>45649</v>
      </c>
    </row>
    <row r="2984" spans="1:9" x14ac:dyDescent="0.15">
      <c r="A2984" s="9">
        <v>2983</v>
      </c>
      <c r="B2984" s="9" t="s">
        <v>9</v>
      </c>
      <c r="C2984" s="9">
        <v>1927</v>
      </c>
      <c r="D2984" s="10">
        <v>45729</v>
      </c>
      <c r="E2984" s="11" t="str">
        <f>+HYPERLINK("http://trademark.i-assist.jp/data/china/image_1927th/82719588.pdf","82719588")</f>
        <v>82719588</v>
      </c>
      <c r="F2984" s="9" t="s">
        <v>8154</v>
      </c>
      <c r="G2984" s="9" t="s">
        <v>7948</v>
      </c>
      <c r="H2984" s="9" t="s">
        <v>8155</v>
      </c>
      <c r="I2984" s="10">
        <v>45649</v>
      </c>
    </row>
    <row r="2985" spans="1:9" x14ac:dyDescent="0.15">
      <c r="A2985" s="9">
        <v>2984</v>
      </c>
      <c r="B2985" s="9" t="s">
        <v>9</v>
      </c>
      <c r="C2985" s="9">
        <v>1927</v>
      </c>
      <c r="D2985" s="10">
        <v>45729</v>
      </c>
      <c r="E2985" s="11" t="str">
        <f>+HYPERLINK("http://trademark.i-assist.jp/data/china/image_1927th/82719608.pdf","82719608")</f>
        <v>82719608</v>
      </c>
      <c r="F2985" s="12" t="s">
        <v>8156</v>
      </c>
      <c r="G2985" s="9" t="s">
        <v>7948</v>
      </c>
      <c r="H2985" s="9" t="s">
        <v>8157</v>
      </c>
      <c r="I2985" s="10">
        <v>45649</v>
      </c>
    </row>
    <row r="2986" spans="1:9" x14ac:dyDescent="0.15">
      <c r="A2986" s="9">
        <v>2985</v>
      </c>
      <c r="B2986" s="9" t="s">
        <v>9</v>
      </c>
      <c r="C2986" s="9">
        <v>1927</v>
      </c>
      <c r="D2986" s="10">
        <v>45729</v>
      </c>
      <c r="E2986" s="11" t="str">
        <f>+HYPERLINK("http://trademark.i-assist.jp/data/china/image_1927th/82719869.pdf","82719869")</f>
        <v>82719869</v>
      </c>
      <c r="F2986" s="9" t="s">
        <v>8158</v>
      </c>
      <c r="G2986" s="9" t="s">
        <v>7935</v>
      </c>
      <c r="H2986" s="9" t="s">
        <v>8159</v>
      </c>
      <c r="I2986" s="10">
        <v>45649</v>
      </c>
    </row>
    <row r="2987" spans="1:9" x14ac:dyDescent="0.15">
      <c r="A2987" s="9">
        <v>2986</v>
      </c>
      <c r="B2987" s="9" t="s">
        <v>9</v>
      </c>
      <c r="C2987" s="9">
        <v>1927</v>
      </c>
      <c r="D2987" s="10">
        <v>45729</v>
      </c>
      <c r="E2987" s="11" t="str">
        <f>+HYPERLINK("http://trademark.i-assist.jp/data/china/image_1927th/82719874.pdf","82719874")</f>
        <v>82719874</v>
      </c>
      <c r="F2987" s="9" t="s">
        <v>8160</v>
      </c>
      <c r="G2987" s="9" t="s">
        <v>8161</v>
      </c>
      <c r="H2987" s="9" t="s">
        <v>8162</v>
      </c>
      <c r="I2987" s="10">
        <v>45649</v>
      </c>
    </row>
    <row r="2988" spans="1:9" x14ac:dyDescent="0.15">
      <c r="A2988" s="9">
        <v>2987</v>
      </c>
      <c r="B2988" s="9" t="s">
        <v>9</v>
      </c>
      <c r="C2988" s="9">
        <v>1927</v>
      </c>
      <c r="D2988" s="10">
        <v>45729</v>
      </c>
      <c r="E2988" s="11" t="str">
        <f>+HYPERLINK("http://trademark.i-assist.jp/data/china/image_1927th/82719879.pdf","82719879")</f>
        <v>82719879</v>
      </c>
      <c r="F2988" s="9" t="s">
        <v>8163</v>
      </c>
      <c r="G2988" s="9" t="s">
        <v>7935</v>
      </c>
      <c r="H2988" s="12" t="s">
        <v>8164</v>
      </c>
      <c r="I2988" s="10">
        <v>45649</v>
      </c>
    </row>
    <row r="2989" spans="1:9" x14ac:dyDescent="0.15">
      <c r="A2989" s="9">
        <v>2988</v>
      </c>
      <c r="B2989" s="9" t="s">
        <v>9</v>
      </c>
      <c r="C2989" s="9">
        <v>1927</v>
      </c>
      <c r="D2989" s="10">
        <v>45729</v>
      </c>
      <c r="E2989" s="11" t="str">
        <f>+HYPERLINK("http://trademark.i-assist.jp/data/china/image_1927th/82720412.pdf","82720412")</f>
        <v>82720412</v>
      </c>
      <c r="F2989" s="9" t="s">
        <v>8165</v>
      </c>
      <c r="G2989" s="9" t="s">
        <v>8166</v>
      </c>
      <c r="H2989" s="9" t="s">
        <v>8167</v>
      </c>
      <c r="I2989" s="10">
        <v>45649</v>
      </c>
    </row>
    <row r="2990" spans="1:9" x14ac:dyDescent="0.15">
      <c r="A2990" s="9">
        <v>2989</v>
      </c>
      <c r="B2990" s="9" t="s">
        <v>9</v>
      </c>
      <c r="C2990" s="9">
        <v>1927</v>
      </c>
      <c r="D2990" s="10">
        <v>45729</v>
      </c>
      <c r="E2990" s="11" t="str">
        <f>+HYPERLINK("http://trademark.i-assist.jp/data/china/image_1927th/82720468.pdf","82720468")</f>
        <v>82720468</v>
      </c>
      <c r="F2990" s="9" t="s">
        <v>8168</v>
      </c>
      <c r="G2990" s="9" t="s">
        <v>8169</v>
      </c>
      <c r="H2990" s="9" t="s">
        <v>8170</v>
      </c>
      <c r="I2990" s="10">
        <v>45649</v>
      </c>
    </row>
    <row r="2991" spans="1:9" x14ac:dyDescent="0.15">
      <c r="A2991" s="9">
        <v>2990</v>
      </c>
      <c r="B2991" s="9" t="s">
        <v>9</v>
      </c>
      <c r="C2991" s="9">
        <v>1927</v>
      </c>
      <c r="D2991" s="10">
        <v>45729</v>
      </c>
      <c r="E2991" s="11" t="str">
        <f>+HYPERLINK("http://trademark.i-assist.jp/data/china/image_1927th/82720516.pdf","82720516")</f>
        <v>82720516</v>
      </c>
      <c r="F2991" s="9" t="s">
        <v>8171</v>
      </c>
      <c r="G2991" s="9" t="s">
        <v>93</v>
      </c>
      <c r="H2991" s="9" t="s">
        <v>8172</v>
      </c>
      <c r="I2991" s="10">
        <v>45649</v>
      </c>
    </row>
    <row r="2992" spans="1:9" x14ac:dyDescent="0.15">
      <c r="A2992" s="9">
        <v>2991</v>
      </c>
      <c r="B2992" s="9" t="s">
        <v>9</v>
      </c>
      <c r="C2992" s="9">
        <v>1927</v>
      </c>
      <c r="D2992" s="10">
        <v>45729</v>
      </c>
      <c r="E2992" s="11" t="str">
        <f>+HYPERLINK("http://trademark.i-assist.jp/data/china/image_1927th/82720936.pdf","82720936")</f>
        <v>82720936</v>
      </c>
      <c r="F2992" s="9" t="s">
        <v>8173</v>
      </c>
      <c r="G2992" s="12" t="s">
        <v>8127</v>
      </c>
      <c r="H2992" s="9" t="s">
        <v>8174</v>
      </c>
      <c r="I2992" s="10">
        <v>45649</v>
      </c>
    </row>
    <row r="2993" spans="1:9" x14ac:dyDescent="0.15">
      <c r="A2993" s="9">
        <v>2992</v>
      </c>
      <c r="B2993" s="9" t="s">
        <v>9</v>
      </c>
      <c r="C2993" s="9">
        <v>1927</v>
      </c>
      <c r="D2993" s="10">
        <v>45729</v>
      </c>
      <c r="E2993" s="11" t="str">
        <f>+HYPERLINK("http://trademark.i-assist.jp/data/china/image_1927th/82720952.pdf","82720952")</f>
        <v>82720952</v>
      </c>
      <c r="F2993" s="9" t="s">
        <v>8175</v>
      </c>
      <c r="G2993" s="9" t="s">
        <v>7948</v>
      </c>
      <c r="H2993" s="12" t="s">
        <v>8176</v>
      </c>
      <c r="I2993" s="10">
        <v>45649</v>
      </c>
    </row>
    <row r="2994" spans="1:9" x14ac:dyDescent="0.15">
      <c r="A2994" s="9">
        <v>2993</v>
      </c>
      <c r="B2994" s="9" t="s">
        <v>9</v>
      </c>
      <c r="C2994" s="9">
        <v>1927</v>
      </c>
      <c r="D2994" s="10">
        <v>45729</v>
      </c>
      <c r="E2994" s="11" t="str">
        <f>+HYPERLINK("http://trademark.i-assist.jp/data/china/image_1927th/82721320.pdf","82721320")</f>
        <v>82721320</v>
      </c>
      <c r="F2994" s="9" t="s">
        <v>8177</v>
      </c>
      <c r="G2994" s="9" t="s">
        <v>8178</v>
      </c>
      <c r="H2994" s="9" t="s">
        <v>8179</v>
      </c>
      <c r="I2994" s="10">
        <v>45649</v>
      </c>
    </row>
    <row r="2995" spans="1:9" x14ac:dyDescent="0.15">
      <c r="A2995" s="9">
        <v>2994</v>
      </c>
      <c r="B2995" s="9" t="s">
        <v>9</v>
      </c>
      <c r="C2995" s="9">
        <v>1927</v>
      </c>
      <c r="D2995" s="10">
        <v>45729</v>
      </c>
      <c r="E2995" s="11" t="str">
        <f>+HYPERLINK("http://trademark.i-assist.jp/data/china/image_1927th/82721678.pdf","82721678")</f>
        <v>82721678</v>
      </c>
      <c r="F2995" s="9" t="s">
        <v>8180</v>
      </c>
      <c r="G2995" s="9" t="s">
        <v>93</v>
      </c>
      <c r="H2995" s="9" t="s">
        <v>8181</v>
      </c>
      <c r="I2995" s="10">
        <v>45649</v>
      </c>
    </row>
    <row r="2996" spans="1:9" x14ac:dyDescent="0.15">
      <c r="A2996" s="9">
        <v>2995</v>
      </c>
      <c r="B2996" s="9" t="s">
        <v>9</v>
      </c>
      <c r="C2996" s="9">
        <v>1927</v>
      </c>
      <c r="D2996" s="10">
        <v>45729</v>
      </c>
      <c r="E2996" s="11" t="str">
        <f>+HYPERLINK("http://trademark.i-assist.jp/data/china/image_1927th/82721694.pdf","82721694")</f>
        <v>82721694</v>
      </c>
      <c r="F2996" s="9" t="s">
        <v>8182</v>
      </c>
      <c r="G2996" s="9" t="s">
        <v>7953</v>
      </c>
      <c r="H2996" s="9" t="s">
        <v>8183</v>
      </c>
      <c r="I2996" s="10">
        <v>45649</v>
      </c>
    </row>
    <row r="2997" spans="1:9" x14ac:dyDescent="0.15">
      <c r="A2997" s="9">
        <v>2996</v>
      </c>
      <c r="B2997" s="9" t="s">
        <v>9</v>
      </c>
      <c r="C2997" s="9">
        <v>1927</v>
      </c>
      <c r="D2997" s="10">
        <v>45729</v>
      </c>
      <c r="E2997" s="11" t="str">
        <f>+HYPERLINK("http://trademark.i-assist.jp/data/china/image_1927th/82721990.pdf","82721990")</f>
        <v>82721990</v>
      </c>
      <c r="F2997" s="9" t="s">
        <v>8184</v>
      </c>
      <c r="G2997" s="9" t="s">
        <v>8185</v>
      </c>
      <c r="H2997" s="12" t="s">
        <v>8186</v>
      </c>
      <c r="I2997" s="10">
        <v>45649</v>
      </c>
    </row>
    <row r="2998" spans="1:9" x14ac:dyDescent="0.15">
      <c r="A2998" s="9">
        <v>2997</v>
      </c>
      <c r="B2998" s="9" t="s">
        <v>9</v>
      </c>
      <c r="C2998" s="9">
        <v>1927</v>
      </c>
      <c r="D2998" s="10">
        <v>45729</v>
      </c>
      <c r="E2998" s="11" t="str">
        <f>+HYPERLINK("http://trademark.i-assist.jp/data/china/image_1927th/82722078.pdf","82722078")</f>
        <v>82722078</v>
      </c>
      <c r="F2998" s="9" t="s">
        <v>8187</v>
      </c>
      <c r="G2998" s="9" t="s">
        <v>7953</v>
      </c>
      <c r="H2998" s="9" t="s">
        <v>8188</v>
      </c>
      <c r="I2998" s="10">
        <v>45649</v>
      </c>
    </row>
    <row r="2999" spans="1:9" x14ac:dyDescent="0.15">
      <c r="A2999" s="9">
        <v>2998</v>
      </c>
      <c r="B2999" s="9" t="s">
        <v>9</v>
      </c>
      <c r="C2999" s="9">
        <v>1927</v>
      </c>
      <c r="D2999" s="10">
        <v>45729</v>
      </c>
      <c r="E2999" s="11" t="str">
        <f>+HYPERLINK("http://trademark.i-assist.jp/data/china/image_1927th/82722178.pdf","82722178")</f>
        <v>82722178</v>
      </c>
      <c r="F2999" s="9" t="s">
        <v>8189</v>
      </c>
      <c r="G2999" s="9" t="s">
        <v>7948</v>
      </c>
      <c r="H2999" s="9" t="s">
        <v>8190</v>
      </c>
      <c r="I2999" s="10">
        <v>45649</v>
      </c>
    </row>
    <row r="3000" spans="1:9" x14ac:dyDescent="0.15">
      <c r="A3000" s="9">
        <v>2999</v>
      </c>
      <c r="B3000" s="9" t="s">
        <v>9</v>
      </c>
      <c r="C3000" s="9">
        <v>1927</v>
      </c>
      <c r="D3000" s="10">
        <v>45729</v>
      </c>
      <c r="E3000" s="11" t="str">
        <f>+HYPERLINK("http://trademark.i-assist.jp/data/china/image_1927th/82722317.pdf","82722317")</f>
        <v>82722317</v>
      </c>
      <c r="F3000" s="9" t="s">
        <v>8191</v>
      </c>
      <c r="G3000" s="9" t="s">
        <v>8192</v>
      </c>
      <c r="H3000" s="9" t="s">
        <v>8193</v>
      </c>
      <c r="I3000" s="10">
        <v>45649</v>
      </c>
    </row>
    <row r="3001" spans="1:9" x14ac:dyDescent="0.15">
      <c r="A3001" s="9">
        <v>3000</v>
      </c>
      <c r="B3001" s="9" t="s">
        <v>9</v>
      </c>
      <c r="C3001" s="9">
        <v>1927</v>
      </c>
      <c r="D3001" s="10">
        <v>45729</v>
      </c>
      <c r="E3001" s="11" t="str">
        <f>+HYPERLINK("http://trademark.i-assist.jp/data/china/image_1927th/82722715.pdf","82722715")</f>
        <v>82722715</v>
      </c>
      <c r="F3001" s="9" t="s">
        <v>8194</v>
      </c>
      <c r="G3001" s="9" t="s">
        <v>8195</v>
      </c>
      <c r="H3001" s="9" t="s">
        <v>8196</v>
      </c>
      <c r="I3001" s="10">
        <v>45650</v>
      </c>
    </row>
    <row r="3002" spans="1:9" x14ac:dyDescent="0.15">
      <c r="A3002" s="9">
        <v>3001</v>
      </c>
      <c r="B3002" s="9" t="s">
        <v>9</v>
      </c>
      <c r="C3002" s="9">
        <v>1927</v>
      </c>
      <c r="D3002" s="10">
        <v>45729</v>
      </c>
      <c r="E3002" s="11" t="str">
        <f>+HYPERLINK("http://trademark.i-assist.jp/data/china/image_1927th/82723879.pdf","82723879")</f>
        <v>82723879</v>
      </c>
      <c r="F3002" s="9" t="s">
        <v>8197</v>
      </c>
      <c r="G3002" s="9" t="s">
        <v>7486</v>
      </c>
      <c r="H3002" s="9" t="s">
        <v>8198</v>
      </c>
      <c r="I3002" s="10">
        <v>45650</v>
      </c>
    </row>
    <row r="3003" spans="1:9" x14ac:dyDescent="0.15">
      <c r="A3003" s="9">
        <v>3002</v>
      </c>
      <c r="B3003" s="9" t="s">
        <v>9</v>
      </c>
      <c r="C3003" s="9">
        <v>1927</v>
      </c>
      <c r="D3003" s="10">
        <v>45729</v>
      </c>
      <c r="E3003" s="11" t="str">
        <f>+HYPERLINK("http://trademark.i-assist.jp/data/china/image_1927th/82723950.pdf","82723950")</f>
        <v>82723950</v>
      </c>
      <c r="F3003" s="12" t="s">
        <v>16</v>
      </c>
      <c r="G3003" s="9" t="s">
        <v>8199</v>
      </c>
      <c r="H3003" s="12" t="s">
        <v>8200</v>
      </c>
      <c r="I3003" s="10">
        <v>45650</v>
      </c>
    </row>
    <row r="3004" spans="1:9" x14ac:dyDescent="0.15">
      <c r="A3004" s="9">
        <v>3003</v>
      </c>
      <c r="B3004" s="9" t="s">
        <v>9</v>
      </c>
      <c r="C3004" s="9">
        <v>1927</v>
      </c>
      <c r="D3004" s="10">
        <v>45729</v>
      </c>
      <c r="E3004" s="11" t="str">
        <f>+HYPERLINK("http://trademark.i-assist.jp/data/china/image_1927th/82723978.pdf","82723978")</f>
        <v>82723978</v>
      </c>
      <c r="F3004" s="9" t="s">
        <v>8201</v>
      </c>
      <c r="G3004" s="9" t="s">
        <v>8202</v>
      </c>
      <c r="H3004" s="9" t="s">
        <v>8203</v>
      </c>
      <c r="I3004" s="10">
        <v>45650</v>
      </c>
    </row>
    <row r="3005" spans="1:9" x14ac:dyDescent="0.15">
      <c r="A3005" s="9">
        <v>3004</v>
      </c>
      <c r="B3005" s="9" t="s">
        <v>9</v>
      </c>
      <c r="C3005" s="9">
        <v>1927</v>
      </c>
      <c r="D3005" s="10">
        <v>45729</v>
      </c>
      <c r="E3005" s="11" t="str">
        <f>+HYPERLINK("http://trademark.i-assist.jp/data/china/image_1927th/82724488.pdf","82724488")</f>
        <v>82724488</v>
      </c>
      <c r="F3005" s="12" t="s">
        <v>8204</v>
      </c>
      <c r="G3005" s="9" t="s">
        <v>8205</v>
      </c>
      <c r="H3005" s="9" t="s">
        <v>8206</v>
      </c>
      <c r="I3005" s="10">
        <v>45650</v>
      </c>
    </row>
    <row r="3006" spans="1:9" x14ac:dyDescent="0.15">
      <c r="A3006" s="9">
        <v>3005</v>
      </c>
      <c r="B3006" s="9" t="s">
        <v>9</v>
      </c>
      <c r="C3006" s="9">
        <v>1927</v>
      </c>
      <c r="D3006" s="10">
        <v>45729</v>
      </c>
      <c r="E3006" s="11" t="str">
        <f>+HYPERLINK("http://trademark.i-assist.jp/data/china/image_1927th/82725239.pdf","82725239")</f>
        <v>82725239</v>
      </c>
      <c r="F3006" s="12" t="s">
        <v>8207</v>
      </c>
      <c r="G3006" s="9" t="s">
        <v>8208</v>
      </c>
      <c r="H3006" s="9" t="s">
        <v>8209</v>
      </c>
      <c r="I3006" s="10">
        <v>45650</v>
      </c>
    </row>
    <row r="3007" spans="1:9" x14ac:dyDescent="0.15">
      <c r="A3007" s="9">
        <v>3006</v>
      </c>
      <c r="B3007" s="9" t="s">
        <v>9</v>
      </c>
      <c r="C3007" s="9">
        <v>1927</v>
      </c>
      <c r="D3007" s="10">
        <v>45729</v>
      </c>
      <c r="E3007" s="11" t="str">
        <f>+HYPERLINK("http://trademark.i-assist.jp/data/china/image_1927th/82725245.pdf","82725245")</f>
        <v>82725245</v>
      </c>
      <c r="F3007" s="9" t="s">
        <v>8210</v>
      </c>
      <c r="G3007" s="9" t="s">
        <v>8211</v>
      </c>
      <c r="H3007" s="9" t="s">
        <v>8212</v>
      </c>
      <c r="I3007" s="10">
        <v>45650</v>
      </c>
    </row>
    <row r="3008" spans="1:9" x14ac:dyDescent="0.15">
      <c r="A3008" s="9">
        <v>3007</v>
      </c>
      <c r="B3008" s="9" t="s">
        <v>9</v>
      </c>
      <c r="C3008" s="9">
        <v>1927</v>
      </c>
      <c r="D3008" s="10">
        <v>45729</v>
      </c>
      <c r="E3008" s="11" t="str">
        <f>+HYPERLINK("http://trademark.i-assist.jp/data/china/image_1927th/82726196.pdf","82726196")</f>
        <v>82726196</v>
      </c>
      <c r="F3008" s="9" t="s">
        <v>8213</v>
      </c>
      <c r="G3008" s="9" t="s">
        <v>118</v>
      </c>
      <c r="H3008" s="9" t="s">
        <v>8214</v>
      </c>
      <c r="I3008" s="10">
        <v>45650</v>
      </c>
    </row>
    <row r="3009" spans="1:9" x14ac:dyDescent="0.15">
      <c r="A3009" s="9">
        <v>3008</v>
      </c>
      <c r="B3009" s="9" t="s">
        <v>9</v>
      </c>
      <c r="C3009" s="9">
        <v>1927</v>
      </c>
      <c r="D3009" s="10">
        <v>45729</v>
      </c>
      <c r="E3009" s="11" t="str">
        <f>+HYPERLINK("http://trademark.i-assist.jp/data/china/image_1927th/82727158.pdf","82727158")</f>
        <v>82727158</v>
      </c>
      <c r="F3009" s="12" t="s">
        <v>8215</v>
      </c>
      <c r="G3009" s="9" t="s">
        <v>8216</v>
      </c>
      <c r="H3009" s="12" t="s">
        <v>8217</v>
      </c>
      <c r="I3009" s="10">
        <v>45650</v>
      </c>
    </row>
    <row r="3010" spans="1:9" x14ac:dyDescent="0.15">
      <c r="A3010" s="9">
        <v>3009</v>
      </c>
      <c r="B3010" s="9" t="s">
        <v>9</v>
      </c>
      <c r="C3010" s="9">
        <v>1927</v>
      </c>
      <c r="D3010" s="10">
        <v>45729</v>
      </c>
      <c r="E3010" s="11" t="str">
        <f>+HYPERLINK("http://trademark.i-assist.jp/data/china/image_1927th/82727293.pdf","82727293")</f>
        <v>82727293</v>
      </c>
      <c r="F3010" s="9" t="s">
        <v>8218</v>
      </c>
      <c r="G3010" s="9" t="s">
        <v>8199</v>
      </c>
      <c r="H3010" s="9" t="s">
        <v>8219</v>
      </c>
      <c r="I3010" s="10">
        <v>45650</v>
      </c>
    </row>
    <row r="3011" spans="1:9" x14ac:dyDescent="0.15">
      <c r="A3011" s="9">
        <v>3010</v>
      </c>
      <c r="B3011" s="9" t="s">
        <v>9</v>
      </c>
      <c r="C3011" s="9">
        <v>1927</v>
      </c>
      <c r="D3011" s="10">
        <v>45729</v>
      </c>
      <c r="E3011" s="11" t="str">
        <f>+HYPERLINK("http://trademark.i-assist.jp/data/china/image_1927th/82727508.pdf","82727508")</f>
        <v>82727508</v>
      </c>
      <c r="F3011" s="9" t="s">
        <v>8220</v>
      </c>
      <c r="G3011" s="9" t="s">
        <v>8221</v>
      </c>
      <c r="H3011" s="9" t="s">
        <v>8222</v>
      </c>
      <c r="I3011" s="10">
        <v>45650</v>
      </c>
    </row>
    <row r="3012" spans="1:9" x14ac:dyDescent="0.15">
      <c r="A3012" s="9">
        <v>3011</v>
      </c>
      <c r="B3012" s="9" t="s">
        <v>9</v>
      </c>
      <c r="C3012" s="9">
        <v>1927</v>
      </c>
      <c r="D3012" s="10">
        <v>45729</v>
      </c>
      <c r="E3012" s="11" t="str">
        <f>+HYPERLINK("http://trademark.i-assist.jp/data/china/image_1927th/82727800.pdf","82727800")</f>
        <v>82727800</v>
      </c>
      <c r="F3012" s="12" t="s">
        <v>8223</v>
      </c>
      <c r="G3012" s="9" t="s">
        <v>1875</v>
      </c>
      <c r="H3012" s="9" t="s">
        <v>8224</v>
      </c>
      <c r="I3012" s="10">
        <v>45650</v>
      </c>
    </row>
    <row r="3013" spans="1:9" x14ac:dyDescent="0.15">
      <c r="A3013" s="9">
        <v>3012</v>
      </c>
      <c r="B3013" s="9" t="s">
        <v>9</v>
      </c>
      <c r="C3013" s="9">
        <v>1927</v>
      </c>
      <c r="D3013" s="10">
        <v>45729</v>
      </c>
      <c r="E3013" s="11" t="str">
        <f>+HYPERLINK("http://trademark.i-assist.jp/data/china/image_1927th/82727810.pdf","82727810")</f>
        <v>82727810</v>
      </c>
      <c r="F3013" s="12" t="s">
        <v>8225</v>
      </c>
      <c r="G3013" s="9" t="s">
        <v>1875</v>
      </c>
      <c r="H3013" s="9" t="s">
        <v>8226</v>
      </c>
      <c r="I3013" s="10">
        <v>45650</v>
      </c>
    </row>
    <row r="3014" spans="1:9" x14ac:dyDescent="0.15">
      <c r="A3014" s="9">
        <v>3013</v>
      </c>
      <c r="B3014" s="9" t="s">
        <v>9</v>
      </c>
      <c r="C3014" s="9">
        <v>1927</v>
      </c>
      <c r="D3014" s="10">
        <v>45729</v>
      </c>
      <c r="E3014" s="11" t="str">
        <f>+HYPERLINK("http://trademark.i-assist.jp/data/china/image_1927th/82727829.pdf","82727829")</f>
        <v>82727829</v>
      </c>
      <c r="F3014" s="12" t="s">
        <v>8227</v>
      </c>
      <c r="G3014" s="9" t="s">
        <v>8228</v>
      </c>
      <c r="H3014" s="9" t="s">
        <v>8229</v>
      </c>
      <c r="I3014" s="10">
        <v>45650</v>
      </c>
    </row>
    <row r="3015" spans="1:9" x14ac:dyDescent="0.15">
      <c r="A3015" s="9">
        <v>3014</v>
      </c>
      <c r="B3015" s="9" t="s">
        <v>9</v>
      </c>
      <c r="C3015" s="9">
        <v>1927</v>
      </c>
      <c r="D3015" s="10">
        <v>45729</v>
      </c>
      <c r="E3015" s="11" t="str">
        <f>+HYPERLINK("http://trademark.i-assist.jp/data/china/image_1927th/82728221.pdf","82728221")</f>
        <v>82728221</v>
      </c>
      <c r="F3015" s="9" t="s">
        <v>8230</v>
      </c>
      <c r="G3015" s="9" t="s">
        <v>8231</v>
      </c>
      <c r="H3015" s="9" t="s">
        <v>8232</v>
      </c>
      <c r="I3015" s="10">
        <v>45650</v>
      </c>
    </row>
    <row r="3016" spans="1:9" x14ac:dyDescent="0.15">
      <c r="A3016" s="9">
        <v>3015</v>
      </c>
      <c r="B3016" s="9" t="s">
        <v>9</v>
      </c>
      <c r="C3016" s="9">
        <v>1927</v>
      </c>
      <c r="D3016" s="10">
        <v>45729</v>
      </c>
      <c r="E3016" s="11" t="str">
        <f>+HYPERLINK("http://trademark.i-assist.jp/data/china/image_1927th/82728581.pdf","82728581")</f>
        <v>82728581</v>
      </c>
      <c r="F3016" s="9" t="s">
        <v>8233</v>
      </c>
      <c r="G3016" s="9" t="s">
        <v>8234</v>
      </c>
      <c r="H3016" s="9" t="s">
        <v>8235</v>
      </c>
      <c r="I3016" s="10">
        <v>45650</v>
      </c>
    </row>
    <row r="3017" spans="1:9" x14ac:dyDescent="0.15">
      <c r="A3017" s="9">
        <v>3016</v>
      </c>
      <c r="B3017" s="9" t="s">
        <v>9</v>
      </c>
      <c r="C3017" s="9">
        <v>1927</v>
      </c>
      <c r="D3017" s="10">
        <v>45729</v>
      </c>
      <c r="E3017" s="11" t="str">
        <f>+HYPERLINK("http://trademark.i-assist.jp/data/china/image_1927th/82728684.pdf","82728684")</f>
        <v>82728684</v>
      </c>
      <c r="F3017" s="12" t="s">
        <v>8236</v>
      </c>
      <c r="G3017" s="9" t="s">
        <v>5410</v>
      </c>
      <c r="H3017" s="9" t="s">
        <v>8237</v>
      </c>
      <c r="I3017" s="10">
        <v>45650</v>
      </c>
    </row>
    <row r="3018" spans="1:9" x14ac:dyDescent="0.15">
      <c r="A3018" s="9">
        <v>3017</v>
      </c>
      <c r="B3018" s="9" t="s">
        <v>9</v>
      </c>
      <c r="C3018" s="9">
        <v>1927</v>
      </c>
      <c r="D3018" s="10">
        <v>45729</v>
      </c>
      <c r="E3018" s="11" t="str">
        <f>+HYPERLINK("http://trademark.i-assist.jp/data/china/image_1927th/82729091.pdf","82729091")</f>
        <v>82729091</v>
      </c>
      <c r="F3018" s="9" t="s">
        <v>8238</v>
      </c>
      <c r="G3018" s="9" t="s">
        <v>8239</v>
      </c>
      <c r="H3018" s="9" t="s">
        <v>8240</v>
      </c>
      <c r="I3018" s="10">
        <v>45650</v>
      </c>
    </row>
    <row r="3019" spans="1:9" x14ac:dyDescent="0.15">
      <c r="A3019" s="9">
        <v>3018</v>
      </c>
      <c r="B3019" s="9" t="s">
        <v>9</v>
      </c>
      <c r="C3019" s="9">
        <v>1927</v>
      </c>
      <c r="D3019" s="10">
        <v>45729</v>
      </c>
      <c r="E3019" s="11" t="str">
        <f>+HYPERLINK("http://trademark.i-assist.jp/data/china/image_1927th/82729509.pdf","82729509")</f>
        <v>82729509</v>
      </c>
      <c r="F3019" s="9" t="s">
        <v>8241</v>
      </c>
      <c r="G3019" s="9" t="s">
        <v>118</v>
      </c>
      <c r="H3019" s="9" t="s">
        <v>8242</v>
      </c>
      <c r="I3019" s="10">
        <v>45650</v>
      </c>
    </row>
    <row r="3020" spans="1:9" x14ac:dyDescent="0.15">
      <c r="A3020" s="9">
        <v>3019</v>
      </c>
      <c r="B3020" s="9" t="s">
        <v>9</v>
      </c>
      <c r="C3020" s="9">
        <v>1927</v>
      </c>
      <c r="D3020" s="10">
        <v>45729</v>
      </c>
      <c r="E3020" s="11" t="str">
        <f>+HYPERLINK("http://trademark.i-assist.jp/data/china/image_1927th/82730767.pdf","82730767")</f>
        <v>82730767</v>
      </c>
      <c r="F3020" s="9" t="s">
        <v>8243</v>
      </c>
      <c r="G3020" s="9" t="s">
        <v>8244</v>
      </c>
      <c r="H3020" s="9" t="s">
        <v>8245</v>
      </c>
      <c r="I3020" s="10">
        <v>45650</v>
      </c>
    </row>
    <row r="3021" spans="1:9" x14ac:dyDescent="0.15">
      <c r="A3021" s="9">
        <v>3020</v>
      </c>
      <c r="B3021" s="9" t="s">
        <v>9</v>
      </c>
      <c r="C3021" s="9">
        <v>1927</v>
      </c>
      <c r="D3021" s="10">
        <v>45729</v>
      </c>
      <c r="E3021" s="11" t="str">
        <f>+HYPERLINK("http://trademark.i-assist.jp/data/china/image_1927th/82730856.pdf","82730856")</f>
        <v>82730856</v>
      </c>
      <c r="F3021" s="12" t="s">
        <v>8246</v>
      </c>
      <c r="G3021" s="9" t="s">
        <v>8247</v>
      </c>
      <c r="H3021" s="9" t="s">
        <v>8248</v>
      </c>
      <c r="I3021" s="10">
        <v>45650</v>
      </c>
    </row>
    <row r="3022" spans="1:9" x14ac:dyDescent="0.15">
      <c r="A3022" s="9">
        <v>3021</v>
      </c>
      <c r="B3022" s="9" t="s">
        <v>9</v>
      </c>
      <c r="C3022" s="9">
        <v>1927</v>
      </c>
      <c r="D3022" s="10">
        <v>45729</v>
      </c>
      <c r="E3022" s="11" t="str">
        <f>+HYPERLINK("http://trademark.i-assist.jp/data/china/image_1927th/82731674.pdf","82731674")</f>
        <v>82731674</v>
      </c>
      <c r="F3022" s="9" t="s">
        <v>8249</v>
      </c>
      <c r="G3022" s="9" t="s">
        <v>1875</v>
      </c>
      <c r="H3022" s="9" t="s">
        <v>8250</v>
      </c>
      <c r="I3022" s="10">
        <v>45650</v>
      </c>
    </row>
    <row r="3023" spans="1:9" x14ac:dyDescent="0.15">
      <c r="A3023" s="9">
        <v>3022</v>
      </c>
      <c r="B3023" s="9" t="s">
        <v>9</v>
      </c>
      <c r="C3023" s="9">
        <v>1927</v>
      </c>
      <c r="D3023" s="10">
        <v>45729</v>
      </c>
      <c r="E3023" s="11" t="str">
        <f>+HYPERLINK("http://trademark.i-assist.jp/data/china/image_1927th/82731941.pdf","82731941")</f>
        <v>82731941</v>
      </c>
      <c r="F3023" s="12" t="s">
        <v>8251</v>
      </c>
      <c r="G3023" s="9" t="s">
        <v>8252</v>
      </c>
      <c r="H3023" s="9" t="s">
        <v>8253</v>
      </c>
      <c r="I3023" s="10">
        <v>45650</v>
      </c>
    </row>
    <row r="3024" spans="1:9" x14ac:dyDescent="0.15">
      <c r="A3024" s="9">
        <v>3023</v>
      </c>
      <c r="B3024" s="9" t="s">
        <v>9</v>
      </c>
      <c r="C3024" s="9">
        <v>1927</v>
      </c>
      <c r="D3024" s="10">
        <v>45729</v>
      </c>
      <c r="E3024" s="11" t="str">
        <f>+HYPERLINK("http://trademark.i-assist.jp/data/china/image_1927th/82732155.pdf","82732155")</f>
        <v>82732155</v>
      </c>
      <c r="F3024" s="9" t="s">
        <v>8254</v>
      </c>
      <c r="G3024" s="9" t="s">
        <v>8255</v>
      </c>
      <c r="H3024" s="12" t="s">
        <v>8256</v>
      </c>
      <c r="I3024" s="10">
        <v>45650</v>
      </c>
    </row>
    <row r="3025" spans="1:9" x14ac:dyDescent="0.15">
      <c r="A3025" s="9">
        <v>3024</v>
      </c>
      <c r="B3025" s="9" t="s">
        <v>9</v>
      </c>
      <c r="C3025" s="9">
        <v>1927</v>
      </c>
      <c r="D3025" s="10">
        <v>45729</v>
      </c>
      <c r="E3025" s="11" t="str">
        <f>+HYPERLINK("http://trademark.i-assist.jp/data/china/image_1927th/82732891.pdf","82732891")</f>
        <v>82732891</v>
      </c>
      <c r="F3025" s="9" t="s">
        <v>8257</v>
      </c>
      <c r="G3025" s="9" t="s">
        <v>8258</v>
      </c>
      <c r="H3025" s="9" t="s">
        <v>8259</v>
      </c>
      <c r="I3025" s="10">
        <v>45650</v>
      </c>
    </row>
    <row r="3026" spans="1:9" x14ac:dyDescent="0.15">
      <c r="A3026" s="9">
        <v>3025</v>
      </c>
      <c r="B3026" s="9" t="s">
        <v>9</v>
      </c>
      <c r="C3026" s="9">
        <v>1927</v>
      </c>
      <c r="D3026" s="10">
        <v>45729</v>
      </c>
      <c r="E3026" s="11" t="str">
        <f>+HYPERLINK("http://trademark.i-assist.jp/data/china/image_1927th/82733076.pdf","82733076")</f>
        <v>82733076</v>
      </c>
      <c r="F3026" s="9" t="s">
        <v>8260</v>
      </c>
      <c r="G3026" s="9" t="s">
        <v>8261</v>
      </c>
      <c r="H3026" s="9" t="s">
        <v>8262</v>
      </c>
      <c r="I3026" s="10">
        <v>45650</v>
      </c>
    </row>
    <row r="3027" spans="1:9" x14ac:dyDescent="0.15">
      <c r="A3027" s="9">
        <v>3026</v>
      </c>
      <c r="B3027" s="9" t="s">
        <v>9</v>
      </c>
      <c r="C3027" s="9">
        <v>1927</v>
      </c>
      <c r="D3027" s="10">
        <v>45729</v>
      </c>
      <c r="E3027" s="11" t="str">
        <f>+HYPERLINK("http://trademark.i-assist.jp/data/china/image_1927th/82733718.pdf","82733718")</f>
        <v>82733718</v>
      </c>
      <c r="F3027" s="9" t="s">
        <v>8263</v>
      </c>
      <c r="G3027" s="9" t="s">
        <v>8264</v>
      </c>
      <c r="H3027" s="9" t="s">
        <v>8265</v>
      </c>
      <c r="I3027" s="10">
        <v>45650</v>
      </c>
    </row>
    <row r="3028" spans="1:9" x14ac:dyDescent="0.15">
      <c r="A3028" s="9">
        <v>3027</v>
      </c>
      <c r="B3028" s="9" t="s">
        <v>9</v>
      </c>
      <c r="C3028" s="9">
        <v>1927</v>
      </c>
      <c r="D3028" s="10">
        <v>45729</v>
      </c>
      <c r="E3028" s="11" t="str">
        <f>+HYPERLINK("http://trademark.i-assist.jp/data/china/image_1927th/82734032.pdf","82734032")</f>
        <v>82734032</v>
      </c>
      <c r="F3028" s="9" t="s">
        <v>8266</v>
      </c>
      <c r="G3028" s="9" t="s">
        <v>129</v>
      </c>
      <c r="H3028" s="9" t="s">
        <v>8267</v>
      </c>
      <c r="I3028" s="10">
        <v>45650</v>
      </c>
    </row>
    <row r="3029" spans="1:9" x14ac:dyDescent="0.15">
      <c r="A3029" s="9">
        <v>3028</v>
      </c>
      <c r="B3029" s="9" t="s">
        <v>9</v>
      </c>
      <c r="C3029" s="9">
        <v>1927</v>
      </c>
      <c r="D3029" s="10">
        <v>45729</v>
      </c>
      <c r="E3029" s="11" t="str">
        <f>+HYPERLINK("http://trademark.i-assist.jp/data/china/image_1927th/82734312.pdf","82734312")</f>
        <v>82734312</v>
      </c>
      <c r="F3029" s="12" t="s">
        <v>8268</v>
      </c>
      <c r="G3029" s="9" t="s">
        <v>8269</v>
      </c>
      <c r="H3029" s="9" t="s">
        <v>8270</v>
      </c>
      <c r="I3029" s="10">
        <v>45650</v>
      </c>
    </row>
    <row r="3030" spans="1:9" x14ac:dyDescent="0.15">
      <c r="A3030" s="9">
        <v>3029</v>
      </c>
      <c r="B3030" s="9" t="s">
        <v>9</v>
      </c>
      <c r="C3030" s="9">
        <v>1927</v>
      </c>
      <c r="D3030" s="10">
        <v>45729</v>
      </c>
      <c r="E3030" s="11" t="str">
        <f>+HYPERLINK("http://trademark.i-assist.jp/data/china/image_1927th/82734612.pdf","82734612")</f>
        <v>82734612</v>
      </c>
      <c r="F3030" s="9" t="s">
        <v>8271</v>
      </c>
      <c r="G3030" s="9" t="s">
        <v>8272</v>
      </c>
      <c r="H3030" s="9" t="s">
        <v>8273</v>
      </c>
      <c r="I3030" s="10">
        <v>45650</v>
      </c>
    </row>
    <row r="3031" spans="1:9" x14ac:dyDescent="0.15">
      <c r="A3031" s="9">
        <v>3030</v>
      </c>
      <c r="B3031" s="9" t="s">
        <v>9</v>
      </c>
      <c r="C3031" s="9">
        <v>1927</v>
      </c>
      <c r="D3031" s="10">
        <v>45729</v>
      </c>
      <c r="E3031" s="11" t="str">
        <f>+HYPERLINK("http://trademark.i-assist.jp/data/china/image_1927th/82734660.pdf","82734660")</f>
        <v>82734660</v>
      </c>
      <c r="F3031" s="12" t="s">
        <v>8274</v>
      </c>
      <c r="G3031" s="9" t="s">
        <v>129</v>
      </c>
      <c r="H3031" s="9" t="s">
        <v>8275</v>
      </c>
      <c r="I3031" s="10">
        <v>45650</v>
      </c>
    </row>
    <row r="3032" spans="1:9" x14ac:dyDescent="0.15">
      <c r="A3032" s="9">
        <v>3031</v>
      </c>
      <c r="B3032" s="9" t="s">
        <v>9</v>
      </c>
      <c r="C3032" s="9">
        <v>1927</v>
      </c>
      <c r="D3032" s="10">
        <v>45729</v>
      </c>
      <c r="E3032" s="11" t="str">
        <f>+HYPERLINK("http://trademark.i-assist.jp/data/china/image_1927th/82734944.pdf","82734944")</f>
        <v>82734944</v>
      </c>
      <c r="F3032" s="9" t="s">
        <v>8276</v>
      </c>
      <c r="G3032" s="9" t="s">
        <v>7486</v>
      </c>
      <c r="H3032" s="9" t="s">
        <v>8277</v>
      </c>
      <c r="I3032" s="10">
        <v>45650</v>
      </c>
    </row>
    <row r="3033" spans="1:9" x14ac:dyDescent="0.15">
      <c r="A3033" s="9">
        <v>3032</v>
      </c>
      <c r="B3033" s="9" t="s">
        <v>9</v>
      </c>
      <c r="C3033" s="9">
        <v>1927</v>
      </c>
      <c r="D3033" s="10">
        <v>45729</v>
      </c>
      <c r="E3033" s="11" t="str">
        <f>+HYPERLINK("http://trademark.i-assist.jp/data/china/image_1927th/82735505.pdf","82735505")</f>
        <v>82735505</v>
      </c>
      <c r="F3033" s="9" t="s">
        <v>8278</v>
      </c>
      <c r="G3033" s="9" t="s">
        <v>8279</v>
      </c>
      <c r="H3033" s="9" t="s">
        <v>8280</v>
      </c>
      <c r="I3033" s="10">
        <v>45650</v>
      </c>
    </row>
    <row r="3034" spans="1:9" x14ac:dyDescent="0.15">
      <c r="A3034" s="9">
        <v>3033</v>
      </c>
      <c r="B3034" s="9" t="s">
        <v>9</v>
      </c>
      <c r="C3034" s="9">
        <v>1927</v>
      </c>
      <c r="D3034" s="10">
        <v>45729</v>
      </c>
      <c r="E3034" s="11" t="str">
        <f>+HYPERLINK("http://trademark.i-assist.jp/data/china/image_1927th/82735657.pdf","82735657")</f>
        <v>82735657</v>
      </c>
      <c r="F3034" s="12" t="s">
        <v>16</v>
      </c>
      <c r="G3034" s="9" t="s">
        <v>8281</v>
      </c>
      <c r="H3034" s="9" t="s">
        <v>8282</v>
      </c>
      <c r="I3034" s="10">
        <v>45650</v>
      </c>
    </row>
    <row r="3035" spans="1:9" x14ac:dyDescent="0.15">
      <c r="A3035" s="9">
        <v>3034</v>
      </c>
      <c r="B3035" s="9" t="s">
        <v>9</v>
      </c>
      <c r="C3035" s="9">
        <v>1927</v>
      </c>
      <c r="D3035" s="10">
        <v>45729</v>
      </c>
      <c r="E3035" s="11" t="str">
        <f>+HYPERLINK("http://trademark.i-assist.jp/data/china/image_1927th/82735876.pdf","82735876")</f>
        <v>82735876</v>
      </c>
      <c r="F3035" s="9" t="s">
        <v>8283</v>
      </c>
      <c r="G3035" s="12" t="s">
        <v>8284</v>
      </c>
      <c r="H3035" s="9" t="s">
        <v>8285</v>
      </c>
      <c r="I3035" s="10">
        <v>45650</v>
      </c>
    </row>
    <row r="3036" spans="1:9" x14ac:dyDescent="0.15">
      <c r="A3036" s="9">
        <v>3035</v>
      </c>
      <c r="B3036" s="9" t="s">
        <v>9</v>
      </c>
      <c r="C3036" s="9">
        <v>1927</v>
      </c>
      <c r="D3036" s="10">
        <v>45729</v>
      </c>
      <c r="E3036" s="11" t="str">
        <f>+HYPERLINK("http://trademark.i-assist.jp/data/china/image_1927th/82736698.pdf","82736698")</f>
        <v>82736698</v>
      </c>
      <c r="F3036" s="9" t="s">
        <v>8286</v>
      </c>
      <c r="G3036" s="9" t="s">
        <v>8287</v>
      </c>
      <c r="H3036" s="9" t="s">
        <v>8288</v>
      </c>
      <c r="I3036" s="10">
        <v>45650</v>
      </c>
    </row>
    <row r="3037" spans="1:9" x14ac:dyDescent="0.15">
      <c r="A3037" s="9">
        <v>3036</v>
      </c>
      <c r="B3037" s="9" t="s">
        <v>9</v>
      </c>
      <c r="C3037" s="9">
        <v>1927</v>
      </c>
      <c r="D3037" s="10">
        <v>45729</v>
      </c>
      <c r="E3037" s="11" t="str">
        <f>+HYPERLINK("http://trademark.i-assist.jp/data/china/image_1927th/82737406.pdf","82737406")</f>
        <v>82737406</v>
      </c>
      <c r="F3037" s="9" t="s">
        <v>8289</v>
      </c>
      <c r="G3037" s="9" t="s">
        <v>1875</v>
      </c>
      <c r="H3037" s="9" t="s">
        <v>8290</v>
      </c>
      <c r="I3037" s="10">
        <v>45650</v>
      </c>
    </row>
    <row r="3038" spans="1:9" x14ac:dyDescent="0.15">
      <c r="A3038" s="9">
        <v>3037</v>
      </c>
      <c r="B3038" s="9" t="s">
        <v>9</v>
      </c>
      <c r="C3038" s="9">
        <v>1927</v>
      </c>
      <c r="D3038" s="10">
        <v>45729</v>
      </c>
      <c r="E3038" s="11" t="str">
        <f>+HYPERLINK("http://trademark.i-assist.jp/data/china/image_1927th/82737598.pdf","82737598")</f>
        <v>82737598</v>
      </c>
      <c r="F3038" s="12" t="s">
        <v>8291</v>
      </c>
      <c r="G3038" s="9" t="s">
        <v>129</v>
      </c>
      <c r="H3038" s="9" t="s">
        <v>8292</v>
      </c>
      <c r="I3038" s="10">
        <v>45650</v>
      </c>
    </row>
    <row r="3039" spans="1:9" x14ac:dyDescent="0.15">
      <c r="A3039" s="9">
        <v>3038</v>
      </c>
      <c r="B3039" s="9" t="s">
        <v>9</v>
      </c>
      <c r="C3039" s="9">
        <v>1927</v>
      </c>
      <c r="D3039" s="10">
        <v>45729</v>
      </c>
      <c r="E3039" s="11" t="str">
        <f>+HYPERLINK("http://trademark.i-assist.jp/data/china/image_1927th/82738161.pdf","82738161")</f>
        <v>82738161</v>
      </c>
      <c r="F3039" s="9" t="s">
        <v>8293</v>
      </c>
      <c r="G3039" s="9" t="s">
        <v>8294</v>
      </c>
      <c r="H3039" s="9" t="s">
        <v>8295</v>
      </c>
      <c r="I3039" s="10">
        <v>45650</v>
      </c>
    </row>
    <row r="3040" spans="1:9" x14ac:dyDescent="0.15">
      <c r="A3040" s="9">
        <v>3039</v>
      </c>
      <c r="B3040" s="9" t="s">
        <v>9</v>
      </c>
      <c r="C3040" s="9">
        <v>1927</v>
      </c>
      <c r="D3040" s="10">
        <v>45729</v>
      </c>
      <c r="E3040" s="11" t="str">
        <f>+HYPERLINK("http://trademark.i-assist.jp/data/china/image_1927th/82738511.pdf","82738511")</f>
        <v>82738511</v>
      </c>
      <c r="F3040" s="9" t="s">
        <v>8296</v>
      </c>
      <c r="G3040" s="9" t="s">
        <v>8287</v>
      </c>
      <c r="H3040" s="9" t="s">
        <v>8297</v>
      </c>
      <c r="I3040" s="10">
        <v>45650</v>
      </c>
    </row>
    <row r="3041" spans="1:9" x14ac:dyDescent="0.15">
      <c r="A3041" s="9">
        <v>3040</v>
      </c>
      <c r="B3041" s="9" t="s">
        <v>9</v>
      </c>
      <c r="C3041" s="9">
        <v>1927</v>
      </c>
      <c r="D3041" s="10">
        <v>45729</v>
      </c>
      <c r="E3041" s="11" t="str">
        <f>+HYPERLINK("http://trademark.i-assist.jp/data/china/image_1927th/82738657.pdf","82738657")</f>
        <v>82738657</v>
      </c>
      <c r="F3041" s="12" t="s">
        <v>8298</v>
      </c>
      <c r="G3041" s="9" t="s">
        <v>8255</v>
      </c>
      <c r="H3041" s="9" t="s">
        <v>8299</v>
      </c>
      <c r="I3041" s="10">
        <v>45650</v>
      </c>
    </row>
    <row r="3042" spans="1:9" x14ac:dyDescent="0.15">
      <c r="A3042" s="9">
        <v>3041</v>
      </c>
      <c r="B3042" s="9" t="s">
        <v>9</v>
      </c>
      <c r="C3042" s="9">
        <v>1927</v>
      </c>
      <c r="D3042" s="10">
        <v>45729</v>
      </c>
      <c r="E3042" s="11" t="str">
        <f>+HYPERLINK("http://trademark.i-assist.jp/data/china/image_1927th/82739823.pdf","82739823")</f>
        <v>82739823</v>
      </c>
      <c r="F3042" s="12" t="s">
        <v>8300</v>
      </c>
      <c r="G3042" s="9" t="s">
        <v>8247</v>
      </c>
      <c r="H3042" s="9" t="s">
        <v>8301</v>
      </c>
      <c r="I3042" s="10">
        <v>45650</v>
      </c>
    </row>
    <row r="3043" spans="1:9" x14ac:dyDescent="0.15">
      <c r="A3043" s="9">
        <v>3042</v>
      </c>
      <c r="B3043" s="9" t="s">
        <v>9</v>
      </c>
      <c r="C3043" s="9">
        <v>1927</v>
      </c>
      <c r="D3043" s="10">
        <v>45729</v>
      </c>
      <c r="E3043" s="11" t="str">
        <f>+HYPERLINK("http://trademark.i-assist.jp/data/china/image_1927th/82740084.pdf","82740084")</f>
        <v>82740084</v>
      </c>
      <c r="F3043" s="12" t="s">
        <v>16</v>
      </c>
      <c r="G3043" s="9" t="s">
        <v>8302</v>
      </c>
      <c r="H3043" s="9" t="s">
        <v>8303</v>
      </c>
      <c r="I3043" s="10">
        <v>45650</v>
      </c>
    </row>
    <row r="3044" spans="1:9" x14ac:dyDescent="0.15">
      <c r="A3044" s="9">
        <v>3043</v>
      </c>
      <c r="B3044" s="9" t="s">
        <v>9</v>
      </c>
      <c r="C3044" s="9">
        <v>1927</v>
      </c>
      <c r="D3044" s="10">
        <v>45729</v>
      </c>
      <c r="E3044" s="11" t="str">
        <f>+HYPERLINK("http://trademark.i-assist.jp/data/china/image_1927th/82740343.pdf","82740343")</f>
        <v>82740343</v>
      </c>
      <c r="F3044" s="12" t="s">
        <v>8304</v>
      </c>
      <c r="G3044" s="9" t="s">
        <v>1875</v>
      </c>
      <c r="H3044" s="12" t="s">
        <v>8305</v>
      </c>
      <c r="I3044" s="10">
        <v>45650</v>
      </c>
    </row>
    <row r="3045" spans="1:9" x14ac:dyDescent="0.15">
      <c r="A3045" s="9">
        <v>3044</v>
      </c>
      <c r="B3045" s="9" t="s">
        <v>9</v>
      </c>
      <c r="C3045" s="9">
        <v>1927</v>
      </c>
      <c r="D3045" s="10">
        <v>45729</v>
      </c>
      <c r="E3045" s="11" t="str">
        <f>+HYPERLINK("http://trademark.i-assist.jp/data/china/image_1927th/82741157.pdf","82741157")</f>
        <v>82741157</v>
      </c>
      <c r="F3045" s="9" t="s">
        <v>8306</v>
      </c>
      <c r="G3045" s="9" t="s">
        <v>8307</v>
      </c>
      <c r="H3045" s="9" t="s">
        <v>8308</v>
      </c>
      <c r="I3045" s="10">
        <v>45650</v>
      </c>
    </row>
    <row r="3046" spans="1:9" x14ac:dyDescent="0.15">
      <c r="A3046" s="9">
        <v>3045</v>
      </c>
      <c r="B3046" s="9" t="s">
        <v>9</v>
      </c>
      <c r="C3046" s="9">
        <v>1927</v>
      </c>
      <c r="D3046" s="10">
        <v>45729</v>
      </c>
      <c r="E3046" s="11" t="str">
        <f>+HYPERLINK("http://trademark.i-assist.jp/data/china/image_1927th/82741188.pdf","82741188")</f>
        <v>82741188</v>
      </c>
      <c r="F3046" s="9" t="s">
        <v>8309</v>
      </c>
      <c r="G3046" s="9" t="s">
        <v>8310</v>
      </c>
      <c r="H3046" s="12" t="s">
        <v>8311</v>
      </c>
      <c r="I3046" s="10">
        <v>45650</v>
      </c>
    </row>
    <row r="3047" spans="1:9" x14ac:dyDescent="0.15">
      <c r="A3047" s="9">
        <v>3046</v>
      </c>
      <c r="B3047" s="9" t="s">
        <v>9</v>
      </c>
      <c r="C3047" s="9">
        <v>1927</v>
      </c>
      <c r="D3047" s="10">
        <v>45729</v>
      </c>
      <c r="E3047" s="11" t="str">
        <f>+HYPERLINK("http://trademark.i-assist.jp/data/china/image_1927th/82742172.pdf","82742172")</f>
        <v>82742172</v>
      </c>
      <c r="F3047" s="9" t="s">
        <v>8312</v>
      </c>
      <c r="G3047" s="9" t="s">
        <v>8313</v>
      </c>
      <c r="H3047" s="9" t="s">
        <v>8314</v>
      </c>
      <c r="I3047" s="10">
        <v>45650</v>
      </c>
    </row>
    <row r="3048" spans="1:9" x14ac:dyDescent="0.15">
      <c r="A3048" s="9">
        <v>3047</v>
      </c>
      <c r="B3048" s="9" t="s">
        <v>9</v>
      </c>
      <c r="C3048" s="9">
        <v>1927</v>
      </c>
      <c r="D3048" s="10">
        <v>45729</v>
      </c>
      <c r="E3048" s="11" t="str">
        <f>+HYPERLINK("http://trademark.i-assist.jp/data/china/image_1927th/82742916.pdf","82742916")</f>
        <v>82742916</v>
      </c>
      <c r="F3048" s="9" t="s">
        <v>8315</v>
      </c>
      <c r="G3048" s="9" t="s">
        <v>8316</v>
      </c>
      <c r="H3048" s="9" t="s">
        <v>8317</v>
      </c>
      <c r="I3048" s="10">
        <v>45650</v>
      </c>
    </row>
    <row r="3049" spans="1:9" x14ac:dyDescent="0.15">
      <c r="A3049" s="9">
        <v>3048</v>
      </c>
      <c r="B3049" s="9" t="s">
        <v>9</v>
      </c>
      <c r="C3049" s="9">
        <v>1927</v>
      </c>
      <c r="D3049" s="10">
        <v>45729</v>
      </c>
      <c r="E3049" s="11" t="str">
        <f>+HYPERLINK("http://trademark.i-assist.jp/data/china/image_1927th/82743511.pdf","82743511")</f>
        <v>82743511</v>
      </c>
      <c r="F3049" s="9" t="s">
        <v>8318</v>
      </c>
      <c r="G3049" s="9" t="s">
        <v>8319</v>
      </c>
      <c r="H3049" s="9" t="s">
        <v>8320</v>
      </c>
      <c r="I3049" s="10">
        <v>45650</v>
      </c>
    </row>
    <row r="3050" spans="1:9" x14ac:dyDescent="0.15">
      <c r="A3050" s="9">
        <v>3049</v>
      </c>
      <c r="B3050" s="9" t="s">
        <v>9</v>
      </c>
      <c r="C3050" s="9">
        <v>1927</v>
      </c>
      <c r="D3050" s="10">
        <v>45729</v>
      </c>
      <c r="E3050" s="11" t="str">
        <f>+HYPERLINK("http://trademark.i-assist.jp/data/china/image_1927th/82743753.pdf","82743753")</f>
        <v>82743753</v>
      </c>
      <c r="F3050" s="9" t="s">
        <v>8321</v>
      </c>
      <c r="G3050" s="9" t="s">
        <v>8322</v>
      </c>
      <c r="H3050" s="9" t="s">
        <v>8323</v>
      </c>
      <c r="I3050" s="10">
        <v>45650</v>
      </c>
    </row>
    <row r="3051" spans="1:9" x14ac:dyDescent="0.15">
      <c r="A3051" s="9">
        <v>3050</v>
      </c>
      <c r="B3051" s="9" t="s">
        <v>9</v>
      </c>
      <c r="C3051" s="9">
        <v>1927</v>
      </c>
      <c r="D3051" s="10">
        <v>45729</v>
      </c>
      <c r="E3051" s="11" t="str">
        <f>+HYPERLINK("http://trademark.i-assist.jp/data/china/image_1927th/82743828.pdf","82743828")</f>
        <v>82743828</v>
      </c>
      <c r="F3051" s="12" t="s">
        <v>8324</v>
      </c>
      <c r="G3051" s="9" t="s">
        <v>8325</v>
      </c>
      <c r="H3051" s="9" t="s">
        <v>8326</v>
      </c>
      <c r="I3051" s="10">
        <v>45650</v>
      </c>
    </row>
    <row r="3052" spans="1:9" x14ac:dyDescent="0.15">
      <c r="A3052" s="9">
        <v>3051</v>
      </c>
      <c r="B3052" s="9" t="s">
        <v>9</v>
      </c>
      <c r="C3052" s="9">
        <v>1927</v>
      </c>
      <c r="D3052" s="10">
        <v>45729</v>
      </c>
      <c r="E3052" s="11" t="str">
        <f>+HYPERLINK("http://trademark.i-assist.jp/data/china/image_1927th/82745069.pdf","82745069")</f>
        <v>82745069</v>
      </c>
      <c r="F3052" s="12" t="s">
        <v>8327</v>
      </c>
      <c r="G3052" s="9" t="s">
        <v>8328</v>
      </c>
      <c r="H3052" s="9" t="s">
        <v>8329</v>
      </c>
      <c r="I3052" s="10">
        <v>45650</v>
      </c>
    </row>
    <row r="3053" spans="1:9" x14ac:dyDescent="0.15">
      <c r="A3053" s="9">
        <v>3052</v>
      </c>
      <c r="B3053" s="9" t="s">
        <v>9</v>
      </c>
      <c r="C3053" s="9">
        <v>1927</v>
      </c>
      <c r="D3053" s="10">
        <v>45729</v>
      </c>
      <c r="E3053" s="11" t="str">
        <f>+HYPERLINK("http://trademark.i-assist.jp/data/china/image_1927th/82745121.pdf","82745121")</f>
        <v>82745121</v>
      </c>
      <c r="F3053" s="9" t="s">
        <v>8330</v>
      </c>
      <c r="G3053" s="9" t="s">
        <v>8331</v>
      </c>
      <c r="H3053" s="9" t="s">
        <v>8332</v>
      </c>
      <c r="I3053" s="10">
        <v>45650</v>
      </c>
    </row>
    <row r="3054" spans="1:9" x14ac:dyDescent="0.15">
      <c r="A3054" s="9">
        <v>3053</v>
      </c>
      <c r="B3054" s="9" t="s">
        <v>9</v>
      </c>
      <c r="C3054" s="9">
        <v>1927</v>
      </c>
      <c r="D3054" s="10">
        <v>45729</v>
      </c>
      <c r="E3054" s="11" t="str">
        <f>+HYPERLINK("http://trademark.i-assist.jp/data/china/image_1927th/82745288.pdf","82745288")</f>
        <v>82745288</v>
      </c>
      <c r="F3054" s="9" t="s">
        <v>8333</v>
      </c>
      <c r="G3054" s="9" t="s">
        <v>8334</v>
      </c>
      <c r="H3054" s="9" t="s">
        <v>8335</v>
      </c>
      <c r="I3054" s="10">
        <v>45650</v>
      </c>
    </row>
    <row r="3055" spans="1:9" x14ac:dyDescent="0.15">
      <c r="A3055" s="9">
        <v>3054</v>
      </c>
      <c r="B3055" s="9" t="s">
        <v>9</v>
      </c>
      <c r="C3055" s="9">
        <v>1927</v>
      </c>
      <c r="D3055" s="10">
        <v>45729</v>
      </c>
      <c r="E3055" s="11" t="str">
        <f>+HYPERLINK("http://trademark.i-assist.jp/data/china/image_1927th/82745462.pdf","82745462")</f>
        <v>82745462</v>
      </c>
      <c r="F3055" s="9" t="s">
        <v>8336</v>
      </c>
      <c r="G3055" s="9" t="s">
        <v>129</v>
      </c>
      <c r="H3055" s="9" t="s">
        <v>8337</v>
      </c>
      <c r="I3055" s="10">
        <v>45650</v>
      </c>
    </row>
    <row r="3056" spans="1:9" x14ac:dyDescent="0.15">
      <c r="A3056" s="9">
        <v>3055</v>
      </c>
      <c r="B3056" s="9" t="s">
        <v>9</v>
      </c>
      <c r="C3056" s="9">
        <v>1927</v>
      </c>
      <c r="D3056" s="10">
        <v>45729</v>
      </c>
      <c r="E3056" s="11" t="str">
        <f>+HYPERLINK("http://trademark.i-assist.jp/data/china/image_1927th/82745475.pdf","82745475")</f>
        <v>82745475</v>
      </c>
      <c r="F3056" s="9" t="s">
        <v>8338</v>
      </c>
      <c r="G3056" s="9" t="s">
        <v>129</v>
      </c>
      <c r="H3056" s="9" t="s">
        <v>8339</v>
      </c>
      <c r="I3056" s="10">
        <v>45650</v>
      </c>
    </row>
    <row r="3057" spans="1:9" x14ac:dyDescent="0.15">
      <c r="A3057" s="9">
        <v>3056</v>
      </c>
      <c r="B3057" s="9" t="s">
        <v>9</v>
      </c>
      <c r="C3057" s="9">
        <v>1927</v>
      </c>
      <c r="D3057" s="10">
        <v>45729</v>
      </c>
      <c r="E3057" s="11" t="str">
        <f>+HYPERLINK("http://trademark.i-assist.jp/data/china/image_1927th/82746149.pdf","82746149")</f>
        <v>82746149</v>
      </c>
      <c r="F3057" s="12" t="s">
        <v>8340</v>
      </c>
      <c r="G3057" s="9" t="s">
        <v>8294</v>
      </c>
      <c r="H3057" s="9" t="s">
        <v>8341</v>
      </c>
      <c r="I3057" s="10">
        <v>45650</v>
      </c>
    </row>
    <row r="3058" spans="1:9" x14ac:dyDescent="0.15">
      <c r="A3058" s="9">
        <v>3057</v>
      </c>
      <c r="B3058" s="9" t="s">
        <v>9</v>
      </c>
      <c r="C3058" s="9">
        <v>1927</v>
      </c>
      <c r="D3058" s="10">
        <v>45729</v>
      </c>
      <c r="E3058" s="11" t="str">
        <f>+HYPERLINK("http://trademark.i-assist.jp/data/china/image_1927th/82746221.pdf","82746221")</f>
        <v>82746221</v>
      </c>
      <c r="F3058" s="9" t="s">
        <v>8342</v>
      </c>
      <c r="G3058" s="9" t="s">
        <v>129</v>
      </c>
      <c r="H3058" s="9" t="s">
        <v>8343</v>
      </c>
      <c r="I3058" s="10">
        <v>45650</v>
      </c>
    </row>
    <row r="3059" spans="1:9" x14ac:dyDescent="0.15">
      <c r="A3059" s="9">
        <v>3058</v>
      </c>
      <c r="B3059" s="9" t="s">
        <v>9</v>
      </c>
      <c r="C3059" s="9">
        <v>1927</v>
      </c>
      <c r="D3059" s="10">
        <v>45729</v>
      </c>
      <c r="E3059" s="11" t="str">
        <f>+HYPERLINK("http://trademark.i-assist.jp/data/china/image_1927th/82747774.pdf","82747774")</f>
        <v>82747774</v>
      </c>
      <c r="F3059" s="9" t="s">
        <v>8344</v>
      </c>
      <c r="G3059" s="9" t="s">
        <v>8345</v>
      </c>
      <c r="H3059" s="9" t="s">
        <v>8346</v>
      </c>
      <c r="I3059" s="10">
        <v>45650</v>
      </c>
    </row>
    <row r="3060" spans="1:9" x14ac:dyDescent="0.15">
      <c r="A3060" s="9">
        <v>3059</v>
      </c>
      <c r="B3060" s="9" t="s">
        <v>9</v>
      </c>
      <c r="C3060" s="9">
        <v>1927</v>
      </c>
      <c r="D3060" s="10">
        <v>45729</v>
      </c>
      <c r="E3060" s="11" t="str">
        <f>+HYPERLINK("http://trademark.i-assist.jp/data/china/image_1927th/82747963.pdf","82747963")</f>
        <v>82747963</v>
      </c>
      <c r="F3060" s="9" t="s">
        <v>8347</v>
      </c>
      <c r="G3060" s="9" t="s">
        <v>8348</v>
      </c>
      <c r="H3060" s="9" t="s">
        <v>8349</v>
      </c>
      <c r="I3060" s="10">
        <v>45651</v>
      </c>
    </row>
    <row r="3061" spans="1:9" x14ac:dyDescent="0.15">
      <c r="A3061" s="9">
        <v>3060</v>
      </c>
      <c r="B3061" s="9" t="s">
        <v>9</v>
      </c>
      <c r="C3061" s="9">
        <v>1927</v>
      </c>
      <c r="D3061" s="10">
        <v>45729</v>
      </c>
      <c r="E3061" s="11" t="str">
        <f>+HYPERLINK("http://trademark.i-assist.jp/data/china/image_1927th/82748364.pdf","82748364")</f>
        <v>82748364</v>
      </c>
      <c r="F3061" s="9" t="s">
        <v>8350</v>
      </c>
      <c r="G3061" s="9" t="s">
        <v>8351</v>
      </c>
      <c r="H3061" s="9" t="s">
        <v>8352</v>
      </c>
      <c r="I3061" s="10">
        <v>45651</v>
      </c>
    </row>
    <row r="3062" spans="1:9" x14ac:dyDescent="0.15">
      <c r="A3062" s="9">
        <v>3061</v>
      </c>
      <c r="B3062" s="9" t="s">
        <v>9</v>
      </c>
      <c r="C3062" s="9">
        <v>1927</v>
      </c>
      <c r="D3062" s="10">
        <v>45729</v>
      </c>
      <c r="E3062" s="11" t="str">
        <f>+HYPERLINK("http://trademark.i-assist.jp/data/china/image_1927th/82748618.pdf","82748618")</f>
        <v>82748618</v>
      </c>
      <c r="F3062" s="12" t="s">
        <v>16</v>
      </c>
      <c r="G3062" s="9" t="s">
        <v>8353</v>
      </c>
      <c r="H3062" s="9" t="s">
        <v>8354</v>
      </c>
      <c r="I3062" s="10">
        <v>45651</v>
      </c>
    </row>
    <row r="3063" spans="1:9" x14ac:dyDescent="0.15">
      <c r="A3063" s="9">
        <v>3062</v>
      </c>
      <c r="B3063" s="9" t="s">
        <v>9</v>
      </c>
      <c r="C3063" s="9">
        <v>1927</v>
      </c>
      <c r="D3063" s="10">
        <v>45729</v>
      </c>
      <c r="E3063" s="11" t="str">
        <f>+HYPERLINK("http://trademark.i-assist.jp/data/china/image_1927th/82749560.pdf","82749560")</f>
        <v>82749560</v>
      </c>
      <c r="F3063" s="12" t="s">
        <v>8355</v>
      </c>
      <c r="G3063" s="9" t="s">
        <v>8356</v>
      </c>
      <c r="H3063" s="12" t="s">
        <v>8357</v>
      </c>
      <c r="I3063" s="10">
        <v>45651</v>
      </c>
    </row>
    <row r="3064" spans="1:9" x14ac:dyDescent="0.15">
      <c r="A3064" s="9">
        <v>3063</v>
      </c>
      <c r="B3064" s="9" t="s">
        <v>9</v>
      </c>
      <c r="C3064" s="9">
        <v>1927</v>
      </c>
      <c r="D3064" s="10">
        <v>45729</v>
      </c>
      <c r="E3064" s="11" t="str">
        <f>+HYPERLINK("http://trademark.i-assist.jp/data/china/image_1927th/82749586.pdf","82749586")</f>
        <v>82749586</v>
      </c>
      <c r="F3064" s="12" t="s">
        <v>8358</v>
      </c>
      <c r="G3064" s="9" t="s">
        <v>8359</v>
      </c>
      <c r="H3064" s="12" t="s">
        <v>8360</v>
      </c>
      <c r="I3064" s="10">
        <v>45651</v>
      </c>
    </row>
    <row r="3065" spans="1:9" x14ac:dyDescent="0.15">
      <c r="A3065" s="9">
        <v>3064</v>
      </c>
      <c r="B3065" s="9" t="s">
        <v>9</v>
      </c>
      <c r="C3065" s="9">
        <v>1927</v>
      </c>
      <c r="D3065" s="10">
        <v>45729</v>
      </c>
      <c r="E3065" s="11" t="str">
        <f>+HYPERLINK("http://trademark.i-assist.jp/data/china/image_1927th/82749690.pdf","82749690")</f>
        <v>82749690</v>
      </c>
      <c r="F3065" s="9" t="s">
        <v>8361</v>
      </c>
      <c r="G3065" s="9" t="s">
        <v>8362</v>
      </c>
      <c r="H3065" s="9" t="s">
        <v>8363</v>
      </c>
      <c r="I3065" s="10">
        <v>45651</v>
      </c>
    </row>
    <row r="3066" spans="1:9" x14ac:dyDescent="0.15">
      <c r="A3066" s="9">
        <v>3065</v>
      </c>
      <c r="B3066" s="9" t="s">
        <v>9</v>
      </c>
      <c r="C3066" s="9">
        <v>1927</v>
      </c>
      <c r="D3066" s="10">
        <v>45729</v>
      </c>
      <c r="E3066" s="11" t="str">
        <f>+HYPERLINK("http://trademark.i-assist.jp/data/china/image_1927th/82750612.pdf","82750612")</f>
        <v>82750612</v>
      </c>
      <c r="F3066" s="9" t="s">
        <v>8364</v>
      </c>
      <c r="G3066" s="9" t="s">
        <v>8365</v>
      </c>
      <c r="H3066" s="9" t="s">
        <v>8366</v>
      </c>
      <c r="I3066" s="10">
        <v>45651</v>
      </c>
    </row>
    <row r="3067" spans="1:9" x14ac:dyDescent="0.15">
      <c r="A3067" s="9">
        <v>3066</v>
      </c>
      <c r="B3067" s="9" t="s">
        <v>9</v>
      </c>
      <c r="C3067" s="9">
        <v>1927</v>
      </c>
      <c r="D3067" s="10">
        <v>45729</v>
      </c>
      <c r="E3067" s="11" t="str">
        <f>+HYPERLINK("http://trademark.i-assist.jp/data/china/image_1927th/82750771.pdf","82750771")</f>
        <v>82750771</v>
      </c>
      <c r="F3067" s="9" t="s">
        <v>8367</v>
      </c>
      <c r="G3067" s="9" t="s">
        <v>8368</v>
      </c>
      <c r="H3067" s="9" t="s">
        <v>8369</v>
      </c>
      <c r="I3067" s="10">
        <v>45651</v>
      </c>
    </row>
    <row r="3068" spans="1:9" x14ac:dyDescent="0.15">
      <c r="A3068" s="9">
        <v>3067</v>
      </c>
      <c r="B3068" s="9" t="s">
        <v>9</v>
      </c>
      <c r="C3068" s="9">
        <v>1927</v>
      </c>
      <c r="D3068" s="10">
        <v>45729</v>
      </c>
      <c r="E3068" s="11" t="str">
        <f>+HYPERLINK("http://trademark.i-assist.jp/data/china/image_1927th/82751205.pdf","82751205")</f>
        <v>82751205</v>
      </c>
      <c r="F3068" s="12" t="s">
        <v>8370</v>
      </c>
      <c r="G3068" s="9" t="s">
        <v>8351</v>
      </c>
      <c r="H3068" s="9" t="s">
        <v>8371</v>
      </c>
      <c r="I3068" s="10">
        <v>45651</v>
      </c>
    </row>
    <row r="3069" spans="1:9" x14ac:dyDescent="0.15">
      <c r="A3069" s="9">
        <v>3068</v>
      </c>
      <c r="B3069" s="9" t="s">
        <v>9</v>
      </c>
      <c r="C3069" s="9">
        <v>1927</v>
      </c>
      <c r="D3069" s="10">
        <v>45729</v>
      </c>
      <c r="E3069" s="11" t="str">
        <f>+HYPERLINK("http://trademark.i-assist.jp/data/china/image_1927th/82751265.pdf","82751265")</f>
        <v>82751265</v>
      </c>
      <c r="F3069" s="9" t="s">
        <v>8372</v>
      </c>
      <c r="G3069" s="9" t="s">
        <v>8373</v>
      </c>
      <c r="H3069" s="9" t="s">
        <v>8374</v>
      </c>
      <c r="I3069" s="10">
        <v>45651</v>
      </c>
    </row>
    <row r="3070" spans="1:9" x14ac:dyDescent="0.15">
      <c r="A3070" s="9">
        <v>3069</v>
      </c>
      <c r="B3070" s="9" t="s">
        <v>9</v>
      </c>
      <c r="C3070" s="9">
        <v>1927</v>
      </c>
      <c r="D3070" s="10">
        <v>45729</v>
      </c>
      <c r="E3070" s="11" t="str">
        <f>+HYPERLINK("http://trademark.i-assist.jp/data/china/image_1927th/82751679.pdf","82751679")</f>
        <v>82751679</v>
      </c>
      <c r="F3070" s="9" t="s">
        <v>8375</v>
      </c>
      <c r="G3070" s="9" t="s">
        <v>159</v>
      </c>
      <c r="H3070" s="9" t="s">
        <v>8376</v>
      </c>
      <c r="I3070" s="10">
        <v>45651</v>
      </c>
    </row>
    <row r="3071" spans="1:9" x14ac:dyDescent="0.15">
      <c r="A3071" s="9">
        <v>3070</v>
      </c>
      <c r="B3071" s="9" t="s">
        <v>9</v>
      </c>
      <c r="C3071" s="9">
        <v>1927</v>
      </c>
      <c r="D3071" s="10">
        <v>45729</v>
      </c>
      <c r="E3071" s="11" t="str">
        <f>+HYPERLINK("http://trademark.i-assist.jp/data/china/image_1927th/82752699.pdf","82752699")</f>
        <v>82752699</v>
      </c>
      <c r="F3071" s="12" t="s">
        <v>8377</v>
      </c>
      <c r="G3071" s="12" t="s">
        <v>8378</v>
      </c>
      <c r="H3071" s="9" t="s">
        <v>8379</v>
      </c>
      <c r="I3071" s="10">
        <v>45651</v>
      </c>
    </row>
    <row r="3072" spans="1:9" x14ac:dyDescent="0.15">
      <c r="A3072" s="9">
        <v>3071</v>
      </c>
      <c r="B3072" s="9" t="s">
        <v>9</v>
      </c>
      <c r="C3072" s="9">
        <v>1927</v>
      </c>
      <c r="D3072" s="10">
        <v>45729</v>
      </c>
      <c r="E3072" s="11" t="str">
        <f>+HYPERLINK("http://trademark.i-assist.jp/data/china/image_1927th/82752808.pdf","82752808")</f>
        <v>82752808</v>
      </c>
      <c r="F3072" s="9" t="s">
        <v>8380</v>
      </c>
      <c r="G3072" s="9" t="s">
        <v>8381</v>
      </c>
      <c r="H3072" s="9" t="s">
        <v>8382</v>
      </c>
      <c r="I3072" s="10">
        <v>45651</v>
      </c>
    </row>
    <row r="3073" spans="1:9" x14ac:dyDescent="0.15">
      <c r="A3073" s="9">
        <v>3072</v>
      </c>
      <c r="B3073" s="9" t="s">
        <v>9</v>
      </c>
      <c r="C3073" s="9">
        <v>1927</v>
      </c>
      <c r="D3073" s="10">
        <v>45729</v>
      </c>
      <c r="E3073" s="11" t="str">
        <f>+HYPERLINK("http://trademark.i-assist.jp/data/china/image_1927th/82753333.pdf","82753333")</f>
        <v>82753333</v>
      </c>
      <c r="F3073" s="9" t="s">
        <v>8383</v>
      </c>
      <c r="G3073" s="12" t="s">
        <v>8384</v>
      </c>
      <c r="H3073" s="9" t="s">
        <v>8385</v>
      </c>
      <c r="I3073" s="10">
        <v>45651</v>
      </c>
    </row>
    <row r="3074" spans="1:9" x14ac:dyDescent="0.15">
      <c r="A3074" s="9">
        <v>3073</v>
      </c>
      <c r="B3074" s="9" t="s">
        <v>9</v>
      </c>
      <c r="C3074" s="9">
        <v>1927</v>
      </c>
      <c r="D3074" s="10">
        <v>45729</v>
      </c>
      <c r="E3074" s="11" t="str">
        <f>+HYPERLINK("http://trademark.i-assist.jp/data/china/image_1927th/82753813.pdf","82753813")</f>
        <v>82753813</v>
      </c>
      <c r="F3074" s="9" t="s">
        <v>8386</v>
      </c>
      <c r="G3074" s="12" t="s">
        <v>8387</v>
      </c>
      <c r="H3074" s="9" t="s">
        <v>8388</v>
      </c>
      <c r="I3074" s="10">
        <v>45651</v>
      </c>
    </row>
    <row r="3075" spans="1:9" x14ac:dyDescent="0.15">
      <c r="A3075" s="9">
        <v>3074</v>
      </c>
      <c r="B3075" s="9" t="s">
        <v>9</v>
      </c>
      <c r="C3075" s="9">
        <v>1927</v>
      </c>
      <c r="D3075" s="10">
        <v>45729</v>
      </c>
      <c r="E3075" s="11" t="str">
        <f>+HYPERLINK("http://trademark.i-assist.jp/data/china/image_1927th/82754229.pdf","82754229")</f>
        <v>82754229</v>
      </c>
      <c r="F3075" s="9" t="s">
        <v>8389</v>
      </c>
      <c r="G3075" s="9" t="s">
        <v>8390</v>
      </c>
      <c r="H3075" s="9" t="s">
        <v>8391</v>
      </c>
      <c r="I3075" s="10">
        <v>45651</v>
      </c>
    </row>
    <row r="3076" spans="1:9" x14ac:dyDescent="0.15">
      <c r="A3076" s="9">
        <v>3075</v>
      </c>
      <c r="B3076" s="9" t="s">
        <v>9</v>
      </c>
      <c r="C3076" s="9">
        <v>1927</v>
      </c>
      <c r="D3076" s="10">
        <v>45729</v>
      </c>
      <c r="E3076" s="11" t="str">
        <f>+HYPERLINK("http://trademark.i-assist.jp/data/china/image_1927th/82754599.pdf","82754599")</f>
        <v>82754599</v>
      </c>
      <c r="F3076" s="9" t="s">
        <v>8392</v>
      </c>
      <c r="G3076" s="9" t="s">
        <v>8351</v>
      </c>
      <c r="H3076" s="9" t="s">
        <v>8393</v>
      </c>
      <c r="I3076" s="10">
        <v>45651</v>
      </c>
    </row>
    <row r="3077" spans="1:9" x14ac:dyDescent="0.15">
      <c r="A3077" s="9">
        <v>3076</v>
      </c>
      <c r="B3077" s="9" t="s">
        <v>9</v>
      </c>
      <c r="C3077" s="9">
        <v>1927</v>
      </c>
      <c r="D3077" s="10">
        <v>45729</v>
      </c>
      <c r="E3077" s="11" t="str">
        <f>+HYPERLINK("http://trademark.i-assist.jp/data/china/image_1927th/82754913.pdf","82754913")</f>
        <v>82754913</v>
      </c>
      <c r="F3077" s="9" t="s">
        <v>8394</v>
      </c>
      <c r="G3077" s="9" t="s">
        <v>8395</v>
      </c>
      <c r="H3077" s="9" t="s">
        <v>8396</v>
      </c>
      <c r="I3077" s="10">
        <v>45651</v>
      </c>
    </row>
    <row r="3078" spans="1:9" x14ac:dyDescent="0.15">
      <c r="A3078" s="9">
        <v>3077</v>
      </c>
      <c r="B3078" s="9" t="s">
        <v>9</v>
      </c>
      <c r="C3078" s="9">
        <v>1927</v>
      </c>
      <c r="D3078" s="10">
        <v>45729</v>
      </c>
      <c r="E3078" s="11" t="str">
        <f>+HYPERLINK("http://trademark.i-assist.jp/data/china/image_1927th/82755202.pdf","82755202")</f>
        <v>82755202</v>
      </c>
      <c r="F3078" s="9" t="s">
        <v>8397</v>
      </c>
      <c r="G3078" s="9" t="s">
        <v>8398</v>
      </c>
      <c r="H3078" s="9" t="s">
        <v>8399</v>
      </c>
      <c r="I3078" s="10">
        <v>45651</v>
      </c>
    </row>
    <row r="3079" spans="1:9" x14ac:dyDescent="0.15">
      <c r="A3079" s="9">
        <v>3078</v>
      </c>
      <c r="B3079" s="9" t="s">
        <v>9</v>
      </c>
      <c r="C3079" s="9">
        <v>1927</v>
      </c>
      <c r="D3079" s="10">
        <v>45729</v>
      </c>
      <c r="E3079" s="11" t="str">
        <f>+HYPERLINK("http://trademark.i-assist.jp/data/china/image_1927th/82755211.pdf","82755211")</f>
        <v>82755211</v>
      </c>
      <c r="F3079" s="12" t="s">
        <v>8400</v>
      </c>
      <c r="G3079" s="9" t="s">
        <v>8398</v>
      </c>
      <c r="H3079" s="9" t="s">
        <v>8401</v>
      </c>
      <c r="I3079" s="10">
        <v>45651</v>
      </c>
    </row>
    <row r="3080" spans="1:9" x14ac:dyDescent="0.15">
      <c r="A3080" s="9">
        <v>3079</v>
      </c>
      <c r="B3080" s="9" t="s">
        <v>9</v>
      </c>
      <c r="C3080" s="9">
        <v>1927</v>
      </c>
      <c r="D3080" s="10">
        <v>45729</v>
      </c>
      <c r="E3080" s="11" t="str">
        <f>+HYPERLINK("http://trademark.i-assist.jp/data/china/image_1927th/82755324.pdf","82755324")</f>
        <v>82755324</v>
      </c>
      <c r="F3080" s="9" t="s">
        <v>8402</v>
      </c>
      <c r="G3080" s="12" t="s">
        <v>8378</v>
      </c>
      <c r="H3080" s="9" t="s">
        <v>8403</v>
      </c>
      <c r="I3080" s="10">
        <v>45651</v>
      </c>
    </row>
    <row r="3081" spans="1:9" x14ac:dyDescent="0.15">
      <c r="A3081" s="9">
        <v>3080</v>
      </c>
      <c r="B3081" s="9" t="s">
        <v>9</v>
      </c>
      <c r="C3081" s="9">
        <v>1927</v>
      </c>
      <c r="D3081" s="10">
        <v>45729</v>
      </c>
      <c r="E3081" s="11" t="str">
        <f>+HYPERLINK("http://trademark.i-assist.jp/data/china/image_1927th/82755526.pdf","82755526")</f>
        <v>82755526</v>
      </c>
      <c r="F3081" s="9" t="s">
        <v>8404</v>
      </c>
      <c r="G3081" s="9" t="s">
        <v>8373</v>
      </c>
      <c r="H3081" s="9" t="s">
        <v>8405</v>
      </c>
      <c r="I3081" s="10">
        <v>45651</v>
      </c>
    </row>
    <row r="3082" spans="1:9" x14ac:dyDescent="0.15">
      <c r="A3082" s="9">
        <v>3081</v>
      </c>
      <c r="B3082" s="9" t="s">
        <v>9</v>
      </c>
      <c r="C3082" s="9">
        <v>1927</v>
      </c>
      <c r="D3082" s="10">
        <v>45729</v>
      </c>
      <c r="E3082" s="11" t="str">
        <f>+HYPERLINK("http://trademark.i-assist.jp/data/china/image_1927th/82755558.pdf","82755558")</f>
        <v>82755558</v>
      </c>
      <c r="F3082" s="9" t="s">
        <v>8406</v>
      </c>
      <c r="G3082" s="9" t="s">
        <v>8373</v>
      </c>
      <c r="H3082" s="9" t="s">
        <v>8407</v>
      </c>
      <c r="I3082" s="10">
        <v>45651</v>
      </c>
    </row>
    <row r="3083" spans="1:9" x14ac:dyDescent="0.15">
      <c r="A3083" s="9">
        <v>3082</v>
      </c>
      <c r="B3083" s="9" t="s">
        <v>9</v>
      </c>
      <c r="C3083" s="9">
        <v>1927</v>
      </c>
      <c r="D3083" s="10">
        <v>45729</v>
      </c>
      <c r="E3083" s="11" t="str">
        <f>+HYPERLINK("http://trademark.i-assist.jp/data/china/image_1927th/82755579.pdf","82755579")</f>
        <v>82755579</v>
      </c>
      <c r="F3083" s="9" t="s">
        <v>8408</v>
      </c>
      <c r="G3083" s="9" t="s">
        <v>8356</v>
      </c>
      <c r="H3083" s="9" t="s">
        <v>8409</v>
      </c>
      <c r="I3083" s="10">
        <v>45651</v>
      </c>
    </row>
    <row r="3084" spans="1:9" x14ac:dyDescent="0.15">
      <c r="A3084" s="9">
        <v>3083</v>
      </c>
      <c r="B3084" s="9" t="s">
        <v>9</v>
      </c>
      <c r="C3084" s="9">
        <v>1927</v>
      </c>
      <c r="D3084" s="10">
        <v>45729</v>
      </c>
      <c r="E3084" s="11" t="str">
        <f>+HYPERLINK("http://trademark.i-assist.jp/data/china/image_1927th/82755839.pdf","82755839")</f>
        <v>82755839</v>
      </c>
      <c r="F3084" s="12" t="s">
        <v>8410</v>
      </c>
      <c r="G3084" s="9" t="s">
        <v>8411</v>
      </c>
      <c r="H3084" s="9" t="s">
        <v>8412</v>
      </c>
      <c r="I3084" s="10">
        <v>45651</v>
      </c>
    </row>
    <row r="3085" spans="1:9" x14ac:dyDescent="0.15">
      <c r="A3085" s="9">
        <v>3084</v>
      </c>
      <c r="B3085" s="9" t="s">
        <v>9</v>
      </c>
      <c r="C3085" s="9">
        <v>1927</v>
      </c>
      <c r="D3085" s="10">
        <v>45729</v>
      </c>
      <c r="E3085" s="11" t="str">
        <f>+HYPERLINK("http://trademark.i-assist.jp/data/china/image_1927th/82756275.pdf","82756275")</f>
        <v>82756275</v>
      </c>
      <c r="F3085" s="9" t="s">
        <v>8413</v>
      </c>
      <c r="G3085" s="9" t="s">
        <v>8373</v>
      </c>
      <c r="H3085" s="9" t="s">
        <v>8414</v>
      </c>
      <c r="I3085" s="10">
        <v>45651</v>
      </c>
    </row>
    <row r="3086" spans="1:9" x14ac:dyDescent="0.15">
      <c r="A3086" s="9">
        <v>3085</v>
      </c>
      <c r="B3086" s="9" t="s">
        <v>9</v>
      </c>
      <c r="C3086" s="9">
        <v>1927</v>
      </c>
      <c r="D3086" s="10">
        <v>45729</v>
      </c>
      <c r="E3086" s="11" t="str">
        <f>+HYPERLINK("http://trademark.i-assist.jp/data/china/image_1927th/82756776.pdf","82756776")</f>
        <v>82756776</v>
      </c>
      <c r="F3086" s="12" t="s">
        <v>8415</v>
      </c>
      <c r="G3086" s="9" t="s">
        <v>8416</v>
      </c>
      <c r="H3086" s="9" t="s">
        <v>8417</v>
      </c>
      <c r="I3086" s="10">
        <v>45651</v>
      </c>
    </row>
    <row r="3087" spans="1:9" x14ac:dyDescent="0.15">
      <c r="A3087" s="9">
        <v>3086</v>
      </c>
      <c r="B3087" s="9" t="s">
        <v>9</v>
      </c>
      <c r="C3087" s="9">
        <v>1927</v>
      </c>
      <c r="D3087" s="10">
        <v>45729</v>
      </c>
      <c r="E3087" s="11" t="str">
        <f>+HYPERLINK("http://trademark.i-assist.jp/data/china/image_1927th/82756959.pdf","82756959")</f>
        <v>82756959</v>
      </c>
      <c r="F3087" s="9" t="s">
        <v>8418</v>
      </c>
      <c r="G3087" s="9" t="s">
        <v>8351</v>
      </c>
      <c r="H3087" s="9" t="s">
        <v>8419</v>
      </c>
      <c r="I3087" s="10">
        <v>45651</v>
      </c>
    </row>
    <row r="3088" spans="1:9" x14ac:dyDescent="0.15">
      <c r="A3088" s="9">
        <v>3087</v>
      </c>
      <c r="B3088" s="9" t="s">
        <v>9</v>
      </c>
      <c r="C3088" s="9">
        <v>1927</v>
      </c>
      <c r="D3088" s="10">
        <v>45729</v>
      </c>
      <c r="E3088" s="11" t="str">
        <f>+HYPERLINK("http://trademark.i-assist.jp/data/china/image_1927th/82758135.pdf","82758135")</f>
        <v>82758135</v>
      </c>
      <c r="F3088" s="12" t="s">
        <v>8420</v>
      </c>
      <c r="G3088" s="9" t="s">
        <v>8421</v>
      </c>
      <c r="H3088" s="9" t="s">
        <v>8422</v>
      </c>
      <c r="I3088" s="10">
        <v>45651</v>
      </c>
    </row>
    <row r="3089" spans="1:9" x14ac:dyDescent="0.15">
      <c r="A3089" s="9">
        <v>3088</v>
      </c>
      <c r="B3089" s="9" t="s">
        <v>9</v>
      </c>
      <c r="C3089" s="9">
        <v>1927</v>
      </c>
      <c r="D3089" s="10">
        <v>45729</v>
      </c>
      <c r="E3089" s="11" t="str">
        <f>+HYPERLINK("http://trademark.i-assist.jp/data/china/image_1927th/82758282.pdf","82758282")</f>
        <v>82758282</v>
      </c>
      <c r="F3089" s="9" t="s">
        <v>8423</v>
      </c>
      <c r="G3089" s="9" t="s">
        <v>8351</v>
      </c>
      <c r="H3089" s="9" t="s">
        <v>8424</v>
      </c>
      <c r="I3089" s="10">
        <v>45651</v>
      </c>
    </row>
    <row r="3090" spans="1:9" x14ac:dyDescent="0.15">
      <c r="A3090" s="9">
        <v>3089</v>
      </c>
      <c r="B3090" s="9" t="s">
        <v>9</v>
      </c>
      <c r="C3090" s="9">
        <v>1927</v>
      </c>
      <c r="D3090" s="10">
        <v>45729</v>
      </c>
      <c r="E3090" s="11" t="str">
        <f>+HYPERLINK("http://trademark.i-assist.jp/data/china/image_1927th/82759127.pdf","82759127")</f>
        <v>82759127</v>
      </c>
      <c r="F3090" s="9" t="s">
        <v>8425</v>
      </c>
      <c r="G3090" s="9" t="s">
        <v>8426</v>
      </c>
      <c r="H3090" s="9" t="s">
        <v>8427</v>
      </c>
      <c r="I3090" s="10">
        <v>45651</v>
      </c>
    </row>
    <row r="3091" spans="1:9" x14ac:dyDescent="0.15">
      <c r="A3091" s="9">
        <v>3090</v>
      </c>
      <c r="B3091" s="9" t="s">
        <v>9</v>
      </c>
      <c r="C3091" s="9">
        <v>1927</v>
      </c>
      <c r="D3091" s="10">
        <v>45729</v>
      </c>
      <c r="E3091" s="11" t="str">
        <f>+HYPERLINK("http://trademark.i-assist.jp/data/china/image_1927th/82759267.pdf","82759267")</f>
        <v>82759267</v>
      </c>
      <c r="F3091" s="12" t="s">
        <v>8428</v>
      </c>
      <c r="G3091" s="9" t="s">
        <v>8373</v>
      </c>
      <c r="H3091" s="9" t="s">
        <v>8429</v>
      </c>
      <c r="I3091" s="10">
        <v>45651</v>
      </c>
    </row>
    <row r="3092" spans="1:9" x14ac:dyDescent="0.15">
      <c r="A3092" s="9">
        <v>3091</v>
      </c>
      <c r="B3092" s="9" t="s">
        <v>9</v>
      </c>
      <c r="C3092" s="9">
        <v>1927</v>
      </c>
      <c r="D3092" s="10">
        <v>45729</v>
      </c>
      <c r="E3092" s="11" t="str">
        <f>+HYPERLINK("http://trademark.i-assist.jp/data/china/image_1927th/82759309.pdf","82759309")</f>
        <v>82759309</v>
      </c>
      <c r="F3092" s="9" t="s">
        <v>8430</v>
      </c>
      <c r="G3092" s="9" t="s">
        <v>8373</v>
      </c>
      <c r="H3092" s="12" t="s">
        <v>8431</v>
      </c>
      <c r="I3092" s="10">
        <v>45651</v>
      </c>
    </row>
    <row r="3093" spans="1:9" x14ac:dyDescent="0.15">
      <c r="A3093" s="9">
        <v>3092</v>
      </c>
      <c r="B3093" s="9" t="s">
        <v>9</v>
      </c>
      <c r="C3093" s="9">
        <v>1927</v>
      </c>
      <c r="D3093" s="10">
        <v>45729</v>
      </c>
      <c r="E3093" s="11" t="str">
        <f>+HYPERLINK("http://trademark.i-assist.jp/data/china/image_1927th/82759336.pdf","82759336")</f>
        <v>82759336</v>
      </c>
      <c r="F3093" s="9" t="s">
        <v>8432</v>
      </c>
      <c r="G3093" s="9" t="s">
        <v>8356</v>
      </c>
      <c r="H3093" s="9" t="s">
        <v>8433</v>
      </c>
      <c r="I3093" s="10">
        <v>45651</v>
      </c>
    </row>
    <row r="3094" spans="1:9" x14ac:dyDescent="0.15">
      <c r="A3094" s="9">
        <v>3093</v>
      </c>
      <c r="B3094" s="9" t="s">
        <v>9</v>
      </c>
      <c r="C3094" s="9">
        <v>1927</v>
      </c>
      <c r="D3094" s="10">
        <v>45729</v>
      </c>
      <c r="E3094" s="11" t="str">
        <f>+HYPERLINK("http://trademark.i-assist.jp/data/china/image_1927th/82760417.pdf","82760417")</f>
        <v>82760417</v>
      </c>
      <c r="F3094" s="9" t="s">
        <v>8434</v>
      </c>
      <c r="G3094" s="9" t="s">
        <v>8381</v>
      </c>
      <c r="H3094" s="12" t="s">
        <v>8435</v>
      </c>
      <c r="I3094" s="10">
        <v>45651</v>
      </c>
    </row>
    <row r="3095" spans="1:9" x14ac:dyDescent="0.15">
      <c r="A3095" s="9">
        <v>3094</v>
      </c>
      <c r="B3095" s="9" t="s">
        <v>9</v>
      </c>
      <c r="C3095" s="9">
        <v>1927</v>
      </c>
      <c r="D3095" s="10">
        <v>45729</v>
      </c>
      <c r="E3095" s="11" t="str">
        <f>+HYPERLINK("http://trademark.i-assist.jp/data/china/image_1927th/82761601.pdf","82761601")</f>
        <v>82761601</v>
      </c>
      <c r="F3095" s="9" t="s">
        <v>8436</v>
      </c>
      <c r="G3095" s="9" t="s">
        <v>8351</v>
      </c>
      <c r="H3095" s="9" t="s">
        <v>8437</v>
      </c>
      <c r="I3095" s="10">
        <v>45651</v>
      </c>
    </row>
    <row r="3096" spans="1:9" x14ac:dyDescent="0.15">
      <c r="A3096" s="9">
        <v>3095</v>
      </c>
      <c r="B3096" s="9" t="s">
        <v>9</v>
      </c>
      <c r="C3096" s="9">
        <v>1927</v>
      </c>
      <c r="D3096" s="10">
        <v>45729</v>
      </c>
      <c r="E3096" s="11" t="str">
        <f>+HYPERLINK("http://trademark.i-assist.jp/data/china/image_1927th/82762186.pdf","82762186")</f>
        <v>82762186</v>
      </c>
      <c r="F3096" s="12" t="s">
        <v>16</v>
      </c>
      <c r="G3096" s="9" t="s">
        <v>8438</v>
      </c>
      <c r="H3096" s="9" t="s">
        <v>8439</v>
      </c>
      <c r="I3096" s="10">
        <v>45651</v>
      </c>
    </row>
    <row r="3097" spans="1:9" x14ac:dyDescent="0.15">
      <c r="A3097" s="9">
        <v>3096</v>
      </c>
      <c r="B3097" s="9" t="s">
        <v>9</v>
      </c>
      <c r="C3097" s="9">
        <v>1927</v>
      </c>
      <c r="D3097" s="10">
        <v>45729</v>
      </c>
      <c r="E3097" s="11" t="str">
        <f>+HYPERLINK("http://trademark.i-assist.jp/data/china/image_1927th/82762353.pdf","82762353")</f>
        <v>82762353</v>
      </c>
      <c r="F3097" s="9" t="s">
        <v>8440</v>
      </c>
      <c r="G3097" s="9" t="s">
        <v>8441</v>
      </c>
      <c r="H3097" s="9" t="s">
        <v>8442</v>
      </c>
      <c r="I3097" s="10">
        <v>45651</v>
      </c>
    </row>
    <row r="3098" spans="1:9" x14ac:dyDescent="0.15">
      <c r="A3098" s="9">
        <v>3097</v>
      </c>
      <c r="B3098" s="9" t="s">
        <v>9</v>
      </c>
      <c r="C3098" s="9">
        <v>1927</v>
      </c>
      <c r="D3098" s="10">
        <v>45729</v>
      </c>
      <c r="E3098" s="11" t="str">
        <f>+HYPERLINK("http://trademark.i-assist.jp/data/china/image_1927th/82763086.pdf","82763086")</f>
        <v>82763086</v>
      </c>
      <c r="F3098" s="9" t="s">
        <v>8443</v>
      </c>
      <c r="G3098" s="12" t="s">
        <v>8444</v>
      </c>
      <c r="H3098" s="9" t="s">
        <v>8445</v>
      </c>
      <c r="I3098" s="10">
        <v>45651</v>
      </c>
    </row>
    <row r="3099" spans="1:9" x14ac:dyDescent="0.15">
      <c r="A3099" s="9">
        <v>3098</v>
      </c>
      <c r="B3099" s="9" t="s">
        <v>9</v>
      </c>
      <c r="C3099" s="9">
        <v>1927</v>
      </c>
      <c r="D3099" s="10">
        <v>45729</v>
      </c>
      <c r="E3099" s="11" t="str">
        <f>+HYPERLINK("http://trademark.i-assist.jp/data/china/image_1927th/82763425.pdf","82763425")</f>
        <v>82763425</v>
      </c>
      <c r="F3099" s="9" t="s">
        <v>8446</v>
      </c>
      <c r="G3099" s="9" t="s">
        <v>8447</v>
      </c>
      <c r="H3099" s="9" t="s">
        <v>8448</v>
      </c>
      <c r="I3099" s="10">
        <v>45651</v>
      </c>
    </row>
    <row r="3100" spans="1:9" x14ac:dyDescent="0.15">
      <c r="A3100" s="9">
        <v>3099</v>
      </c>
      <c r="B3100" s="9" t="s">
        <v>9</v>
      </c>
      <c r="C3100" s="9">
        <v>1927</v>
      </c>
      <c r="D3100" s="10">
        <v>45729</v>
      </c>
      <c r="E3100" s="11" t="str">
        <f>+HYPERLINK("http://trademark.i-assist.jp/data/china/image_1927th/82763924.pdf","82763924")</f>
        <v>82763924</v>
      </c>
      <c r="F3100" s="12" t="s">
        <v>16</v>
      </c>
      <c r="G3100" s="9" t="s">
        <v>8449</v>
      </c>
      <c r="H3100" s="9" t="s">
        <v>8450</v>
      </c>
      <c r="I3100" s="10">
        <v>45651</v>
      </c>
    </row>
    <row r="3101" spans="1:9" x14ac:dyDescent="0.15">
      <c r="A3101" s="9">
        <v>3100</v>
      </c>
      <c r="B3101" s="9" t="s">
        <v>9</v>
      </c>
      <c r="C3101" s="9">
        <v>1927</v>
      </c>
      <c r="D3101" s="10">
        <v>45729</v>
      </c>
      <c r="E3101" s="11" t="str">
        <f>+HYPERLINK("http://trademark.i-assist.jp/data/china/image_1927th/82764256.pdf","82764256")</f>
        <v>82764256</v>
      </c>
      <c r="F3101" s="9" t="s">
        <v>8451</v>
      </c>
      <c r="G3101" s="12" t="s">
        <v>8452</v>
      </c>
      <c r="H3101" s="9" t="s">
        <v>8453</v>
      </c>
      <c r="I3101" s="10">
        <v>45651</v>
      </c>
    </row>
    <row r="3102" spans="1:9" x14ac:dyDescent="0.15">
      <c r="A3102" s="9">
        <v>3101</v>
      </c>
      <c r="B3102" s="9" t="s">
        <v>9</v>
      </c>
      <c r="C3102" s="9">
        <v>1927</v>
      </c>
      <c r="D3102" s="10">
        <v>45729</v>
      </c>
      <c r="E3102" s="11" t="str">
        <f>+HYPERLINK("http://trademark.i-assist.jp/data/china/image_1927th/82764376.pdf","82764376")</f>
        <v>82764376</v>
      </c>
      <c r="F3102" s="9" t="s">
        <v>8454</v>
      </c>
      <c r="G3102" s="9" t="s">
        <v>8455</v>
      </c>
      <c r="H3102" s="9" t="s">
        <v>8456</v>
      </c>
      <c r="I3102" s="10">
        <v>45651</v>
      </c>
    </row>
    <row r="3103" spans="1:9" x14ac:dyDescent="0.15">
      <c r="A3103" s="9">
        <v>3102</v>
      </c>
      <c r="B3103" s="9" t="s">
        <v>9</v>
      </c>
      <c r="C3103" s="9">
        <v>1927</v>
      </c>
      <c r="D3103" s="10">
        <v>45729</v>
      </c>
      <c r="E3103" s="11" t="str">
        <f>+HYPERLINK("http://trademark.i-assist.jp/data/china/image_1927th/82764795.pdf","82764795")</f>
        <v>82764795</v>
      </c>
      <c r="F3103" s="9" t="s">
        <v>8457</v>
      </c>
      <c r="G3103" s="12" t="s">
        <v>8387</v>
      </c>
      <c r="H3103" s="9" t="s">
        <v>8458</v>
      </c>
      <c r="I3103" s="10">
        <v>45651</v>
      </c>
    </row>
    <row r="3104" spans="1:9" x14ac:dyDescent="0.15">
      <c r="A3104" s="9">
        <v>3103</v>
      </c>
      <c r="B3104" s="9" t="s">
        <v>9</v>
      </c>
      <c r="C3104" s="9">
        <v>1927</v>
      </c>
      <c r="D3104" s="10">
        <v>45729</v>
      </c>
      <c r="E3104" s="11" t="str">
        <f>+HYPERLINK("http://trademark.i-assist.jp/data/china/image_1927th/82764843.pdf","82764843")</f>
        <v>82764843</v>
      </c>
      <c r="F3104" s="9" t="s">
        <v>8459</v>
      </c>
      <c r="G3104" s="9" t="s">
        <v>8460</v>
      </c>
      <c r="H3104" s="9" t="s">
        <v>8461</v>
      </c>
      <c r="I3104" s="10">
        <v>45651</v>
      </c>
    </row>
    <row r="3105" spans="1:9" x14ac:dyDescent="0.15">
      <c r="A3105" s="9">
        <v>3104</v>
      </c>
      <c r="B3105" s="9" t="s">
        <v>9</v>
      </c>
      <c r="C3105" s="9">
        <v>1927</v>
      </c>
      <c r="D3105" s="10">
        <v>45729</v>
      </c>
      <c r="E3105" s="11" t="str">
        <f>+HYPERLINK("http://trademark.i-assist.jp/data/china/image_1927th/82765395.pdf","82765395")</f>
        <v>82765395</v>
      </c>
      <c r="F3105" s="9" t="s">
        <v>8462</v>
      </c>
      <c r="G3105" s="9" t="s">
        <v>8463</v>
      </c>
      <c r="H3105" s="9" t="s">
        <v>8464</v>
      </c>
      <c r="I3105" s="10">
        <v>45651</v>
      </c>
    </row>
    <row r="3106" spans="1:9" x14ac:dyDescent="0.15">
      <c r="A3106" s="9">
        <v>3105</v>
      </c>
      <c r="B3106" s="9" t="s">
        <v>9</v>
      </c>
      <c r="C3106" s="9">
        <v>1927</v>
      </c>
      <c r="D3106" s="10">
        <v>45729</v>
      </c>
      <c r="E3106" s="11" t="str">
        <f>+HYPERLINK("http://trademark.i-assist.jp/data/china/image_1927th/82765735.pdf","82765735")</f>
        <v>82765735</v>
      </c>
      <c r="F3106" s="9" t="s">
        <v>8465</v>
      </c>
      <c r="G3106" s="9" t="s">
        <v>8466</v>
      </c>
      <c r="H3106" s="9" t="s">
        <v>8467</v>
      </c>
      <c r="I3106" s="10">
        <v>45651</v>
      </c>
    </row>
    <row r="3107" spans="1:9" x14ac:dyDescent="0.15">
      <c r="A3107" s="9">
        <v>3106</v>
      </c>
      <c r="B3107" s="9" t="s">
        <v>9</v>
      </c>
      <c r="C3107" s="9">
        <v>1927</v>
      </c>
      <c r="D3107" s="10">
        <v>45729</v>
      </c>
      <c r="E3107" s="11" t="str">
        <f>+HYPERLINK("http://trademark.i-assist.jp/data/china/image_1927th/82766003.pdf","82766003")</f>
        <v>82766003</v>
      </c>
      <c r="F3107" s="12" t="s">
        <v>8468</v>
      </c>
      <c r="G3107" s="12" t="s">
        <v>8452</v>
      </c>
      <c r="H3107" s="9" t="s">
        <v>8469</v>
      </c>
      <c r="I3107" s="10">
        <v>45651</v>
      </c>
    </row>
    <row r="3108" spans="1:9" x14ac:dyDescent="0.15">
      <c r="A3108" s="9">
        <v>3107</v>
      </c>
      <c r="B3108" s="9" t="s">
        <v>9</v>
      </c>
      <c r="C3108" s="9">
        <v>1927</v>
      </c>
      <c r="D3108" s="10">
        <v>45729</v>
      </c>
      <c r="E3108" s="11" t="str">
        <f>+HYPERLINK("http://trademark.i-assist.jp/data/china/image_1927th/82767578.pdf","82767578")</f>
        <v>82767578</v>
      </c>
      <c r="F3108" s="9" t="s">
        <v>8470</v>
      </c>
      <c r="G3108" s="9" t="s">
        <v>8356</v>
      </c>
      <c r="H3108" s="9" t="s">
        <v>8471</v>
      </c>
      <c r="I3108" s="10">
        <v>45651</v>
      </c>
    </row>
    <row r="3109" spans="1:9" x14ac:dyDescent="0.15">
      <c r="A3109" s="9">
        <v>3108</v>
      </c>
      <c r="B3109" s="9" t="s">
        <v>9</v>
      </c>
      <c r="C3109" s="9">
        <v>1927</v>
      </c>
      <c r="D3109" s="10">
        <v>45729</v>
      </c>
      <c r="E3109" s="11" t="str">
        <f>+HYPERLINK("http://trademark.i-assist.jp/data/china/image_1927th/82768990.pdf","82768990")</f>
        <v>82768990</v>
      </c>
      <c r="F3109" s="9" t="s">
        <v>8472</v>
      </c>
      <c r="G3109" s="9" t="s">
        <v>8356</v>
      </c>
      <c r="H3109" s="12" t="s">
        <v>8473</v>
      </c>
      <c r="I3109" s="10">
        <v>45651</v>
      </c>
    </row>
    <row r="3110" spans="1:9" x14ac:dyDescent="0.15">
      <c r="A3110" s="9">
        <v>3109</v>
      </c>
      <c r="B3110" s="9" t="s">
        <v>9</v>
      </c>
      <c r="C3110" s="9">
        <v>1927</v>
      </c>
      <c r="D3110" s="10">
        <v>45729</v>
      </c>
      <c r="E3110" s="11" t="str">
        <f>+HYPERLINK("http://trademark.i-assist.jp/data/china/image_1927th/82769321.pdf","82769321")</f>
        <v>82769321</v>
      </c>
      <c r="F3110" s="12" t="s">
        <v>8474</v>
      </c>
      <c r="G3110" s="9" t="s">
        <v>8475</v>
      </c>
      <c r="H3110" s="9" t="s">
        <v>8476</v>
      </c>
      <c r="I3110" s="10">
        <v>45651</v>
      </c>
    </row>
    <row r="3111" spans="1:9" x14ac:dyDescent="0.15">
      <c r="A3111" s="9">
        <v>3110</v>
      </c>
      <c r="B3111" s="9" t="s">
        <v>9</v>
      </c>
      <c r="C3111" s="9">
        <v>1927</v>
      </c>
      <c r="D3111" s="10">
        <v>45729</v>
      </c>
      <c r="E3111" s="11" t="str">
        <f>+HYPERLINK("http://trademark.i-assist.jp/data/china/image_1927th/82769349.pdf","82769349")</f>
        <v>82769349</v>
      </c>
      <c r="F3111" s="9" t="s">
        <v>8477</v>
      </c>
      <c r="G3111" s="9" t="s">
        <v>8478</v>
      </c>
      <c r="H3111" s="9" t="s">
        <v>8479</v>
      </c>
      <c r="I3111" s="10">
        <v>45651</v>
      </c>
    </row>
    <row r="3112" spans="1:9" x14ac:dyDescent="0.15">
      <c r="A3112" s="9">
        <v>3111</v>
      </c>
      <c r="B3112" s="9" t="s">
        <v>9</v>
      </c>
      <c r="C3112" s="9">
        <v>1927</v>
      </c>
      <c r="D3112" s="10">
        <v>45729</v>
      </c>
      <c r="E3112" s="11" t="str">
        <f>+HYPERLINK("http://trademark.i-assist.jp/data/china/image_1927th/82769561.pdf","82769561")</f>
        <v>82769561</v>
      </c>
      <c r="F3112" s="9" t="s">
        <v>8480</v>
      </c>
      <c r="G3112" s="9" t="s">
        <v>8481</v>
      </c>
      <c r="H3112" s="9" t="s">
        <v>8482</v>
      </c>
      <c r="I3112" s="10">
        <v>45651</v>
      </c>
    </row>
    <row r="3113" spans="1:9" x14ac:dyDescent="0.15">
      <c r="A3113" s="9">
        <v>3112</v>
      </c>
      <c r="B3113" s="9" t="s">
        <v>9</v>
      </c>
      <c r="C3113" s="9">
        <v>1927</v>
      </c>
      <c r="D3113" s="10">
        <v>45729</v>
      </c>
      <c r="E3113" s="11" t="str">
        <f>+HYPERLINK("http://trademark.i-assist.jp/data/china/image_1927th/82770612.pdf","82770612")</f>
        <v>82770612</v>
      </c>
      <c r="F3113" s="12" t="s">
        <v>8483</v>
      </c>
      <c r="G3113" s="9" t="s">
        <v>8484</v>
      </c>
      <c r="H3113" s="9" t="s">
        <v>8485</v>
      </c>
      <c r="I3113" s="10">
        <v>45651</v>
      </c>
    </row>
    <row r="3114" spans="1:9" x14ac:dyDescent="0.15">
      <c r="A3114" s="9">
        <v>3113</v>
      </c>
      <c r="B3114" s="9" t="s">
        <v>9</v>
      </c>
      <c r="C3114" s="9">
        <v>1927</v>
      </c>
      <c r="D3114" s="10">
        <v>45729</v>
      </c>
      <c r="E3114" s="11" t="str">
        <f>+HYPERLINK("http://trademark.i-assist.jp/data/china/image_1927th/82771383.pdf","82771383")</f>
        <v>82771383</v>
      </c>
      <c r="F3114" s="9" t="s">
        <v>8486</v>
      </c>
      <c r="G3114" s="9" t="s">
        <v>8487</v>
      </c>
      <c r="H3114" s="9" t="s">
        <v>8488</v>
      </c>
      <c r="I3114" s="10">
        <v>45651</v>
      </c>
    </row>
    <row r="3115" spans="1:9" x14ac:dyDescent="0.15">
      <c r="A3115" s="9">
        <v>3114</v>
      </c>
      <c r="B3115" s="9" t="s">
        <v>9</v>
      </c>
      <c r="C3115" s="9">
        <v>1927</v>
      </c>
      <c r="D3115" s="10">
        <v>45729</v>
      </c>
      <c r="E3115" s="11" t="str">
        <f>+HYPERLINK("http://trademark.i-assist.jp/data/china/image_1927th/82772238.pdf","82772238")</f>
        <v>82772238</v>
      </c>
      <c r="F3115" s="9" t="s">
        <v>8489</v>
      </c>
      <c r="G3115" s="9" t="s">
        <v>8395</v>
      </c>
      <c r="H3115" s="9" t="s">
        <v>8490</v>
      </c>
      <c r="I3115" s="10">
        <v>45651</v>
      </c>
    </row>
    <row r="3116" spans="1:9" x14ac:dyDescent="0.15">
      <c r="A3116" s="9">
        <v>3115</v>
      </c>
      <c r="B3116" s="9" t="s">
        <v>9</v>
      </c>
      <c r="C3116" s="9">
        <v>1927</v>
      </c>
      <c r="D3116" s="10">
        <v>45729</v>
      </c>
      <c r="E3116" s="11" t="str">
        <f>+HYPERLINK("http://trademark.i-assist.jp/data/china/image_1927th/82772324.pdf","82772324")</f>
        <v>82772324</v>
      </c>
      <c r="F3116" s="12" t="s">
        <v>8491</v>
      </c>
      <c r="G3116" s="9" t="s">
        <v>8492</v>
      </c>
      <c r="H3116" s="9" t="s">
        <v>8493</v>
      </c>
      <c r="I3116" s="10">
        <v>45651</v>
      </c>
    </row>
    <row r="3117" spans="1:9" x14ac:dyDescent="0.15">
      <c r="A3117" s="9">
        <v>3116</v>
      </c>
      <c r="B3117" s="9" t="s">
        <v>9</v>
      </c>
      <c r="C3117" s="9">
        <v>1927</v>
      </c>
      <c r="D3117" s="10">
        <v>45729</v>
      </c>
      <c r="E3117" s="11" t="str">
        <f>+HYPERLINK("http://trademark.i-assist.jp/data/china/image_1927th/82772733.pdf","82772733")</f>
        <v>82772733</v>
      </c>
      <c r="F3117" s="12" t="s">
        <v>16</v>
      </c>
      <c r="G3117" s="12" t="s">
        <v>8494</v>
      </c>
      <c r="H3117" s="9" t="s">
        <v>8495</v>
      </c>
      <c r="I3117" s="10">
        <v>45651</v>
      </c>
    </row>
    <row r="3118" spans="1:9" x14ac:dyDescent="0.15">
      <c r="A3118" s="9">
        <v>3117</v>
      </c>
      <c r="B3118" s="9" t="s">
        <v>9</v>
      </c>
      <c r="C3118" s="9">
        <v>1927</v>
      </c>
      <c r="D3118" s="10">
        <v>45729</v>
      </c>
      <c r="E3118" s="11" t="str">
        <f>+HYPERLINK("http://trademark.i-assist.jp/data/china/image_1927th/82772818.pdf","82772818")</f>
        <v>82772818</v>
      </c>
      <c r="F3118" s="9" t="s">
        <v>8496</v>
      </c>
      <c r="G3118" s="9" t="s">
        <v>8348</v>
      </c>
      <c r="H3118" s="9" t="s">
        <v>8497</v>
      </c>
      <c r="I3118" s="10">
        <v>45651</v>
      </c>
    </row>
    <row r="3119" spans="1:9" x14ac:dyDescent="0.15">
      <c r="A3119" s="9">
        <v>3118</v>
      </c>
      <c r="B3119" s="9" t="s">
        <v>9</v>
      </c>
      <c r="C3119" s="9">
        <v>1927</v>
      </c>
      <c r="D3119" s="10">
        <v>45729</v>
      </c>
      <c r="E3119" s="11" t="str">
        <f>+HYPERLINK("http://trademark.i-assist.jp/data/china/image_1927th/82773640.pdf","82773640")</f>
        <v>82773640</v>
      </c>
      <c r="F3119" s="9" t="s">
        <v>8498</v>
      </c>
      <c r="G3119" s="9" t="s">
        <v>8356</v>
      </c>
      <c r="H3119" s="9" t="s">
        <v>8499</v>
      </c>
      <c r="I3119" s="10">
        <v>45651</v>
      </c>
    </row>
    <row r="3120" spans="1:9" x14ac:dyDescent="0.15">
      <c r="A3120" s="9">
        <v>3119</v>
      </c>
      <c r="B3120" s="9" t="s">
        <v>9</v>
      </c>
      <c r="C3120" s="9">
        <v>1927</v>
      </c>
      <c r="D3120" s="10">
        <v>45729</v>
      </c>
      <c r="E3120" s="11" t="str">
        <f>+HYPERLINK("http://trademark.i-assist.jp/data/china/image_1927th/82776348.pdf","82776348")</f>
        <v>82776348</v>
      </c>
      <c r="F3120" s="9" t="s">
        <v>8500</v>
      </c>
      <c r="G3120" s="9" t="s">
        <v>8501</v>
      </c>
      <c r="H3120" s="9" t="s">
        <v>8502</v>
      </c>
      <c r="I3120" s="10">
        <v>45652</v>
      </c>
    </row>
    <row r="3121" spans="1:9" x14ac:dyDescent="0.15">
      <c r="A3121" s="9">
        <v>3120</v>
      </c>
      <c r="B3121" s="9" t="s">
        <v>9</v>
      </c>
      <c r="C3121" s="9">
        <v>1927</v>
      </c>
      <c r="D3121" s="10">
        <v>45729</v>
      </c>
      <c r="E3121" s="11" t="str">
        <f>+HYPERLINK("http://trademark.i-assist.jp/data/china/image_1927th/82777204.pdf","82777204")</f>
        <v>82777204</v>
      </c>
      <c r="F3121" s="9" t="s">
        <v>8503</v>
      </c>
      <c r="G3121" s="12" t="s">
        <v>8504</v>
      </c>
      <c r="H3121" s="9" t="s">
        <v>8505</v>
      </c>
      <c r="I3121" s="10">
        <v>45652</v>
      </c>
    </row>
    <row r="3122" spans="1:9" x14ac:dyDescent="0.15">
      <c r="A3122" s="9">
        <v>3121</v>
      </c>
      <c r="B3122" s="9" t="s">
        <v>9</v>
      </c>
      <c r="C3122" s="9">
        <v>1927</v>
      </c>
      <c r="D3122" s="10">
        <v>45729</v>
      </c>
      <c r="E3122" s="11" t="str">
        <f>+HYPERLINK("http://trademark.i-assist.jp/data/china/image_1927th/82779745.pdf","82779745")</f>
        <v>82779745</v>
      </c>
      <c r="F3122" s="9" t="s">
        <v>8506</v>
      </c>
      <c r="G3122" s="9" t="s">
        <v>8507</v>
      </c>
      <c r="H3122" s="9" t="s">
        <v>8508</v>
      </c>
      <c r="I3122" s="10">
        <v>45652</v>
      </c>
    </row>
    <row r="3123" spans="1:9" x14ac:dyDescent="0.15">
      <c r="A3123" s="9">
        <v>3122</v>
      </c>
      <c r="B3123" s="9" t="s">
        <v>9</v>
      </c>
      <c r="C3123" s="9">
        <v>1927</v>
      </c>
      <c r="D3123" s="10">
        <v>45729</v>
      </c>
      <c r="E3123" s="11" t="str">
        <f>+HYPERLINK("http://trademark.i-assist.jp/data/china/image_1927th/82782123.pdf","82782123")</f>
        <v>82782123</v>
      </c>
      <c r="F3123" s="12" t="s">
        <v>8509</v>
      </c>
      <c r="G3123" s="9" t="s">
        <v>8510</v>
      </c>
      <c r="H3123" s="9" t="s">
        <v>8511</v>
      </c>
      <c r="I3123" s="10">
        <v>45652</v>
      </c>
    </row>
    <row r="3124" spans="1:9" x14ac:dyDescent="0.15">
      <c r="A3124" s="9">
        <v>3123</v>
      </c>
      <c r="B3124" s="9" t="s">
        <v>9</v>
      </c>
      <c r="C3124" s="9">
        <v>1927</v>
      </c>
      <c r="D3124" s="10">
        <v>45729</v>
      </c>
      <c r="E3124" s="11" t="str">
        <f>+HYPERLINK("http://trademark.i-assist.jp/data/china/image_1927th/82782959.pdf","82782959")</f>
        <v>82782959</v>
      </c>
      <c r="F3124" s="9" t="s">
        <v>8512</v>
      </c>
      <c r="G3124" s="9" t="s">
        <v>8513</v>
      </c>
      <c r="H3124" s="9" t="s">
        <v>8514</v>
      </c>
      <c r="I3124" s="10">
        <v>45652</v>
      </c>
    </row>
    <row r="3125" spans="1:9" x14ac:dyDescent="0.15">
      <c r="A3125" s="9">
        <v>3124</v>
      </c>
      <c r="B3125" s="9" t="s">
        <v>9</v>
      </c>
      <c r="C3125" s="9">
        <v>1927</v>
      </c>
      <c r="D3125" s="10">
        <v>45729</v>
      </c>
      <c r="E3125" s="11" t="str">
        <f>+HYPERLINK("http://trademark.i-assist.jp/data/china/image_1927th/82782968.pdf","82782968")</f>
        <v>82782968</v>
      </c>
      <c r="F3125" s="9" t="s">
        <v>8515</v>
      </c>
      <c r="G3125" s="9" t="s">
        <v>8513</v>
      </c>
      <c r="H3125" s="9" t="s">
        <v>8516</v>
      </c>
      <c r="I3125" s="10">
        <v>45652</v>
      </c>
    </row>
    <row r="3126" spans="1:9" x14ac:dyDescent="0.15">
      <c r="A3126" s="9">
        <v>3125</v>
      </c>
      <c r="B3126" s="9" t="s">
        <v>9</v>
      </c>
      <c r="C3126" s="9">
        <v>1927</v>
      </c>
      <c r="D3126" s="10">
        <v>45729</v>
      </c>
      <c r="E3126" s="11" t="str">
        <f>+HYPERLINK("http://trademark.i-assist.jp/data/china/image_1927th/82784266.pdf","82784266")</f>
        <v>82784266</v>
      </c>
      <c r="F3126" s="13" t="s">
        <v>8517</v>
      </c>
      <c r="G3126" s="12" t="s">
        <v>8518</v>
      </c>
      <c r="H3126" s="9" t="s">
        <v>8519</v>
      </c>
      <c r="I3126" s="10">
        <v>45652</v>
      </c>
    </row>
    <row r="3127" spans="1:9" x14ac:dyDescent="0.15">
      <c r="A3127" s="9">
        <v>3126</v>
      </c>
      <c r="B3127" s="9" t="s">
        <v>9</v>
      </c>
      <c r="C3127" s="9">
        <v>1927</v>
      </c>
      <c r="D3127" s="10">
        <v>45729</v>
      </c>
      <c r="E3127" s="11" t="str">
        <f>+HYPERLINK("http://trademark.i-assist.jp/data/china/image_1927th/82785034.pdf","82785034")</f>
        <v>82785034</v>
      </c>
      <c r="F3127" s="9" t="s">
        <v>8520</v>
      </c>
      <c r="G3127" s="9" t="s">
        <v>8521</v>
      </c>
      <c r="H3127" s="9" t="s">
        <v>8522</v>
      </c>
      <c r="I3127" s="10">
        <v>45652</v>
      </c>
    </row>
    <row r="3128" spans="1:9" x14ac:dyDescent="0.15">
      <c r="A3128" s="9">
        <v>3127</v>
      </c>
      <c r="B3128" s="9" t="s">
        <v>9</v>
      </c>
      <c r="C3128" s="9">
        <v>1927</v>
      </c>
      <c r="D3128" s="10">
        <v>45729</v>
      </c>
      <c r="E3128" s="11" t="str">
        <f>+HYPERLINK("http://trademark.i-assist.jp/data/china/image_1927th/82786526.pdf","82786526")</f>
        <v>82786526</v>
      </c>
      <c r="F3128" s="9" t="s">
        <v>8523</v>
      </c>
      <c r="G3128" s="9" t="s">
        <v>8524</v>
      </c>
      <c r="H3128" s="9" t="s">
        <v>8525</v>
      </c>
      <c r="I3128" s="10">
        <v>45652</v>
      </c>
    </row>
    <row r="3129" spans="1:9" x14ac:dyDescent="0.15">
      <c r="A3129" s="9">
        <v>3128</v>
      </c>
      <c r="B3129" s="9" t="s">
        <v>9</v>
      </c>
      <c r="C3129" s="9">
        <v>1927</v>
      </c>
      <c r="D3129" s="10">
        <v>45729</v>
      </c>
      <c r="E3129" s="11" t="str">
        <f>+HYPERLINK("http://trademark.i-assist.jp/data/china/image_1927th/82786782.pdf","82786782")</f>
        <v>82786782</v>
      </c>
      <c r="F3129" s="9" t="s">
        <v>8526</v>
      </c>
      <c r="G3129" s="9" t="s">
        <v>8527</v>
      </c>
      <c r="H3129" s="9" t="s">
        <v>8528</v>
      </c>
      <c r="I3129" s="10">
        <v>45652</v>
      </c>
    </row>
    <row r="3130" spans="1:9" x14ac:dyDescent="0.15">
      <c r="A3130" s="9">
        <v>3129</v>
      </c>
      <c r="B3130" s="9" t="s">
        <v>9</v>
      </c>
      <c r="C3130" s="9">
        <v>1927</v>
      </c>
      <c r="D3130" s="10">
        <v>45729</v>
      </c>
      <c r="E3130" s="11" t="str">
        <f>+HYPERLINK("http://trademark.i-assist.jp/data/china/image_1927th/82786844.pdf","82786844")</f>
        <v>82786844</v>
      </c>
      <c r="F3130" s="9" t="s">
        <v>8529</v>
      </c>
      <c r="G3130" s="9" t="s">
        <v>8530</v>
      </c>
      <c r="H3130" s="9" t="s">
        <v>8531</v>
      </c>
      <c r="I3130" s="10">
        <v>45652</v>
      </c>
    </row>
    <row r="3131" spans="1:9" x14ac:dyDescent="0.15">
      <c r="A3131" s="9">
        <v>3130</v>
      </c>
      <c r="B3131" s="9" t="s">
        <v>9</v>
      </c>
      <c r="C3131" s="9">
        <v>1927</v>
      </c>
      <c r="D3131" s="10">
        <v>45729</v>
      </c>
      <c r="E3131" s="11" t="str">
        <f>+HYPERLINK("http://trademark.i-assist.jp/data/china/image_1927th/82787315.pdf","82787315")</f>
        <v>82787315</v>
      </c>
      <c r="F3131" s="12" t="s">
        <v>8532</v>
      </c>
      <c r="G3131" s="9" t="s">
        <v>8533</v>
      </c>
      <c r="H3131" s="9" t="s">
        <v>8534</v>
      </c>
      <c r="I3131" s="10">
        <v>45652</v>
      </c>
    </row>
    <row r="3132" spans="1:9" x14ac:dyDescent="0.15">
      <c r="A3132" s="9">
        <v>3131</v>
      </c>
      <c r="B3132" s="9" t="s">
        <v>9</v>
      </c>
      <c r="C3132" s="9">
        <v>1927</v>
      </c>
      <c r="D3132" s="10">
        <v>45729</v>
      </c>
      <c r="E3132" s="11" t="str">
        <f>+HYPERLINK("http://trademark.i-assist.jp/data/china/image_1927th/82789116.pdf","82789116")</f>
        <v>82789116</v>
      </c>
      <c r="F3132" s="9" t="s">
        <v>8535</v>
      </c>
      <c r="G3132" s="9" t="s">
        <v>8536</v>
      </c>
      <c r="H3132" s="9" t="s">
        <v>8537</v>
      </c>
      <c r="I3132" s="10">
        <v>45652</v>
      </c>
    </row>
    <row r="3133" spans="1:9" x14ac:dyDescent="0.15">
      <c r="A3133" s="9">
        <v>3132</v>
      </c>
      <c r="B3133" s="9" t="s">
        <v>9</v>
      </c>
      <c r="C3133" s="9">
        <v>1927</v>
      </c>
      <c r="D3133" s="10">
        <v>45729</v>
      </c>
      <c r="E3133" s="11" t="str">
        <f>+HYPERLINK("http://trademark.i-assist.jp/data/china/image_1927th/82789845.pdf","82789845")</f>
        <v>82789845</v>
      </c>
      <c r="F3133" s="9" t="s">
        <v>8538</v>
      </c>
      <c r="G3133" s="9" t="s">
        <v>8521</v>
      </c>
      <c r="H3133" s="9" t="s">
        <v>8539</v>
      </c>
      <c r="I3133" s="10">
        <v>45652</v>
      </c>
    </row>
    <row r="3134" spans="1:9" x14ac:dyDescent="0.15">
      <c r="A3134" s="9">
        <v>3133</v>
      </c>
      <c r="B3134" s="9" t="s">
        <v>9</v>
      </c>
      <c r="C3134" s="9">
        <v>1927</v>
      </c>
      <c r="D3134" s="10">
        <v>45729</v>
      </c>
      <c r="E3134" s="11" t="str">
        <f>+HYPERLINK("http://trademark.i-assist.jp/data/china/image_1927th/82790251.pdf","82790251")</f>
        <v>82790251</v>
      </c>
      <c r="F3134" s="9" t="s">
        <v>8540</v>
      </c>
      <c r="G3134" s="9" t="s">
        <v>8541</v>
      </c>
      <c r="H3134" s="9" t="s">
        <v>8542</v>
      </c>
      <c r="I3134" s="10">
        <v>45652</v>
      </c>
    </row>
    <row r="3135" spans="1:9" x14ac:dyDescent="0.15">
      <c r="A3135" s="9">
        <v>3134</v>
      </c>
      <c r="B3135" s="9" t="s">
        <v>9</v>
      </c>
      <c r="C3135" s="9">
        <v>1927</v>
      </c>
      <c r="D3135" s="10">
        <v>45729</v>
      </c>
      <c r="E3135" s="11" t="str">
        <f>+HYPERLINK("http://trademark.i-assist.jp/data/china/image_1927th/82791136.pdf","82791136")</f>
        <v>82791136</v>
      </c>
      <c r="F3135" s="9" t="s">
        <v>8543</v>
      </c>
      <c r="G3135" s="9" t="s">
        <v>8544</v>
      </c>
      <c r="H3135" s="9" t="s">
        <v>8545</v>
      </c>
      <c r="I3135" s="10">
        <v>45652</v>
      </c>
    </row>
    <row r="3136" spans="1:9" x14ac:dyDescent="0.15">
      <c r="A3136" s="9">
        <v>3135</v>
      </c>
      <c r="B3136" s="9" t="s">
        <v>9</v>
      </c>
      <c r="C3136" s="9">
        <v>1927</v>
      </c>
      <c r="D3136" s="10">
        <v>45729</v>
      </c>
      <c r="E3136" s="11" t="str">
        <f>+HYPERLINK("http://trademark.i-assist.jp/data/china/image_1927th/82792500.pdf","82792500")</f>
        <v>82792500</v>
      </c>
      <c r="F3136" s="13" t="s">
        <v>8546</v>
      </c>
      <c r="G3136" s="12" t="s">
        <v>8518</v>
      </c>
      <c r="H3136" s="9" t="s">
        <v>8547</v>
      </c>
      <c r="I3136" s="10">
        <v>45652</v>
      </c>
    </row>
    <row r="3137" spans="1:9" x14ac:dyDescent="0.15">
      <c r="A3137" s="9">
        <v>3136</v>
      </c>
      <c r="B3137" s="9" t="s">
        <v>9</v>
      </c>
      <c r="C3137" s="9">
        <v>1927</v>
      </c>
      <c r="D3137" s="10">
        <v>45729</v>
      </c>
      <c r="E3137" s="11" t="str">
        <f>+HYPERLINK("http://trademark.i-assist.jp/data/china/image_1927th/82798527.pdf","82798527")</f>
        <v>82798527</v>
      </c>
      <c r="F3137" s="9" t="s">
        <v>8548</v>
      </c>
      <c r="G3137" s="9" t="s">
        <v>8513</v>
      </c>
      <c r="H3137" s="9" t="s">
        <v>8549</v>
      </c>
      <c r="I3137" s="10">
        <v>45652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1927th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2025-04-07T01:14:29Z</dcterms:modified>
</cp:coreProperties>
</file>