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26\"/>
    </mc:Choice>
  </mc:AlternateContent>
  <xr:revisionPtr revIDLastSave="0" documentId="13_ncr:1_{D59CCA0D-0BD7-4401-B20B-FA47580A2C6C}" xr6:coauthVersionLast="47" xr6:coauthVersionMax="47" xr10:uidLastSave="{00000000-0000-0000-0000-000000000000}"/>
  <bookViews>
    <workbookView xWindow="8445" yWindow="810" windowWidth="22380" windowHeight="13230" xr2:uid="{00000000-000D-0000-FFFF-FFFF00000000}"/>
  </bookViews>
  <sheets>
    <sheet name="1926th" sheetId="2" r:id="rId1"/>
  </sheets>
  <definedNames>
    <definedName name="_xlnm._FilterDatabase" localSheetId="0" hidden="1">'1926th'!$A$1:$I$1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48" i="2" l="1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7" i="2"/>
  <c r="E2826" i="2"/>
  <c r="E2825" i="2"/>
  <c r="E2824" i="2"/>
  <c r="E2823" i="2"/>
  <c r="E2822" i="2"/>
  <c r="E2821" i="2"/>
  <c r="E2820" i="2"/>
  <c r="E2819" i="2"/>
  <c r="E2818" i="2"/>
  <c r="E2817" i="2"/>
  <c r="E2816" i="2"/>
  <c r="E2815" i="2"/>
  <c r="E2814" i="2"/>
  <c r="E2813" i="2"/>
  <c r="E2812" i="2"/>
  <c r="E2811" i="2"/>
  <c r="E2810" i="2"/>
  <c r="E2809" i="2"/>
  <c r="E2808" i="2"/>
  <c r="E2807" i="2"/>
  <c r="E2806" i="2"/>
  <c r="E2805" i="2"/>
  <c r="E2804" i="2"/>
  <c r="E2803" i="2"/>
  <c r="E2802" i="2"/>
  <c r="E2801" i="2"/>
  <c r="E2800" i="2"/>
  <c r="E2799" i="2"/>
  <c r="E2798" i="2"/>
  <c r="E2797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<sst xmlns="http://schemas.openxmlformats.org/spreadsheetml/2006/main" count="11395" uniqueCount="7784">
  <si>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</si>
  <si>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</si>
  <si>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</si>
  <si>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</si>
  <si>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</si>
  <si>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</si>
  <si>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</si>
  <si>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</si>
  <si>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</si>
  <si>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</si>
  <si>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白酒</t>
  </si>
  <si>
    <t>卢莹</t>
  </si>
  <si>
    <t>酒鬼酒股份有限公司</t>
  </si>
  <si>
    <t>曾建国</t>
  </si>
  <si>
    <t>王利祥</t>
  </si>
  <si>
    <t>邱邱</t>
  </si>
  <si>
    <t>何航</t>
  </si>
  <si>
    <t>周淑先</t>
  </si>
  <si>
    <t>王越琨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</si>
  <si>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</si>
  <si>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</si>
  <si>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</si>
  <si>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金奎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</si>
  <si>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酒厂</t>
    </r>
  </si>
  <si>
    <t>阿蒂米斯品牌管理有限公司</t>
  </si>
  <si>
    <r>
      <t>北京亦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</si>
  <si>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</si>
  <si>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）生</t>
    </r>
    <r>
      <rPr>
        <sz val="11"/>
        <color theme="1"/>
        <rFont val="ＭＳ Ｐゴシック"/>
        <family val="3"/>
        <charset val="134"/>
        <scheme val="minor"/>
      </rPr>
      <t>态农业产业发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</si>
  <si>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</si>
  <si>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酒仙控股集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</si>
  <si>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园礼</t>
  </si>
  <si>
    <t>礼德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</si>
  <si>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州礼德酒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</si>
  <si>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市好敬吧酒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</si>
  <si>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</si>
  <si>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潘志兵</t>
  </si>
  <si>
    <r>
      <t>张</t>
    </r>
    <r>
      <rPr>
        <sz val="11"/>
        <color theme="1"/>
        <rFont val="ＭＳ Ｐゴシック"/>
        <family val="3"/>
        <charset val="128"/>
        <scheme val="minor"/>
      </rPr>
      <t>雅娟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</si>
  <si>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九品牌管理有限公司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</si>
  <si>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</si>
  <si>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河南拾美餐旅文化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</si>
  <si>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许进</t>
    </r>
    <r>
      <rPr>
        <sz val="11"/>
        <color theme="1"/>
        <rFont val="ＭＳ Ｐゴシック"/>
        <family val="3"/>
        <charset val="128"/>
        <scheme val="minor"/>
      </rPr>
      <t>禄</t>
    </r>
  </si>
  <si>
    <r>
      <t>刘明</t>
    </r>
    <r>
      <rPr>
        <sz val="11"/>
        <color theme="1"/>
        <rFont val="ＭＳ Ｐゴシック"/>
        <family val="3"/>
        <charset val="134"/>
        <scheme val="minor"/>
      </rPr>
      <t>辉</t>
    </r>
  </si>
  <si>
    <t>王朴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</si>
  <si>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瓶子星球酒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</si>
  <si>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胡利勤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</si>
  <si>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宾邓</t>
    </r>
    <r>
      <rPr>
        <sz val="11"/>
        <color theme="1"/>
        <rFont val="ＭＳ Ｐゴシック"/>
        <family val="3"/>
        <charset val="128"/>
        <scheme val="minor"/>
      </rPr>
      <t>祖企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</si>
  <si>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荐山企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</si>
  <si>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省汶上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古中都酒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</si>
  <si>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</si>
  <si>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</si>
  <si>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庄臣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酒（福建）有限公司</t>
    </r>
  </si>
  <si>
    <t>蒋柱青</t>
  </si>
  <si>
    <r>
      <t>中枢</t>
    </r>
    <r>
      <rPr>
        <sz val="11"/>
        <color theme="1"/>
        <rFont val="ＭＳ Ｐゴシック"/>
        <family val="3"/>
        <charset val="134"/>
        <scheme val="minor"/>
      </rPr>
      <t>农业产业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</si>
  <si>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须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</si>
  <si>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冯辉</t>
  </si>
  <si>
    <r>
      <t>浙江衍界商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</si>
  <si>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世玲正衡酒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</si>
  <si>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李江</t>
  </si>
  <si>
    <r>
      <t>云南金六福投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</si>
  <si>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欧法（厦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</si>
  <si>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李才波</t>
  </si>
  <si>
    <r>
      <t>四川邛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金六福崖谷生</t>
    </r>
    <r>
      <rPr>
        <sz val="11"/>
        <color theme="1"/>
        <rFont val="ＭＳ Ｐゴシック"/>
        <family val="3"/>
        <charset val="134"/>
        <scheme val="minor"/>
      </rPr>
      <t>态酿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</si>
  <si>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县长</t>
    </r>
    <r>
      <rPr>
        <sz val="11"/>
        <color theme="1"/>
        <rFont val="ＭＳ Ｐゴシック"/>
        <family val="3"/>
        <charset val="128"/>
        <scheme val="minor"/>
      </rPr>
      <t>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</si>
  <si>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</si>
  <si>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</si>
  <si>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自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泉丰商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</si>
  <si>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胡芳芳</t>
  </si>
  <si>
    <r>
      <t>四川老灶酒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</si>
  <si>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山昆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</si>
  <si>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深圳市一日之晨科技有限公司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</si>
  <si>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晓语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</si>
  <si>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胡粤浪</t>
  </si>
  <si>
    <t>朔狩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</si>
  <si>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联链时</t>
    </r>
    <r>
      <rPr>
        <sz val="11"/>
        <color theme="1"/>
        <rFont val="ＭＳ Ｐゴシック"/>
        <family val="3"/>
        <charset val="128"/>
        <scheme val="minor"/>
      </rPr>
      <t>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</si>
  <si>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王振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</si>
  <si>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</si>
  <si>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世平</t>
    </r>
  </si>
  <si>
    <t>林坤生</t>
  </si>
  <si>
    <r>
      <t>张</t>
    </r>
    <r>
      <rPr>
        <sz val="11"/>
        <color theme="1"/>
        <rFont val="ＭＳ Ｐゴシック"/>
        <family val="3"/>
        <charset val="128"/>
        <scheme val="minor"/>
      </rPr>
      <t>雨</t>
    </r>
  </si>
  <si>
    <t>伍宏黎</t>
  </si>
  <si>
    <t>江婷婷</t>
  </si>
  <si>
    <r>
      <t>郑</t>
    </r>
    <r>
      <rPr>
        <sz val="11"/>
        <color theme="1"/>
        <rFont val="ＭＳ Ｐゴシック"/>
        <family val="3"/>
        <charset val="128"/>
        <scheme val="minor"/>
      </rPr>
      <t>磊磊</t>
    </r>
  </si>
  <si>
    <r>
      <t>天津立达成物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</si>
  <si>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包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岚创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</si>
  <si>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容企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</si>
  <si>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卜清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</si>
  <si>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召</t>
    </r>
  </si>
  <si>
    <t>张帅鹏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</si>
  <si>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美地物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</si>
  <si>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广州喝喝洛喝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</si>
  <si>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江西李渡酒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</si>
  <si>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</si>
  <si>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李佳佳</t>
  </si>
  <si>
    <r>
      <t>北京中悦久品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</si>
  <si>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北京十方界酒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</si>
  <si>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于洪涛</t>
  </si>
  <si>
    <r>
      <t>河北回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</si>
  <si>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刘洋</t>
  </si>
  <si>
    <r>
      <t>上海米澳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</si>
  <si>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胡友生</t>
  </si>
  <si>
    <r>
      <t>广州炳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零部件有限公司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</si>
  <si>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州同恒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</si>
  <si>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</si>
  <si>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州境水品牌运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</si>
  <si>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时间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</si>
  <si>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平阳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名</t>
    </r>
    <r>
      <rPr>
        <sz val="11"/>
        <color theme="1"/>
        <rFont val="ＭＳ Ｐゴシック"/>
        <family val="3"/>
        <charset val="134"/>
        <scheme val="minor"/>
      </rPr>
      <t>轮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</si>
  <si>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袁</t>
    </r>
    <r>
      <rPr>
        <sz val="11"/>
        <color theme="1"/>
        <rFont val="ＭＳ Ｐゴシック"/>
        <family val="3"/>
        <charset val="134"/>
        <scheme val="minor"/>
      </rPr>
      <t>细华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</si>
  <si>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俊霞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</si>
  <si>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广堂</t>
    </r>
  </si>
  <si>
    <t>杜春燕</t>
  </si>
  <si>
    <r>
      <t>杭州文商酒客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</si>
  <si>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</si>
  <si>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</si>
  <si>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香港</t>
    </r>
    <r>
      <rPr>
        <sz val="11"/>
        <color theme="1"/>
        <rFont val="ＭＳ Ｐゴシック"/>
        <family val="3"/>
        <charset val="134"/>
        <scheme val="minor"/>
      </rPr>
      <t>电视</t>
    </r>
    <r>
      <rPr>
        <sz val="11"/>
        <color theme="1"/>
        <rFont val="ＭＳ Ｐゴシック"/>
        <family val="3"/>
        <charset val="128"/>
        <scheme val="minor"/>
      </rPr>
      <t>台有限公司</t>
    </r>
  </si>
  <si>
    <t>中鹿生物（吉林）有限公司</t>
  </si>
  <si>
    <r>
      <t>桐</t>
    </r>
    <r>
      <rPr>
        <sz val="11"/>
        <color theme="1"/>
        <rFont val="ＭＳ Ｐゴシック"/>
        <family val="3"/>
        <charset val="134"/>
        <scheme val="minor"/>
      </rPr>
      <t>乡汇</t>
    </r>
    <r>
      <rPr>
        <sz val="11"/>
        <color theme="1"/>
        <rFont val="ＭＳ Ｐゴシック"/>
        <family val="3"/>
        <charset val="128"/>
        <scheme val="minor"/>
      </rPr>
      <t>邦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</si>
  <si>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紫椹生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庄园有限公司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</si>
  <si>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贵华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</si>
  <si>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</si>
  <si>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峰</t>
    </r>
  </si>
  <si>
    <t>王自升</t>
  </si>
  <si>
    <r>
      <t>北京盈夜商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</si>
  <si>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华键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</si>
  <si>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关穗</t>
    </r>
    <r>
      <rPr>
        <sz val="11"/>
        <color theme="1"/>
        <rFont val="ＭＳ Ｐゴシック"/>
        <family val="3"/>
        <charset val="134"/>
        <scheme val="minor"/>
      </rPr>
      <t>锦农业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</si>
  <si>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泰安中玖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</si>
  <si>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小康科技有限公司</t>
    </r>
  </si>
  <si>
    <r>
      <t>北京善品乾坤</t>
    </r>
    <r>
      <rPr>
        <sz val="11"/>
        <color theme="1"/>
        <rFont val="ＭＳ Ｐゴシック"/>
        <family val="3"/>
        <charset val="134"/>
        <scheme val="minor"/>
      </rPr>
      <t>图书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</si>
  <si>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漳州天品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</si>
  <si>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t>姚玉珍</t>
  </si>
  <si>
    <t>付文波</t>
  </si>
  <si>
    <r>
      <t>徐州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</si>
  <si>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</si>
  <si>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谭乐</t>
    </r>
    <r>
      <rPr>
        <sz val="11"/>
        <color theme="1"/>
        <rFont val="ＭＳ Ｐゴシック"/>
        <family val="3"/>
        <charset val="128"/>
        <scheme val="minor"/>
      </rPr>
      <t>怡</t>
    </r>
  </si>
  <si>
    <t>阮志林</t>
  </si>
  <si>
    <t>何芮思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</si>
  <si>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佳合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</si>
  <si>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艾国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</si>
  <si>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周口百斯特威酒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</si>
  <si>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曾奇英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</si>
  <si>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义酱</t>
    </r>
    <r>
      <rPr>
        <sz val="11"/>
        <color theme="1"/>
        <rFont val="ＭＳ Ｐゴシック"/>
        <family val="3"/>
        <charset val="128"/>
        <scheme val="minor"/>
      </rPr>
      <t>富酒坊有限公司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</si>
  <si>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寰憬融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</si>
  <si>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李善平</t>
  </si>
  <si>
    <r>
      <t>刘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</si>
  <si>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李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</si>
  <si>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湾智谷科技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(南阳)有限公司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</si>
  <si>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</si>
  <si>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州百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</si>
  <si>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四川三江源酒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</si>
  <si>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云南木心葡萄酒有限公司</t>
  </si>
  <si>
    <r>
      <t>邓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29"/>
        <scheme val="minor"/>
      </rPr>
      <t>孬</t>
    </r>
  </si>
  <si>
    <r>
      <t>北京博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众智信息科技有限公司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</si>
  <si>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州紫砂泥酒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</si>
  <si>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伟</t>
    </r>
  </si>
  <si>
    <t>李茂坤</t>
  </si>
  <si>
    <t>郭立娜</t>
  </si>
  <si>
    <r>
      <t>肖</t>
    </r>
    <r>
      <rPr>
        <sz val="11"/>
        <color theme="1"/>
        <rFont val="ＭＳ Ｐゴシック"/>
        <family val="3"/>
        <charset val="134"/>
        <scheme val="minor"/>
      </rPr>
      <t>贤凯</t>
    </r>
  </si>
  <si>
    <r>
      <t>公</t>
    </r>
    <r>
      <rPr>
        <sz val="11"/>
        <color theme="1"/>
        <rFont val="ＭＳ Ｐゴシック"/>
        <family val="3"/>
        <charset val="134"/>
        <scheme val="minor"/>
      </rPr>
      <t>栋</t>
    </r>
    <r>
      <rPr>
        <sz val="11"/>
        <color theme="1"/>
        <rFont val="ＭＳ Ｐゴシック"/>
        <family val="3"/>
        <charset val="128"/>
        <scheme val="minor"/>
      </rPr>
      <t>梁</t>
    </r>
  </si>
  <si>
    <t>黄明慧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</si>
  <si>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能供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</si>
  <si>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</si>
  <si>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庆忆</t>
    </r>
    <r>
      <rPr>
        <sz val="11"/>
        <color theme="1"/>
        <rFont val="ＭＳ Ｐゴシック"/>
        <family val="3"/>
        <charset val="128"/>
        <scheme val="minor"/>
      </rPr>
      <t>酒醉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</si>
  <si>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刘站芳</t>
  </si>
  <si>
    <r>
      <t>梁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</si>
  <si>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湖北桂花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代高新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</si>
  <si>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WINDMILL SHURY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</si>
  <si>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震洲五醍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</si>
  <si>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</si>
  <si>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体健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</si>
  <si>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</si>
  <si>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霞</t>
    </r>
  </si>
  <si>
    <t>李利斌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</si>
  <si>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江三特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服装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</si>
  <si>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鞍山市皖</t>
    </r>
    <r>
      <rPr>
        <sz val="11"/>
        <color theme="1"/>
        <rFont val="ＭＳ Ｐゴシック"/>
        <family val="3"/>
        <charset val="134"/>
        <scheme val="minor"/>
      </rPr>
      <t>蒌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</si>
  <si>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杜家</t>
    </r>
    <r>
      <rPr>
        <sz val="11"/>
        <color theme="1"/>
        <rFont val="ＭＳ Ｐゴシック"/>
        <family val="3"/>
        <charset val="134"/>
        <scheme val="minor"/>
      </rPr>
      <t>辉</t>
    </r>
  </si>
  <si>
    <t>王勇</t>
  </si>
  <si>
    <r>
      <t>里巴斯和阿</t>
    </r>
    <r>
      <rPr>
        <sz val="11"/>
        <color theme="1"/>
        <rFont val="ＭＳ Ｐゴシック"/>
        <family val="3"/>
        <charset val="134"/>
        <scheme val="minor"/>
      </rPr>
      <t>让</t>
    </r>
    <r>
      <rPr>
        <sz val="11"/>
        <color theme="1"/>
        <rFont val="ＭＳ Ｐゴシック"/>
        <family val="3"/>
        <charset val="128"/>
        <scheme val="minor"/>
      </rPr>
      <t>堤耶</t>
    </r>
    <r>
      <rPr>
        <sz val="11"/>
        <color theme="1"/>
        <rFont val="ＭＳ Ｐゴシック"/>
        <family val="3"/>
        <charset val="134"/>
        <scheme val="minor"/>
      </rPr>
      <t>农业联</t>
    </r>
    <r>
      <rPr>
        <sz val="11"/>
        <color theme="1"/>
        <rFont val="ＭＳ Ｐゴシック"/>
        <family val="3"/>
        <charset val="128"/>
        <scheme val="minor"/>
      </rPr>
      <t>合公司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</si>
  <si>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</si>
  <si>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渠粮酒供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</si>
  <si>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于古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</si>
  <si>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奥</t>
    </r>
    <r>
      <rPr>
        <sz val="11"/>
        <color theme="1"/>
        <rFont val="ＭＳ Ｐゴシック"/>
        <family val="3"/>
        <charset val="134"/>
        <scheme val="minor"/>
      </rPr>
      <t>扬传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</si>
  <si>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河源市万</t>
    </r>
    <r>
      <rPr>
        <sz val="11"/>
        <color theme="1"/>
        <rFont val="ＭＳ Ｐゴシック"/>
        <family val="3"/>
        <charset val="134"/>
        <scheme val="minor"/>
      </rPr>
      <t>绿农</t>
    </r>
    <r>
      <rPr>
        <sz val="11"/>
        <color theme="1"/>
        <rFont val="ＭＳ Ｐゴシック"/>
        <family val="3"/>
        <charset val="128"/>
        <scheme val="minor"/>
      </rPr>
      <t>夫食品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</si>
  <si>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福歌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地空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科技（重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</si>
  <si>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河南射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</si>
  <si>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眉山市正好醇酒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</si>
  <si>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廷酒厂</t>
    </r>
  </si>
  <si>
    <r>
      <t>策略工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</si>
  <si>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西屋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气制造有限公司（</t>
    </r>
    <r>
      <rPr>
        <sz val="11"/>
        <color theme="1"/>
        <rFont val="ＭＳ Ｐゴシック"/>
        <family val="3"/>
        <charset val="134"/>
        <scheme val="minor"/>
      </rPr>
      <t>营业</t>
    </r>
    <r>
      <rPr>
        <sz val="11"/>
        <color theme="1"/>
        <rFont val="ＭＳ Ｐゴシック"/>
        <family val="3"/>
        <charset val="128"/>
        <scheme val="minor"/>
      </rPr>
      <t>名称：西屋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气公司）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</si>
  <si>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宗平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</si>
  <si>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肃鹑</t>
    </r>
    <r>
      <rPr>
        <sz val="11"/>
        <color theme="1"/>
        <rFont val="ＭＳ Ｐゴシック"/>
        <family val="3"/>
        <charset val="128"/>
        <scheme val="minor"/>
      </rPr>
      <t>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</si>
  <si>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郭建</t>
    </r>
    <r>
      <rPr>
        <sz val="11"/>
        <color theme="1"/>
        <rFont val="ＭＳ Ｐゴシック"/>
        <family val="3"/>
        <charset val="134"/>
        <scheme val="minor"/>
      </rPr>
      <t>华</t>
    </r>
  </si>
  <si>
    <t>FEHG</t>
  </si>
  <si>
    <r>
      <t>远东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</si>
  <si>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朝英</t>
    </r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</si>
  <si>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盛德商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</si>
  <si>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石台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仙寓茗山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</si>
  <si>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李康康</t>
  </si>
  <si>
    <r>
      <t>乐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（北京）健康科技有限公司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</si>
  <si>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春升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</si>
  <si>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山市新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杨枫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</si>
  <si>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营军</t>
    </r>
  </si>
  <si>
    <r>
      <t>李明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</si>
  <si>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黄酒集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</si>
  <si>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上海境舒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</si>
  <si>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</si>
  <si>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圣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</si>
  <si>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赛诺</t>
    </r>
    <r>
      <rPr>
        <sz val="11"/>
        <color theme="1"/>
        <rFont val="ＭＳ Ｐゴシック"/>
        <family val="3"/>
        <charset val="128"/>
        <scheme val="minor"/>
      </rPr>
      <t>美焱科技有限公司</t>
    </r>
  </si>
  <si>
    <t>朱超群</t>
  </si>
  <si>
    <r>
      <t>杨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</si>
  <si>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豪园酒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</si>
  <si>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慧芬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</si>
  <si>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</si>
  <si>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香河</t>
    </r>
    <r>
      <rPr>
        <sz val="11"/>
        <color theme="1"/>
        <rFont val="ＭＳ Ｐゴシック"/>
        <family val="3"/>
        <charset val="134"/>
        <scheme val="minor"/>
      </rPr>
      <t>锦阔软</t>
    </r>
    <r>
      <rPr>
        <sz val="11"/>
        <color theme="1"/>
        <rFont val="ＭＳ Ｐゴシック"/>
        <family val="3"/>
        <charset val="128"/>
        <scheme val="minor"/>
      </rPr>
      <t>件开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</si>
  <si>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t>祝金彬</t>
  </si>
  <si>
    <r>
      <t>金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南 一品天下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</si>
  <si>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南春酒厂有限公司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</si>
  <si>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</si>
  <si>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 xml:space="preserve"> 一品天下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</si>
  <si>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</si>
  <si>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忍</t>
  </si>
  <si>
    <r>
      <t>华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</si>
  <si>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黄酒; 白酒;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</si>
  <si>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t>皇尚清</t>
  </si>
  <si>
    <r>
      <t>华</t>
    </r>
    <r>
      <rPr>
        <sz val="11"/>
        <color theme="1"/>
        <rFont val="ＭＳ Ｐゴシック"/>
        <family val="3"/>
        <charset val="128"/>
        <scheme val="minor"/>
      </rPr>
      <t>容区皇尚服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</si>
  <si>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</si>
  <si>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酒匠</t>
    </r>
  </si>
  <si>
    <r>
      <t>果酒（含酒精）;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</si>
  <si>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参</t>
    </r>
  </si>
  <si>
    <t>成都大公羊科技有限公司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</si>
  <si>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白酒; 食用酒精;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蜂蜜酒</t>
    </r>
  </si>
  <si>
    <t>范仲淹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</si>
  <si>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国井控股集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</si>
  <si>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黄酒;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</si>
  <si>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莫府酒</t>
  </si>
  <si>
    <r>
      <t>广西南丹莫老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</si>
  <si>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</si>
  <si>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高大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</si>
  <si>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南京高大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</si>
  <si>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白酒; 混合威士忌酒;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</si>
  <si>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曾子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</si>
  <si>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北京曾子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</si>
  <si>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白酒; 青稞酒; 开胃酒; 苹果酒;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</si>
  <si>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福掌柜</t>
  </si>
  <si>
    <r>
      <t>北京秦煌</t>
    </r>
    <r>
      <rPr>
        <sz val="11"/>
        <color theme="1"/>
        <rFont val="ＭＳ Ｐゴシック"/>
        <family val="3"/>
        <charset val="134"/>
        <scheme val="minor"/>
      </rPr>
      <t>伟业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</si>
  <si>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</si>
  <si>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大内</t>
  </si>
  <si>
    <t>中特国招（北京）酒水配送中心</t>
  </si>
  <si>
    <r>
      <t>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甜酒; 食用酒精</t>
    </r>
  </si>
  <si>
    <t>十号屯</t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</si>
  <si>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市育民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丰富机械种植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</si>
  <si>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甜果酒; 甜酒; 葡萄酒; 白酒;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</si>
  <si>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青稞酒; 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</si>
  <si>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谷子里</t>
  </si>
  <si>
    <r>
      <t>张丽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</si>
  <si>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</si>
  <si>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 xml:space="preserve"> DONGJIANGJIU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</si>
  <si>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</si>
  <si>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</si>
  <si>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天之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</si>
  <si>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宁天之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</si>
  <si>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利口酒</t>
    </r>
  </si>
  <si>
    <t>皇城河</t>
  </si>
  <si>
    <t>李建国</t>
  </si>
  <si>
    <r>
      <t>青稞酒; 黄酒; 果酒（含酒精）;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</si>
  <si>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鹰</t>
    </r>
    <r>
      <rPr>
        <sz val="11"/>
        <color theme="1"/>
        <rFont val="ＭＳ Ｐゴシック"/>
        <family val="3"/>
        <charset val="128"/>
        <scheme val="minor"/>
      </rPr>
      <t>城王子酒</t>
    </r>
  </si>
  <si>
    <r>
      <t>河南少康控股集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</si>
  <si>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</si>
  <si>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弥</t>
  </si>
  <si>
    <t>南峰工程有限公司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</si>
  <si>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</si>
  <si>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t>情景酒 遵30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</si>
  <si>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</si>
  <si>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</si>
  <si>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江之星</t>
    </r>
  </si>
  <si>
    <r>
      <t>湖北李河酒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</si>
  <si>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高粱酒; 黄酒;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</t>
    </r>
  </si>
  <si>
    <t>辰酉</t>
  </si>
  <si>
    <r>
      <t>李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</si>
  <si>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威士忌; 黄酒; 开胃酒; 米酒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</si>
  <si>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衍信息科技有限公司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</si>
  <si>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</si>
  <si>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</si>
  <si>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桃花江</t>
  </si>
  <si>
    <r>
      <t>湖南福园花卉苗木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</si>
  <si>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梅酒;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</si>
  <si>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水花公子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</si>
  <si>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和荣酒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</si>
  <si>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汽酒;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</si>
  <si>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魔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</si>
  <si>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裕葡萄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</si>
  <si>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</si>
  <si>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</si>
  <si>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茅源酒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</si>
  <si>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汽酒; 葡萄酒; 米酒;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</si>
  <si>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V32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</si>
  <si>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吉阳汪源莱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</si>
  <si>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</si>
  <si>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黔将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</si>
  <si>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葡萄酒</t>
    </r>
  </si>
  <si>
    <t>九州盛典</t>
  </si>
  <si>
    <r>
      <t>白干酒（中国白酒）;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</si>
  <si>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谷匠</t>
  </si>
  <si>
    <r>
      <t>泉州市洛江区双阳水良吉商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</si>
  <si>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奶油利口酒; 青梅酒; 米酒; 白酒; 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葡萄酒; 黄酒; 开胃酒</t>
    </r>
  </si>
  <si>
    <t>LAYLA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</si>
  <si>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漫</t>
    </r>
    <r>
      <rPr>
        <sz val="11"/>
        <color theme="1"/>
        <rFont val="ＭＳ Ｐゴシック"/>
        <family val="3"/>
        <charset val="134"/>
        <scheme val="minor"/>
      </rPr>
      <t>乐鲜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</si>
  <si>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</si>
  <si>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亨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</si>
  <si>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亨食品股份有限公司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</si>
  <si>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</si>
  <si>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丙乾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</si>
  <si>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河南乾之坊酒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</si>
  <si>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</si>
  <si>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GATOR 嘉多</t>
    </r>
    <r>
      <rPr>
        <sz val="11"/>
        <color theme="1"/>
        <rFont val="ＭＳ Ｐゴシック"/>
        <family val="3"/>
        <charset val="134"/>
        <scheme val="minor"/>
      </rPr>
      <t>尔</t>
    </r>
  </si>
  <si>
    <t>洪志明</t>
  </si>
  <si>
    <r>
      <t xml:space="preserve">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</si>
  <si>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CARTAVIO</t>
  </si>
  <si>
    <r>
      <t>伊比利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-美洲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</si>
  <si>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利口酒;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</si>
  <si>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</si>
  <si>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</si>
  <si>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</si>
  <si>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蒲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</si>
  <si>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州巴蜀液酒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</si>
  <si>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</si>
  <si>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府家宴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</si>
  <si>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金涛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</si>
  <si>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甜酒; 葡萄酒</t>
    </r>
  </si>
  <si>
    <t>金粱台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</si>
  <si>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高粱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</si>
  <si>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高粱酒; 开胃酒; 黄酒;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甜酒</t>
    </r>
  </si>
  <si>
    <t>金力养元酒</t>
  </si>
  <si>
    <r>
      <t>上海卓众金力酒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</si>
  <si>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</si>
  <si>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石家庄市永</t>
    </r>
    <r>
      <rPr>
        <sz val="11"/>
        <color theme="1"/>
        <rFont val="ＭＳ Ｐゴシック"/>
        <family val="3"/>
        <charset val="134"/>
        <scheme val="minor"/>
      </rPr>
      <t>腾鸿镁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</si>
  <si>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汽酒; 食用酒精; 葡萄酒; 朗姆酒;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</si>
  <si>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江小白</t>
  </si>
  <si>
    <r>
      <t>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</si>
  <si>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合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</si>
  <si>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必得信息科技（上海）有限公司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</si>
  <si>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黄酒; 白酒; 果酒（含酒精）;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</si>
  <si>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伊圣</t>
  </si>
  <si>
    <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</si>
  <si>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清酒（日本米酒）; 米酒; 青稞酒; 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</si>
  <si>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雅印</t>
  </si>
  <si>
    <r>
      <t>圣堡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</si>
  <si>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利口酒;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</si>
  <si>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真</t>
    </r>
  </si>
  <si>
    <t>叶慧慧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</si>
  <si>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</si>
  <si>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石州宴</t>
  </si>
  <si>
    <r>
      <t>吕</t>
    </r>
    <r>
      <rPr>
        <sz val="11"/>
        <color theme="1"/>
        <rFont val="ＭＳ Ｐゴシック"/>
        <family val="3"/>
        <charset val="128"/>
        <scheme val="minor"/>
      </rPr>
      <t>梁市离石区聚脉源烟酒行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</si>
  <si>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黄酒; 开胃酒</t>
    </r>
  </si>
  <si>
    <t>5 J</t>
  </si>
  <si>
    <r>
      <t>桑切斯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梅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卡瓦哈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哈布哥股份有限公司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</si>
  <si>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梨酒; 开胃酒; 杜松子酒; 威士忌; 苦味酒; 朗姆酒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</si>
  <si>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陵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</si>
  <si>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粒食品有限公司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</si>
  <si>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威士忌</t>
    </r>
  </si>
  <si>
    <t>招商局慈善基金会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</si>
  <si>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白酒; 黄酒; 威士忌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</si>
  <si>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运</t>
    </r>
  </si>
  <si>
    <t>田琴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</si>
  <si>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烈酒</t>
    </r>
  </si>
  <si>
    <t>阿斯卡奈利</t>
  </si>
  <si>
    <r>
      <t>奇哈伊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·戈</t>
    </r>
    <r>
      <rPr>
        <sz val="11"/>
        <color theme="1"/>
        <rFont val="ＭＳ Ｐゴシック"/>
        <family val="3"/>
        <charset val="129"/>
        <scheme val="minor"/>
      </rPr>
      <t>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</si>
  <si>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</si>
  <si>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 酒 楼万里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</si>
  <si>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</si>
  <si>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黄酒; 果酒（含酒精）; 蒸煮提取物（利口酒和烈酒）; 开胃酒; 米酒;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</si>
  <si>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猛丁 MADTING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</si>
  <si>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</si>
  <si>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</si>
  <si>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>武夷山市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荣百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</si>
  <si>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葡萄酒; 黄酒; 威士忌; 米酒;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</si>
  <si>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</si>
  <si>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</si>
  <si>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龙仓</t>
    </r>
  </si>
  <si>
    <r>
      <t>雅格斯丹集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</si>
  <si>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威士忌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</si>
  <si>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</si>
  <si>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里阡陌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</si>
  <si>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东诗</t>
    </r>
    <r>
      <rPr>
        <sz val="11"/>
        <color theme="1"/>
        <rFont val="ＭＳ Ｐゴシック"/>
        <family val="3"/>
        <charset val="128"/>
        <scheme val="minor"/>
      </rPr>
      <t>里阡陌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</si>
  <si>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餐后酒（利口酒和烈酒）;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白酒</t>
    </r>
  </si>
  <si>
    <r>
      <t>舍得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谢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</si>
  <si>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食用酒精; 果酒（含酒精）; 蒸煮提取物（利口酒和烈酒）;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</si>
  <si>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谢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</si>
  <si>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果酒（含酒精）;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蒸煮提取物（利口酒和烈酒）;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</si>
  <si>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玖遵玉液</t>
  </si>
  <si>
    <r>
      <t>河南省久安通交通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施有限公司</t>
    </r>
  </si>
  <si>
    <r>
      <t>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白酒; 甜果酒;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</si>
  <si>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楼梦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</si>
  <si>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古窖酒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</si>
  <si>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食用酒精</t>
    </r>
  </si>
  <si>
    <r>
      <t>帝王</t>
    </r>
    <r>
      <rPr>
        <sz val="11"/>
        <color theme="1"/>
        <rFont val="ＭＳ Ｐゴシック"/>
        <family val="3"/>
        <charset val="129"/>
        <scheme val="minor"/>
      </rPr>
      <t>胜</t>
    </r>
  </si>
  <si>
    <t>郑丽华</t>
  </si>
  <si>
    <r>
      <t xml:space="preserve">果酒（含酒精）; 食用酒精;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</si>
  <si>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滩桥</t>
    </r>
  </si>
  <si>
    <r>
      <t>黄玉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</si>
  <si>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</si>
  <si>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t>金夫人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</si>
  <si>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金夫人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</si>
  <si>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</si>
  <si>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阔</t>
    </r>
    <r>
      <rPr>
        <sz val="11"/>
        <color theme="1"/>
        <rFont val="ＭＳ Ｐゴシック"/>
        <family val="3"/>
        <charset val="128"/>
        <scheme val="minor"/>
      </rPr>
      <t>洽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</si>
  <si>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阔</t>
    </r>
    <r>
      <rPr>
        <sz val="11"/>
        <color theme="1"/>
        <rFont val="ＭＳ Ｐゴシック"/>
        <family val="3"/>
        <charset val="128"/>
        <scheme val="minor"/>
      </rPr>
      <t>恰文化科技有限公司</t>
    </r>
  </si>
  <si>
    <r>
      <t>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</si>
  <si>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炬量</t>
  </si>
  <si>
    <r>
      <t>北京巨量引擎网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</si>
  <si>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</si>
  <si>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沟瓷瓶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</si>
  <si>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苏汤</t>
    </r>
    <r>
      <rPr>
        <sz val="11"/>
        <color theme="1"/>
        <rFont val="ＭＳ Ｐゴシック"/>
        <family val="3"/>
        <charset val="128"/>
        <scheme val="minor"/>
      </rPr>
      <t>沟两相和酒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</si>
  <si>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食用酒精; 白干酒（中国白酒）; 葡萄酒;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</si>
  <si>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响堂山</t>
  </si>
  <si>
    <r>
      <t>河北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国人酒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</si>
  <si>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</si>
  <si>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御星</t>
  </si>
  <si>
    <r>
      <t>北京御星酒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</si>
  <si>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开胃酒; 米酒; 食用酒精;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</si>
  <si>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嘉佰利 GIBLI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</si>
  <si>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利佰嘉酒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</si>
  <si>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</si>
  <si>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婺池</t>
  </si>
  <si>
    <r>
      <t>酒之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</si>
  <si>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清酒（日本米酒）; 利口酒</t>
    </r>
  </si>
  <si>
    <t>邳下</t>
  </si>
  <si>
    <t>彭威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</si>
  <si>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甜酒; 果酒（含酒精）; 威士忌; 利口酒;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</si>
  <si>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驭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</si>
  <si>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米酒;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</t>
    </r>
  </si>
  <si>
    <t>雅奏</t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</si>
  <si>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</t>
    </r>
  </si>
  <si>
    <t>家台</t>
  </si>
  <si>
    <t>王西林</t>
  </si>
  <si>
    <r>
      <t xml:space="preserve">果酒（含酒精）; 白酒; 黄酒; 葡萄酒;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朗姆酒; 汽酒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</si>
  <si>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台</t>
    </r>
  </si>
  <si>
    <t>彭志云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</si>
  <si>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</si>
  <si>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菊本盛</t>
  </si>
  <si>
    <r>
      <t>曾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牧</t>
    </r>
  </si>
  <si>
    <r>
      <t>米酒; 汽酒; 果酒; 清酒;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</si>
  <si>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赫名爵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</si>
  <si>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赫（海南）投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</si>
  <si>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葡萄酒; 威士忌;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朗姆酒</t>
    </r>
  </si>
  <si>
    <r>
      <t>起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</si>
  <si>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艺饰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</si>
  <si>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</si>
  <si>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</t>
    </r>
  </si>
  <si>
    <t>黄普涛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</si>
  <si>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清酒; 果酒; 白酒; 米酒; 利口酒</t>
    </r>
  </si>
  <si>
    <r>
      <t>散花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</si>
  <si>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</si>
  <si>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渝将</t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</si>
  <si>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市李阿姨餐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</si>
  <si>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柑香酒; 开胃酒; 白酒</t>
    </r>
  </si>
  <si>
    <t>MAYALEN</t>
  </si>
  <si>
    <r>
      <t>罗</t>
    </r>
    <r>
      <rPr>
        <sz val="11"/>
        <color theme="1"/>
        <rFont val="ＭＳ Ｐゴシック"/>
        <family val="3"/>
        <charset val="128"/>
        <scheme val="minor"/>
      </rPr>
      <t>塞塔私人有限公司</t>
    </r>
  </si>
  <si>
    <r>
      <t xml:space="preserve">含酒精的潘趣酒; 甜酒;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混合威士忌酒;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果酒（含酒精）;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</si>
  <si>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</si>
  <si>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柑香酒; 米酒; 果酒（含酒精）; 开胃酒;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</t>
    </r>
  </si>
  <si>
    <t>熊老大</t>
  </si>
  <si>
    <r>
      <t>广州聚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</si>
  <si>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</si>
  <si>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酉人回</t>
  </si>
  <si>
    <t>袁航涛</t>
  </si>
  <si>
    <r>
      <t xml:space="preserve">葡萄酒; 青稞酒; 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</si>
  <si>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均香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</si>
  <si>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浩科技有限公司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</si>
  <si>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汽酒</t>
    </r>
  </si>
  <si>
    <t>融生活</t>
  </si>
  <si>
    <r>
      <t>北京融生活控股集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</si>
  <si>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清酒; 果酒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</si>
  <si>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</si>
  <si>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</t>
    </r>
  </si>
  <si>
    <r>
      <t>巨星文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</si>
  <si>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</si>
  <si>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魔胴</t>
  </si>
  <si>
    <r>
      <t xml:space="preserve">葡萄酒; 咖啡利口酒;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</t>
    </r>
  </si>
  <si>
    <t>ZHOUTONGXUE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</si>
  <si>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</si>
  <si>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米酒; 咖啡利口酒; 青稞酒;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苦味酒</t>
    </r>
  </si>
  <si>
    <r>
      <t>西湖</t>
    </r>
    <r>
      <rPr>
        <sz val="11"/>
        <color theme="1"/>
        <rFont val="ＭＳ Ｐゴシック"/>
        <family val="3"/>
        <charset val="134"/>
        <scheme val="minor"/>
      </rPr>
      <t>揽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</si>
  <si>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）文化旅游有限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</si>
  <si>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清酒（日本米酒）;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</si>
  <si>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 定制酒 CUSTOM BAIJIU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</si>
  <si>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</si>
  <si>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</si>
  <si>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K KENVUE</t>
  </si>
  <si>
    <t>科赴公司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</si>
  <si>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</si>
  <si>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牧尼</t>
  </si>
  <si>
    <r>
      <t>海宁弘慕服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</si>
  <si>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开胃酒</t>
    </r>
  </si>
  <si>
    <r>
      <t>TCL _x0002_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意感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生活 THE CREATIVE LIFE</t>
    </r>
  </si>
  <si>
    <r>
      <t>TCL科技集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</si>
  <si>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</si>
  <si>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家宴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</si>
  <si>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容洋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</si>
  <si>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开胃酒; 青稞酒;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</si>
  <si>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清酒（日本米酒）;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</si>
  <si>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鄯善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黑土地种植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</si>
  <si>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葡萄酒;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</si>
  <si>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吟</t>
    </r>
    <r>
      <rPr>
        <sz val="11"/>
        <color theme="1"/>
        <rFont val="ＭＳ Ｐゴシック"/>
        <family val="3"/>
        <charset val="134"/>
        <scheme val="minor"/>
      </rPr>
      <t>馠酿</t>
    </r>
  </si>
  <si>
    <r>
      <t>蒸煮提取物（利口酒和烈酒）; 果酒（含酒精）; 葡萄酒;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</si>
  <si>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舍之露</t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</si>
  <si>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</si>
  <si>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岩小状</t>
  </si>
  <si>
    <r>
      <t>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</t>
    </r>
  </si>
  <si>
    <t>苗小彩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</si>
  <si>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</si>
  <si>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统</t>
    </r>
    <r>
      <rPr>
        <sz val="11"/>
        <color theme="1"/>
        <rFont val="ＭＳ Ｐゴシック"/>
        <family val="3"/>
        <charset val="128"/>
        <scheme val="minor"/>
      </rPr>
      <t>冠</t>
    </r>
  </si>
  <si>
    <t>李璐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</si>
  <si>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白酒; 露酒;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</si>
  <si>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亦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好物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</si>
  <si>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汽酒; 黄酒; 果酒; 柑香酒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</si>
  <si>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宴天下</t>
    </r>
  </si>
  <si>
    <t>李芳芳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</si>
  <si>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米酒; 白干酒（中国白酒）;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黄酒; 白酒</t>
    </r>
  </si>
  <si>
    <t>ESPRIT</t>
  </si>
  <si>
    <r>
      <t>埃斯普利特（中国）品牌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</si>
  <si>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</si>
  <si>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JIANGXI AIR 江西航空</t>
  </si>
  <si>
    <t>江西航空有限公司</t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</si>
  <si>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黄酒; 清酒（日本米酒）; 开胃酒; 葡萄酒</t>
    </r>
  </si>
  <si>
    <r>
      <t>小黄小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</si>
  <si>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壹号食品股份有限公司</t>
    </r>
  </si>
  <si>
    <r>
      <t>日本梅子酒; 葡萄酒; 果酒; 佐餐酒;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麦芽威士忌; 薄荷酒</t>
    </r>
  </si>
  <si>
    <r>
      <t>米酒; 日本梅子酒;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</si>
  <si>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r>
      <t>喀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齐</t>
    </r>
  </si>
  <si>
    <t>阿不来提·阿不力米提</t>
  </si>
  <si>
    <r>
      <t xml:space="preserve">甜果酒; 果酒; 白酒; 咖啡利口酒; 草莓酒; 水果汽酒; 甜酒; 葡萄酒; 奶油利口酒;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</si>
  <si>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梅取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</si>
  <si>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</si>
  <si>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t>米酒; 甜酒; 清酒; 白酒; 威士忌; 烈酒; 梅酒; 酸酒（低等葡萄酒）; 高粱酒; 果酒（含酒精）</t>
  </si>
  <si>
    <t>浦之薏</t>
  </si>
  <si>
    <t>徐双英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</si>
  <si>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青稞酒; 含酒精的气泡水;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</si>
  <si>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蔡文</t>
    </r>
    <r>
      <rPr>
        <sz val="11"/>
        <color theme="1"/>
        <rFont val="ＭＳ Ｐゴシック"/>
        <family val="3"/>
        <charset val="129"/>
        <scheme val="minor"/>
      </rPr>
      <t>姬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</si>
  <si>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</si>
  <si>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</si>
  <si>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甄谷泉</t>
  </si>
  <si>
    <r>
      <t>杜彩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</si>
  <si>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高粱酒;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</t>
    </r>
  </si>
  <si>
    <t>悦邦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</si>
  <si>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</si>
  <si>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妙笔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</si>
  <si>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</t>
    </r>
  </si>
  <si>
    <t>燕知米</t>
  </si>
  <si>
    <t>陈红艳</t>
  </si>
  <si>
    <r>
      <t xml:space="preserve">葡萄酒; 白酒; 威士忌;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</si>
  <si>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陶慧</t>
  </si>
  <si>
    <r>
      <t>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</si>
  <si>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裕1892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中心 ART CENTER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</si>
  <si>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</si>
  <si>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餐后酒（利口酒和烈酒）; 葡萄酒</t>
    </r>
  </si>
  <si>
    <t>渡杏高粱</t>
  </si>
  <si>
    <r>
      <t>未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彦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</si>
  <si>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高粱酒;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</t>
    </r>
  </si>
  <si>
    <r>
      <t>盛唐礼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</si>
  <si>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黄敏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</si>
  <si>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开胃酒;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</si>
  <si>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宴台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</si>
  <si>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</si>
  <si>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青稞酒;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威士忌; 黄酒; 白酒</t>
    </r>
  </si>
  <si>
    <t>印象大秧歌</t>
  </si>
  <si>
    <r>
      <t>福州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</si>
  <si>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</t>
    </r>
  </si>
  <si>
    <t>沙城民生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</si>
  <si>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</si>
  <si>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米酒;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</t>
    </r>
  </si>
  <si>
    <t>痴情冢 CHI QING ZHO</t>
  </si>
  <si>
    <r>
      <t>西安熙岸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保有限公司</t>
    </r>
  </si>
  <si>
    <r>
      <t xml:space="preserve">高粱酒;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</si>
  <si>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舍得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</si>
  <si>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</t>
    </r>
  </si>
  <si>
    <t>五岭云</t>
  </si>
  <si>
    <r>
      <t>杨</t>
    </r>
    <r>
      <rPr>
        <sz val="11"/>
        <color theme="1"/>
        <rFont val="ＭＳ Ｐゴシック"/>
        <family val="3"/>
        <charset val="128"/>
        <scheme val="minor"/>
      </rPr>
      <t>琪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</si>
  <si>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烈酒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</si>
  <si>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</si>
  <si>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四川清河湾酒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</si>
  <si>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</si>
  <si>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圣亨骨木</t>
    </r>
  </si>
  <si>
    <r>
      <t>圣亨众通（山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</si>
  <si>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>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</si>
  <si>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戎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雄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</si>
  <si>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高粱酒;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黄酒; 果酒; 露酒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</si>
  <si>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笙</t>
    </r>
  </si>
  <si>
    <r>
      <t>温</t>
    </r>
    <r>
      <rPr>
        <sz val="11"/>
        <color theme="1"/>
        <rFont val="ＭＳ Ｐゴシック"/>
        <family val="3"/>
        <charset val="134"/>
        <scheme val="minor"/>
      </rPr>
      <t>华标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</si>
  <si>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</si>
  <si>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兵之勇</t>
    </r>
  </si>
  <si>
    <t>安徒生（中国）品牌管理有限公司</t>
  </si>
  <si>
    <r>
      <t xml:space="preserve">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</si>
  <si>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世之</t>
    </r>
    <r>
      <rPr>
        <sz val="11"/>
        <color theme="1"/>
        <rFont val="ＭＳ Ｐゴシック"/>
        <family val="3"/>
        <charset val="129"/>
        <scheme val="minor"/>
      </rPr>
      <t>馫</t>
    </r>
  </si>
  <si>
    <r>
      <t>神奇体</t>
    </r>
    <r>
      <rPr>
        <sz val="11"/>
        <color theme="1"/>
        <rFont val="ＭＳ Ｐゴシック"/>
        <family val="3"/>
        <charset val="134"/>
        <scheme val="minor"/>
      </rPr>
      <t>验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际营销</t>
    </r>
    <r>
      <rPr>
        <sz val="11"/>
        <color theme="1"/>
        <rFont val="ＭＳ Ｐゴシック"/>
        <family val="3"/>
        <charset val="128"/>
        <scheme val="minor"/>
      </rPr>
      <t>策划(北京)有限公司</t>
    </r>
  </si>
  <si>
    <r>
      <t xml:space="preserve">高粱酒; 葡萄酒; 威士忌;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露酒;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</si>
  <si>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某名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</si>
  <si>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</si>
  <si>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</si>
  <si>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咏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</si>
  <si>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</si>
  <si>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清酒; 露酒; 米酒;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</si>
  <si>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药</t>
    </r>
  </si>
  <si>
    <t>李新国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</si>
  <si>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</si>
  <si>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散帝</t>
  </si>
  <si>
    <r>
      <t>侯街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</si>
  <si>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白酒; 蜂蜜酒; 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</si>
  <si>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易采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</si>
  <si>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</si>
  <si>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健康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</si>
  <si>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</si>
  <si>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炳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</si>
  <si>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茅鑫酒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</si>
  <si>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</si>
  <si>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北国邨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</si>
  <si>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江中意天下酒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</si>
  <si>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汽酒; 黄酒; 开胃酒; 白酒;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</si>
  <si>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吴翁之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</si>
  <si>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州大曲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</si>
  <si>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</si>
  <si>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吴公之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</si>
  <si>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高粱酒;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</si>
  <si>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九千年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</si>
  <si>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</si>
  <si>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纷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</si>
  <si>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梁宝鼎酒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</si>
  <si>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食用酒精; 果酒;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高粱酒; 汽酒; 黄酒; 青稞酒</t>
    </r>
  </si>
  <si>
    <r>
      <t>伦</t>
    </r>
    <r>
      <rPr>
        <sz val="11"/>
        <color theme="1"/>
        <rFont val="ＭＳ Ｐゴシック"/>
        <family val="3"/>
        <charset val="128"/>
        <scheme val="minor"/>
      </rPr>
      <t>爵</t>
    </r>
  </si>
  <si>
    <r>
      <t>威士忌; 果酒（含酒精）;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</si>
  <si>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醉西口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</si>
  <si>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</si>
  <si>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开元高</t>
  </si>
  <si>
    <r>
      <t>许</t>
    </r>
    <r>
      <rPr>
        <sz val="11"/>
        <color theme="1"/>
        <rFont val="ＭＳ Ｐゴシック"/>
        <family val="3"/>
        <charset val="128"/>
        <scheme val="minor"/>
      </rPr>
      <t>子政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</si>
  <si>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</si>
  <si>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CSR</t>
  </si>
  <si>
    <r>
      <t>中国中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</si>
  <si>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食用酒精;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葡萄酒; 黄酒</t>
    </r>
  </si>
  <si>
    <t>醍醐留香</t>
  </si>
  <si>
    <r>
      <t>河南省百恒企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中心（有限合伙）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</si>
  <si>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</si>
  <si>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 xml:space="preserve">ATCH </t>
    </r>
    <r>
      <rPr>
        <sz val="11"/>
        <color theme="1"/>
        <rFont val="ＭＳ Ｐゴシック"/>
        <family val="3"/>
        <charset val="134"/>
        <scheme val="minor"/>
      </rPr>
      <t>卖</t>
    </r>
    <r>
      <rPr>
        <sz val="11"/>
        <color theme="1"/>
        <rFont val="ＭＳ Ｐゴシック"/>
        <family val="3"/>
        <charset val="128"/>
        <scheme val="minor"/>
      </rPr>
      <t>火柴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</si>
  <si>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卖</t>
    </r>
    <r>
      <rPr>
        <sz val="11"/>
        <color theme="1"/>
        <rFont val="ＭＳ Ｐゴシック"/>
        <family val="3"/>
        <charset val="128"/>
        <scheme val="minor"/>
      </rPr>
      <t>火柴餐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</si>
  <si>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开胃酒; 薄荷酒; 柑香酒; 果酒（含酒精）; 苦味酒;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</si>
  <si>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</si>
  <si>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武当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鼠</t>
    </r>
  </si>
  <si>
    <r>
      <t>湖北武当太极湖控股集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</si>
  <si>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</si>
  <si>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三川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天保</t>
    </r>
  </si>
  <si>
    <r>
      <t>广西三川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茶香文化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</si>
  <si>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高粱酒; 白酒; 食用酒精; 米酒; 清酒; 果酒</t>
    </r>
  </si>
  <si>
    <r>
      <t>鸿酿</t>
    </r>
    <r>
      <rPr>
        <sz val="11"/>
        <color theme="1"/>
        <rFont val="ＭＳ Ｐゴシック"/>
        <family val="3"/>
        <charset val="128"/>
        <scheme val="minor"/>
      </rPr>
      <t>春</t>
    </r>
  </si>
  <si>
    <t>余志雄</t>
  </si>
  <si>
    <r>
      <t>黄酒; 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露酒;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</si>
  <si>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QI</t>
  </si>
  <si>
    <r>
      <t>齐</t>
    </r>
    <r>
      <rPr>
        <sz val="11"/>
        <color theme="1"/>
        <rFont val="ＭＳ Ｐゴシック"/>
        <family val="3"/>
        <charset val="128"/>
        <scheme val="minor"/>
      </rPr>
      <t>天下(深圳)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</si>
  <si>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</si>
  <si>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万里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</si>
  <si>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岐康源商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</si>
  <si>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</si>
  <si>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BASHIYIFANGJIUZHUANG</t>
  </si>
  <si>
    <r>
      <t>四川省八十一坊酒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</si>
  <si>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白酒; 米酒;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</si>
  <si>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通号御宴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</si>
  <si>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州尊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</si>
  <si>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露酒</t>
    </r>
  </si>
  <si>
    <t>通号御液</t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</si>
  <si>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米酒; 餐后酒（利口酒和烈酒）; 露酒</t>
    </r>
  </si>
  <si>
    <t>即刻开心 BREEWSMILE</t>
  </si>
  <si>
    <r>
      <t>深圳市开心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</si>
  <si>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清酒（日本米酒）;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</si>
  <si>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八音迭奏</t>
  </si>
  <si>
    <r>
      <t>葡萄酒; 汽酒;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黄酒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</si>
  <si>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</si>
  <si>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黄酒;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</si>
  <si>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关印象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</si>
  <si>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</si>
  <si>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薄荷酒; 果酒（含酒精）; 柑香酒;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餐后酒（利口酒和烈酒）; 苦味酒; 茴香酒（利口酒）;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</si>
  <si>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皛白御宴</t>
  </si>
  <si>
    <r>
      <t xml:space="preserve">威士忌; 米酒; 葡萄酒;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</t>
    </r>
  </si>
  <si>
    <t>皛淮</t>
  </si>
  <si>
    <r>
      <t>果酒（含酒精）; 威士忌; 青稞酒; 黄酒; 利口酒; 葡萄酒;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</si>
  <si>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皛景</t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</si>
  <si>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利口酒; 威士忌; 青稞酒; 黄酒; 开胃酒</t>
    </r>
  </si>
  <si>
    <t>皛克</t>
  </si>
  <si>
    <r>
      <t>开胃酒; 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</t>
    </r>
  </si>
  <si>
    <t>皛炎</t>
  </si>
  <si>
    <r>
      <t>果酒（含酒精）; 开胃酒; 利口酒; 威士忌; 黄酒;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</si>
  <si>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酒皛海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</si>
  <si>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开胃酒; 米酒; 利口酒</t>
    </r>
  </si>
  <si>
    <t>政雄</t>
  </si>
  <si>
    <t>荣磊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</si>
  <si>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葡萄酒</t>
    </r>
  </si>
  <si>
    <r>
      <t>卫</t>
    </r>
    <r>
      <rPr>
        <sz val="11"/>
        <color theme="1"/>
        <rFont val="ＭＳ Ｐゴシック"/>
        <family val="3"/>
        <charset val="128"/>
        <scheme val="minor"/>
      </rPr>
      <t>黄</t>
    </r>
  </si>
  <si>
    <r>
      <t>湖南朱亭企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</si>
  <si>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</si>
  <si>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山海博士</t>
  </si>
  <si>
    <t>吴海</t>
  </si>
  <si>
    <r>
      <t>葡萄酒; 起泡白葡萄酒;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米酒; 白酒; 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</si>
  <si>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独眼三尾 ONE EYED THREE TAILED</t>
  </si>
  <si>
    <r>
      <t>凯</t>
    </r>
    <r>
      <rPr>
        <sz val="11"/>
        <color theme="1"/>
        <rFont val="ＭＳ Ｐゴシック"/>
        <family val="3"/>
        <charset val="128"/>
        <scheme val="minor"/>
      </rPr>
      <t>悦（香港）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</si>
  <si>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伏特加酒;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</si>
  <si>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关往事</t>
    </r>
  </si>
  <si>
    <r>
      <t>餐后酒（利口酒和烈酒）; 茴香酒（利口酒）;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薄荷酒; 苦味酒; 果酒（含酒精）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</si>
  <si>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苁</t>
    </r>
    <r>
      <rPr>
        <sz val="11"/>
        <color theme="1"/>
        <rFont val="ＭＳ Ｐゴシック"/>
        <family val="3"/>
        <charset val="128"/>
        <scheme val="minor"/>
      </rPr>
      <t>玖</t>
    </r>
  </si>
  <si>
    <r>
      <t>四川恒年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</si>
  <si>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威士忌;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</si>
  <si>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百年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关</t>
    </r>
  </si>
  <si>
    <r>
      <t xml:space="preserve">苦味酒; 餐后酒（利口酒和烈酒）;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柑香酒;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茴香酒（利口酒）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</si>
  <si>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狄窖</t>
    </r>
  </si>
  <si>
    <r>
      <t>狄希文化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播（定州）有限公司</t>
    </r>
  </si>
  <si>
    <r>
      <t>果酒（含酒精）;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开胃酒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</si>
  <si>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众</t>
    </r>
  </si>
  <si>
    <r>
      <t>豆</t>
    </r>
    <r>
      <rPr>
        <sz val="11"/>
        <color theme="1"/>
        <rFont val="ＭＳ Ｐゴシック"/>
        <family val="3"/>
        <charset val="134"/>
        <scheme val="minor"/>
      </rPr>
      <t>贤军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</si>
  <si>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</si>
  <si>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挥</t>
    </r>
    <r>
      <rPr>
        <sz val="11"/>
        <color theme="1"/>
        <rFont val="ＭＳ Ｐゴシック"/>
        <family val="3"/>
        <charset val="128"/>
        <scheme val="minor"/>
      </rPr>
      <t>毫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千</t>
    </r>
    <r>
      <rPr>
        <sz val="11"/>
        <color theme="1"/>
        <rFont val="ＭＳ Ｐゴシック"/>
        <family val="3"/>
        <charset val="134"/>
        <scheme val="minor"/>
      </rPr>
      <t>钟</t>
    </r>
  </si>
  <si>
    <r>
      <t>宁夏醉心醉葡萄酒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</si>
  <si>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白葡萄酒; 加烈葡萄酒;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</si>
  <si>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定台玉液</t>
  </si>
  <si>
    <r>
      <t>罗</t>
    </r>
    <r>
      <rPr>
        <sz val="11"/>
        <color theme="1"/>
        <rFont val="ＭＳ Ｐゴシック"/>
        <family val="3"/>
        <charset val="128"/>
        <scheme val="minor"/>
      </rPr>
      <t>定市丰智酒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</si>
  <si>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</t>
    </r>
  </si>
  <si>
    <t>MICROSTONE</t>
  </si>
  <si>
    <r>
      <t>浙江小石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新能源科技有限公司</t>
    </r>
  </si>
  <si>
    <r>
      <t xml:space="preserve">蜂蜜酒; 青稞酒; 白酒; 葡萄酒; 苹果酒; 米酒;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</t>
    </r>
  </si>
  <si>
    <t>其叶蓁蓁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</si>
  <si>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西心合兄弟酒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</si>
  <si>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五加皮酒（中国混合烈酒）; 餐后酒（利口酒和烈酒）;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开胃酒; 烈酒; 苹果酒</t>
    </r>
  </si>
  <si>
    <r>
      <t>定台老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</si>
  <si>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清酒（日本米酒）;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露酒; 果酒（含酒精）</t>
    </r>
  </si>
  <si>
    <r>
      <t>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</si>
  <si>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烈酒; 黄酒;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米酒; 露酒</t>
    </r>
  </si>
  <si>
    <t>津帝王酒</t>
  </si>
  <si>
    <r>
      <t>天津市大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</si>
  <si>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葡萄酒; 清酒; 果酒;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</si>
  <si>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贵缘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</si>
  <si>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立</t>
    </r>
  </si>
  <si>
    <r>
      <t>果酒; 白酒;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</si>
  <si>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养元</t>
  </si>
  <si>
    <r>
      <t>北京大京九</t>
    </r>
    <r>
      <rPr>
        <sz val="11"/>
        <color theme="1"/>
        <rFont val="ＭＳ Ｐゴシック"/>
        <family val="3"/>
        <charset val="134"/>
        <scheme val="minor"/>
      </rPr>
      <t>宾馆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</si>
  <si>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果酒（含酒精）; 汽酒</t>
    </r>
  </si>
  <si>
    <r>
      <t>话头</t>
    </r>
    <r>
      <rPr>
        <sz val="11"/>
        <color theme="1"/>
        <rFont val="ＭＳ Ｐゴシック"/>
        <family val="3"/>
        <charset val="128"/>
        <scheme val="minor"/>
      </rPr>
      <t>堂</t>
    </r>
  </si>
  <si>
    <t>福建恒通四众文化教育有限公司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</si>
  <si>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</si>
  <si>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布源 NORBU YUAN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</si>
  <si>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布源投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</si>
  <si>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青稞酒; 葡萄酒; 餐后酒（利口酒和烈酒）</t>
  </si>
  <si>
    <t>双手台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</si>
  <si>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市向世元河酒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</si>
  <si>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</si>
  <si>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白酒; 果酒; 清酒; 利口酒; 葡萄酒; 米酒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</si>
  <si>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堂双水</t>
    </r>
  </si>
  <si>
    <r>
      <t>封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</si>
  <si>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米酒; 白酒; 清酒（日本米酒）; 黄酒; 食用酒精;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</si>
  <si>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汽酒; 利口酒;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</t>
    </r>
  </si>
  <si>
    <r>
      <t>深圳市晴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洋六六八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</si>
  <si>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含酒精的气泡水; 不起泡葡萄酒; 烈酒;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麦芽威士忌; 高粱酒; 加烈葡萄酒;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含酒精的苦味开胃酒;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清酒; 白葡萄酒; 起泡白葡萄酒;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</si>
  <si>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果酒; 汽酒; 利口酒; 清酒;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</si>
  <si>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避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塘（安徽）商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</si>
  <si>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</si>
  <si>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大把世界</t>
    </r>
    <r>
      <rPr>
        <sz val="11"/>
        <color theme="1"/>
        <rFont val="ＭＳ Ｐゴシック"/>
        <family val="3"/>
        <charset val="134"/>
        <scheme val="minor"/>
      </rPr>
      <t>捞</t>
    </r>
  </si>
  <si>
    <t>雷雪芬</t>
  </si>
  <si>
    <r>
      <t>餐后酒（利口酒和烈酒）;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白酒; 黄酒</t>
    </r>
  </si>
  <si>
    <r>
      <t>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白酒</t>
    </r>
  </si>
  <si>
    <t>她之力</t>
  </si>
  <si>
    <r>
      <t>北京和合大成文化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</si>
  <si>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烈酒; 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</si>
  <si>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民族</t>
    </r>
    <r>
      <rPr>
        <sz val="11"/>
        <color theme="1"/>
        <rFont val="ＭＳ Ｐゴシック"/>
        <family val="3"/>
        <charset val="134"/>
        <scheme val="minor"/>
      </rPr>
      <t>蕴</t>
    </r>
  </si>
  <si>
    <t>胡乃念</t>
  </si>
  <si>
    <r>
      <t>开胃酒; 清酒（日本米酒）; 果酒（含酒精）; 葡萄酒;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</t>
    </r>
  </si>
  <si>
    <t>滇食部落</t>
  </si>
  <si>
    <t>昆明舌尖客食品有限公司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</si>
  <si>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</t>
    </r>
  </si>
  <si>
    <t>BRIGHTBLUE</t>
  </si>
  <si>
    <r>
      <t>阿拉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灿蓝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</si>
  <si>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</si>
  <si>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龙华</t>
    </r>
    <r>
      <rPr>
        <sz val="11"/>
        <color theme="1"/>
        <rFont val="ＭＳ Ｐゴシック"/>
        <family val="3"/>
        <charset val="128"/>
        <scheme val="minor"/>
      </rPr>
      <t>吉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</si>
  <si>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万波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</si>
  <si>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蜂蜜酒; 果酒（含酒精）;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</si>
  <si>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自由区</t>
  </si>
  <si>
    <t>新疆牛啊信息科技有限公司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</si>
  <si>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</si>
  <si>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山不</t>
    </r>
    <r>
      <rPr>
        <sz val="11"/>
        <color theme="1"/>
        <rFont val="ＭＳ Ｐゴシック"/>
        <family val="3"/>
        <charset val="134"/>
        <scheme val="minor"/>
      </rPr>
      <t>让尘</t>
    </r>
    <r>
      <rPr>
        <sz val="11"/>
        <color theme="1"/>
        <rFont val="ＭＳ Ｐゴシック"/>
        <family val="3"/>
        <charset val="128"/>
        <scheme val="minor"/>
      </rPr>
      <t>·海不辞盈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</si>
  <si>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传艺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</si>
  <si>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水果汽酒;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朗姆潘趣酒;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</si>
  <si>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封笔</t>
  </si>
  <si>
    <r>
      <t>赵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</si>
  <si>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</si>
  <si>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桂养有方</t>
  </si>
  <si>
    <r>
      <t>广西桂学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</si>
  <si>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</si>
  <si>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糖果佬</t>
  </si>
  <si>
    <t>玉林市韵源食品有限公司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</si>
  <si>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</si>
  <si>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漾月云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</si>
  <si>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五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</si>
  <si>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</si>
  <si>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绸</t>
    </r>
    <r>
      <rPr>
        <sz val="11"/>
        <color theme="1"/>
        <rFont val="ＭＳ Ｐゴシック"/>
        <family val="3"/>
        <charset val="128"/>
        <scheme val="minor"/>
      </rPr>
      <t>都桑圣</t>
    </r>
  </si>
  <si>
    <t>屈江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</si>
  <si>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</si>
  <si>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成都市青羊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</si>
  <si>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 xml:space="preserve">葡萄酒; 白酒;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</si>
  <si>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洑小仙</t>
  </si>
  <si>
    <t>南京洑小仙品牌管理有限公司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</si>
  <si>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</si>
  <si>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祥坊·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香酒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</si>
  <si>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祥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酒作坊</t>
    </r>
  </si>
  <si>
    <r>
      <t xml:space="preserve">烈酒;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</si>
  <si>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t>福荐</t>
  </si>
  <si>
    <t>范桂榕</t>
  </si>
  <si>
    <r>
      <t>果酒; 佐餐酒;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威士忌; 黄酒; 甜酒</t>
    </r>
  </si>
  <si>
    <r>
      <t>礼福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</t>
    </r>
  </si>
  <si>
    <t>王冕******************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</si>
  <si>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</si>
  <si>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京宗京</t>
    </r>
    <r>
      <rPr>
        <sz val="11"/>
        <color theme="1"/>
        <rFont val="ＭＳ Ｐゴシック"/>
        <family val="3"/>
        <charset val="134"/>
        <scheme val="minor"/>
      </rPr>
      <t>传</t>
    </r>
  </si>
  <si>
    <t>张晓领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</si>
  <si>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白干酒（中国白酒）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</si>
  <si>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口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</si>
  <si>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承玉</t>
    </r>
  </si>
  <si>
    <t>开胃酒; 甜酒; 白酒; 米酒; 黄酒; 汽酒; 葡萄酒; 清酒; 食用酒精; 果酒</t>
  </si>
  <si>
    <t>晋老樽</t>
  </si>
  <si>
    <r>
      <t xml:space="preserve">清酒（日本米酒）;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</si>
  <si>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博海国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</si>
  <si>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>博海国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（江西）教育咨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</si>
  <si>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草莓酒; 果酒; 白葡萄酒; 清酒; 烈酒; 露酒</t>
    </r>
  </si>
  <si>
    <t>FAR EAST ESS</t>
  </si>
  <si>
    <r>
      <t>远东电缆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</si>
  <si>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</si>
  <si>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FELICIANO</t>
  </si>
  <si>
    <r>
      <t>温州宝蓓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</si>
  <si>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利口酒; 葡萄酒;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</si>
  <si>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喀音扎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 KEYINZAR</t>
    </r>
  </si>
  <si>
    <r>
      <t>仙日古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·吾斯曼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</si>
  <si>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茴香酒（利口酒）;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</si>
  <si>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肆拾玖坊镹酒</t>
  </si>
  <si>
    <r>
      <t>肆拾玖坊（天津）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</si>
  <si>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汽酒; 甜果酒</t>
    </r>
  </si>
  <si>
    <t>ZERZER</t>
  </si>
  <si>
    <r>
      <t>昌黎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活酒庄有限公司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</si>
  <si>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威士忌</t>
    </r>
  </si>
  <si>
    <t>叶麦</t>
  </si>
  <si>
    <r>
      <t>潘武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</si>
  <si>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</si>
  <si>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喜莱到</t>
  </si>
  <si>
    <r>
      <t>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</si>
  <si>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BABYBUS</t>
  </si>
  <si>
    <t>宝宝巴士股份有限公司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</si>
  <si>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</si>
  <si>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云夕</t>
  </si>
  <si>
    <r>
      <t>九九酒</t>
    </r>
    <r>
      <rPr>
        <sz val="11"/>
        <color theme="1"/>
        <rFont val="ＭＳ Ｐゴシック"/>
        <family val="3"/>
        <charset val="134"/>
        <scheme val="minor"/>
      </rPr>
      <t>类连锁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</si>
  <si>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</si>
  <si>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汴台</t>
  </si>
  <si>
    <r>
      <t>汴台商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（河南）有限公司</t>
    </r>
  </si>
  <si>
    <r>
      <t>青稞酒; 白酒;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</t>
    </r>
  </si>
  <si>
    <t>原住民基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</si>
  <si>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市品藏家酒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</si>
  <si>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</si>
  <si>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大口</t>
    </r>
    <r>
      <rPr>
        <sz val="11"/>
        <color theme="1"/>
        <rFont val="ＭＳ Ｐゴシック"/>
        <family val="3"/>
        <charset val="134"/>
        <scheme val="minor"/>
      </rPr>
      <t>赣</t>
    </r>
  </si>
  <si>
    <t>李玉磊</t>
  </si>
  <si>
    <r>
      <t>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</si>
  <si>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朱夫子</t>
  </si>
  <si>
    <r>
      <t>朱照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</si>
  <si>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茴香酒; 威士忌; 果酒（含酒精）; 黄酒; 清酒;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开胃酒; 白酒</t>
    </r>
  </si>
  <si>
    <t>杏逢卿</t>
  </si>
  <si>
    <r>
      <t>李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</si>
  <si>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果酒（含酒精）; 露酒; 白酒; 米酒; 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</si>
  <si>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豆峪情</t>
  </si>
  <si>
    <t>李巧明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</si>
  <si>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苹果酒; 高粱酒; 白酒</t>
    </r>
  </si>
  <si>
    <t>醉仙丘</t>
  </si>
  <si>
    <r>
      <t>陈</t>
    </r>
    <r>
      <rPr>
        <sz val="11"/>
        <color theme="1"/>
        <rFont val="ＭＳ Ｐゴシック"/>
        <family val="3"/>
        <charset val="128"/>
        <scheme val="minor"/>
      </rPr>
      <t>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</si>
  <si>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果酒（含酒精）; 清酒（日本米酒）</t>
    </r>
  </si>
  <si>
    <t>港醺</t>
  </si>
  <si>
    <r>
      <t>圳酒（深圳）酒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</si>
  <si>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</si>
  <si>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湖北康甲酒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</si>
  <si>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黄酒;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食用酒精</t>
    </r>
  </si>
  <si>
    <r>
      <t>获</t>
    </r>
    <r>
      <rPr>
        <sz val="11"/>
        <color theme="1"/>
        <rFont val="ＭＳ Ｐゴシック"/>
        <family val="3"/>
        <charset val="128"/>
        <scheme val="minor"/>
      </rPr>
      <t>粱</t>
    </r>
  </si>
  <si>
    <t>高碑店水嫩生物科技有限公司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</si>
  <si>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烈酒; 高粱酒;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米酒</t>
    </r>
  </si>
  <si>
    <r>
      <t>新淦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</si>
  <si>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薄荷酒; 果酒（含酒精）; 苹果酒; 食用酒精</t>
    </r>
  </si>
  <si>
    <r>
      <t>客小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</si>
  <si>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</si>
  <si>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清酒（日本米酒）; 米酒; 白酒</t>
    </r>
  </si>
  <si>
    <r>
      <t>濛阳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</si>
  <si>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先旭</t>
    </r>
  </si>
  <si>
    <r>
      <t>米酒; 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苦味酒</t>
    </r>
  </si>
  <si>
    <t>朗坤</t>
  </si>
  <si>
    <r>
      <t>四川古</t>
    </r>
    <r>
      <rPr>
        <sz val="11"/>
        <color theme="1"/>
        <rFont val="ＭＳ Ｐゴシック"/>
        <family val="3"/>
        <charset val="134"/>
        <scheme val="minor"/>
      </rPr>
      <t>蔺酱</t>
    </r>
    <r>
      <rPr>
        <sz val="11"/>
        <color theme="1"/>
        <rFont val="ＭＳ Ｐゴシック"/>
        <family val="3"/>
        <charset val="128"/>
        <scheme val="minor"/>
      </rPr>
      <t>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</si>
  <si>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食用酒精; 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苹果酒; 黄酒;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</si>
  <si>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天津格林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德科技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</si>
  <si>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</si>
  <si>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r>
      <t>源布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</si>
  <si>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</si>
  <si>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>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利口酒</t>
    </r>
  </si>
  <si>
    <t>蒸威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</si>
  <si>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清酒（日本米酒）; 威士忌;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</si>
  <si>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美地精品酒庄</t>
    </r>
  </si>
  <si>
    <r>
      <t xml:space="preserve">清酒; 米酒; 烈酒;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</si>
  <si>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执观</t>
  </si>
  <si>
    <r>
      <t>姜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全</t>
    </r>
  </si>
  <si>
    <t>果酒（含酒精）; 梅酒; 黄酒; 伏特加酒; 甜酒; 朗姆酒; 白酒; 清酒; 米酒; 葡萄酒</t>
  </si>
  <si>
    <r>
      <t>小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炮</t>
    </r>
  </si>
  <si>
    <t>温晨阳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</si>
  <si>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黄酒</t>
    </r>
  </si>
  <si>
    <r>
      <t>福建王者茶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</si>
  <si>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</si>
  <si>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穆瑧</t>
  </si>
  <si>
    <r>
      <t>穆瑧（云南）商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</si>
  <si>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米酒</t>
    </r>
  </si>
  <si>
    <t>年份之台</t>
  </si>
  <si>
    <t>秦伯全</t>
  </si>
  <si>
    <r>
      <t>蜂蜜酒;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</si>
  <si>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MPP</t>
  </si>
  <si>
    <t>屈志炫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</si>
  <si>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开胃酒; 白酒; 青稞酒;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</si>
  <si>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粮草沟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</si>
  <si>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阳粮草沟家庭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</si>
  <si>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烈酒;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利口酒; 蜂蜜酒</t>
    </r>
  </si>
  <si>
    <r>
      <t>景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葫芦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</si>
  <si>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宁葫芦古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文化旅游集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</si>
  <si>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高粱酒; 果酒;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</si>
  <si>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敢聚</t>
  </si>
  <si>
    <r>
      <t xml:space="preserve">葡萄酒; 利口酒; 果酒（含酒精）;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蒸煮提取物（利口酒和烈酒）</t>
    </r>
  </si>
  <si>
    <t>酒 金屏照月</t>
  </si>
  <si>
    <t>吴桂云</t>
  </si>
  <si>
    <r>
      <t>米酒;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</si>
  <si>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音小醉牛</t>
    </r>
  </si>
  <si>
    <t>张红艳</t>
  </si>
  <si>
    <r>
      <t xml:space="preserve">梅酒;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朗姆酒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</si>
  <si>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邦达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</si>
  <si>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芒康雷曼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</si>
  <si>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葡萄酒; 青稞酒; 果酒; 米酒; 清酒; 白酒; 高粱酒; 苹果酒; 黄酒; 梨酒</t>
  </si>
  <si>
    <t>CITY TREE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</si>
  <si>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酸豆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</si>
  <si>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</t>
    </r>
  </si>
  <si>
    <t>万民王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</si>
  <si>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高粱酒;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</si>
  <si>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中都礼宴酒源</t>
  </si>
  <si>
    <r>
      <t>烈酒; 白酒;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果酒;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</si>
  <si>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福星原匠</t>
  </si>
  <si>
    <r>
      <t>白酒; 米酒;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</si>
  <si>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OUKAS CIASSIC INHERITANCE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</si>
  <si>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欧卡斯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</si>
  <si>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果酒（含酒精）;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蒸煮提取物（利口酒和烈酒）; 伏特加酒</t>
    </r>
  </si>
  <si>
    <r>
      <t>中遥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</si>
  <si>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省中遥低空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研究有限公司</t>
    </r>
  </si>
  <si>
    <r>
      <t xml:space="preserve">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</si>
  <si>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味聚宝 GATHERING TREASURES OF RURAL FLAVORS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</si>
  <si>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灵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</si>
  <si>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青稞酒; 酸酒（低等葡萄酒）</t>
    </r>
  </si>
  <si>
    <r>
      <t>子昂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</si>
  <si>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蒸煮提取物（利口酒和烈酒）; 果酒（含酒精）</t>
    </r>
  </si>
  <si>
    <t>遇得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</si>
  <si>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开胃酒;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食用酒精</t>
    </r>
  </si>
  <si>
    <r>
      <t>川蜀遇今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</si>
  <si>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张琼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</si>
  <si>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</si>
  <si>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雪山咖咖</t>
    </r>
  </si>
  <si>
    <t>付媛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</si>
  <si>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</si>
  <si>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将香明珠</t>
  </si>
  <si>
    <t>刘少杰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</si>
  <si>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</si>
  <si>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子昂春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</si>
  <si>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利口酒; 果酒（含酒精）</t>
    </r>
  </si>
  <si>
    <t>舍得·星云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</si>
  <si>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葡萄酒; 利口酒;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</si>
  <si>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醇踪游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</si>
  <si>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</si>
  <si>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SPL</t>
  </si>
  <si>
    <t>刘海福</t>
  </si>
  <si>
    <r>
      <t>葡萄酒;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</si>
  <si>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</si>
  <si>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开胃酒; 威士忌;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</t>
    </r>
  </si>
  <si>
    <t>枝下聆</t>
  </si>
  <si>
    <r>
      <t xml:space="preserve">果酒（含酒精）; 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</si>
  <si>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飞跃</t>
    </r>
    <r>
      <rPr>
        <sz val="11"/>
        <color theme="1"/>
        <rFont val="ＭＳ Ｐゴシック"/>
        <family val="3"/>
        <charset val="128"/>
        <scheme val="minor"/>
      </rPr>
      <t>卡</t>
    </r>
    <r>
      <rPr>
        <sz val="11"/>
        <color theme="1"/>
        <rFont val="ＭＳ Ｐゴシック"/>
        <family val="3"/>
        <charset val="134"/>
        <scheme val="minor"/>
      </rPr>
      <t>门线</t>
    </r>
  </si>
  <si>
    <r>
      <t>北京踏花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来文化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</si>
  <si>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</si>
  <si>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t>TOTILAS</t>
  </si>
  <si>
    <r>
      <t>香港中英医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</si>
  <si>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朗姆酒;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</si>
  <si>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品味山河晏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</si>
  <si>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开胃酒</t>
    </r>
  </si>
  <si>
    <r>
      <t>绿见</t>
    </r>
    <r>
      <rPr>
        <sz val="11"/>
        <color theme="1"/>
        <rFont val="ＭＳ Ｐゴシック"/>
        <family val="3"/>
        <charset val="128"/>
        <scheme val="minor"/>
      </rPr>
      <t>滴滴香</t>
    </r>
  </si>
  <si>
    <r>
      <t>湖州莫行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</si>
  <si>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米酒; 白干酒（中国白酒）;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</si>
  <si>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獭</t>
    </r>
    <r>
      <rPr>
        <sz val="11"/>
        <color theme="1"/>
        <rFont val="ＭＳ Ｐゴシック"/>
        <family val="3"/>
        <charset val="128"/>
        <scheme val="minor"/>
      </rPr>
      <t>响</t>
    </r>
  </si>
  <si>
    <r>
      <t>王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</si>
  <si>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梅酒; 露酒; 清酒;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</si>
  <si>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纽</t>
    </r>
    <r>
      <rPr>
        <sz val="11"/>
        <color theme="1"/>
        <rFont val="ＭＳ Ｐゴシック"/>
        <family val="3"/>
        <charset val="128"/>
        <scheme val="minor"/>
      </rPr>
      <t>裕</t>
    </r>
  </si>
  <si>
    <t>王玉峰</t>
  </si>
  <si>
    <r>
      <t>果酒（含酒精）;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</t>
    </r>
  </si>
  <si>
    <t>赤媚</t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</si>
  <si>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伏特加酒; 利口酒;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</t>
    </r>
  </si>
  <si>
    <r>
      <t>农鱼</t>
    </r>
    <r>
      <rPr>
        <sz val="11"/>
        <color theme="1"/>
        <rFont val="ＭＳ Ｐゴシック"/>
        <family val="3"/>
        <charset val="128"/>
        <scheme val="minor"/>
      </rPr>
      <t>村泉</t>
    </r>
  </si>
  <si>
    <r>
      <t>杨润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</si>
  <si>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</si>
  <si>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五醍本草</t>
  </si>
  <si>
    <r>
      <t>果酒（含酒精）; 葡萄酒;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</t>
    </r>
  </si>
  <si>
    <t>高慎</t>
  </si>
  <si>
    <t>刘超楠</t>
  </si>
  <si>
    <r>
      <t xml:space="preserve">威士忌;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</si>
  <si>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谨</t>
    </r>
  </si>
  <si>
    <r>
      <t xml:space="preserve">清酒（日本米酒）; 威士忌;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</si>
  <si>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铲铲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战</t>
    </r>
  </si>
  <si>
    <r>
      <t>利奥游</t>
    </r>
    <r>
      <rPr>
        <sz val="11"/>
        <color theme="1"/>
        <rFont val="ＭＳ Ｐゴシック"/>
        <family val="3"/>
        <charset val="134"/>
        <scheme val="minor"/>
      </rPr>
      <t>戏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</si>
  <si>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</si>
  <si>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细</t>
    </r>
    <r>
      <rPr>
        <sz val="11"/>
        <color theme="1"/>
        <rFont val="ＭＳ Ｐゴシック"/>
        <family val="3"/>
        <charset val="128"/>
        <scheme val="minor"/>
      </rPr>
      <t>支翡翠</t>
    </r>
  </si>
  <si>
    <t>潘坷姣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</si>
  <si>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青稞酒; 白干酒（中国白酒）</t>
    </r>
  </si>
  <si>
    <t>祖窖世家</t>
  </si>
  <si>
    <r>
      <t xml:space="preserve">高粱酒; 白酒; 露酒;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</t>
    </r>
  </si>
  <si>
    <r>
      <t>挚</t>
    </r>
    <r>
      <rPr>
        <sz val="11"/>
        <color theme="1"/>
        <rFont val="ＭＳ Ｐゴシック"/>
        <family val="3"/>
        <charset val="128"/>
        <scheme val="minor"/>
      </rPr>
      <t>高</t>
    </r>
  </si>
  <si>
    <r>
      <t>黄酒;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</si>
  <si>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海情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</si>
  <si>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肃陇</t>
    </r>
    <r>
      <rPr>
        <sz val="11"/>
        <color theme="1"/>
        <rFont val="ＭＳ Ｐゴシック"/>
        <family val="3"/>
        <charset val="128"/>
        <scheme val="minor"/>
      </rPr>
      <t>佑德酒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</si>
  <si>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混合威士忌酒;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白干酒（中国白酒）;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</si>
  <si>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LBCY</t>
  </si>
  <si>
    <r>
      <t>我家六分地（北京）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</si>
  <si>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含酒精的气泡水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</si>
  <si>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飞红</t>
    </r>
  </si>
  <si>
    <r>
      <t>葡萄酒;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</si>
  <si>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弥意（云南）国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</si>
  <si>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</t>
    </r>
  </si>
  <si>
    <r>
      <t>人生礼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</si>
  <si>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果酒; 黄酒; 露酒; 清酒;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</si>
  <si>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鲜赞</t>
    </r>
  </si>
  <si>
    <r>
      <t>毛威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</si>
  <si>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露酒; 高粱酒; 米酒;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</si>
  <si>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蒙元</t>
    </r>
    <r>
      <rPr>
        <sz val="11"/>
        <color theme="1"/>
        <rFont val="ＭＳ Ｐゴシック"/>
        <family val="3"/>
        <charset val="134"/>
        <scheme val="minor"/>
      </rPr>
      <t>兴</t>
    </r>
  </si>
  <si>
    <t>刘爽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</si>
  <si>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</si>
  <si>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湘 湘百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</si>
  <si>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蒋建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</si>
  <si>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果酒（含酒精）; 威士忌;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</si>
  <si>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r>
      <t>名博</t>
    </r>
    <r>
      <rPr>
        <sz val="11"/>
        <color theme="1"/>
        <rFont val="ＭＳ Ｐゴシック"/>
        <family val="3"/>
        <charset val="134"/>
        <scheme val="minor"/>
      </rPr>
      <t>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</si>
  <si>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州名博</t>
    </r>
    <r>
      <rPr>
        <sz val="11"/>
        <color theme="1"/>
        <rFont val="ＭＳ Ｐゴシック"/>
        <family val="3"/>
        <charset val="134"/>
        <scheme val="minor"/>
      </rPr>
      <t>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</si>
  <si>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</si>
  <si>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欧世乾</t>
  </si>
  <si>
    <r>
      <t>果酒（含酒精）; 葡萄酒; 威士忌; 伏特加酒;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</si>
  <si>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御西府</t>
  </si>
  <si>
    <t>唐翠******************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</si>
  <si>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黄酒</t>
    </r>
  </si>
  <si>
    <t>TOJI</t>
  </si>
  <si>
    <r>
      <t>沭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</si>
  <si>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杜松子酒; 伏特加酒;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</t>
    </r>
  </si>
  <si>
    <r>
      <t>龙鸿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</si>
  <si>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中汾酒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</si>
  <si>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</t>
    </r>
  </si>
  <si>
    <r>
      <t>讲</t>
    </r>
    <r>
      <rPr>
        <sz val="11"/>
        <color theme="1"/>
        <rFont val="ＭＳ Ｐゴシック"/>
        <family val="3"/>
        <charset val="128"/>
        <scheme val="minor"/>
      </rPr>
      <t>万安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</si>
  <si>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西酒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港商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</si>
  <si>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青稞酒; 白酒; 葡萄酒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</si>
  <si>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真</t>
    </r>
  </si>
  <si>
    <r>
      <t xml:space="preserve">米酒; 白酒; 露酒; 高粱酒; 食用酒精;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</t>
    </r>
  </si>
  <si>
    <r>
      <t>广州小黄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</si>
  <si>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</t>
    </r>
  </si>
  <si>
    <t>SIMETRA</t>
  </si>
  <si>
    <r>
      <t>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米酒; 白干酒（中国白酒）; 葡萄酒; 蜂蜜酒; 白酒; 清酒</t>
    </r>
  </si>
  <si>
    <r>
      <t>九草道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</si>
  <si>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花翅膀科技有限公司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</si>
  <si>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蒸煮提取物（利口酒和烈酒）</t>
    </r>
  </si>
  <si>
    <t>雍正老四</t>
  </si>
  <si>
    <r>
      <t>王彦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</si>
  <si>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</t>
    </r>
  </si>
  <si>
    <r>
      <t>伎</t>
    </r>
    <r>
      <rPr>
        <sz val="11"/>
        <color theme="1"/>
        <rFont val="ＭＳ Ｐゴシック"/>
        <family val="3"/>
        <charset val="134"/>
        <scheme val="minor"/>
      </rPr>
      <t>乐动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</si>
  <si>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敦煌市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天山林开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</si>
  <si>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葡萄酒</t>
    </r>
  </si>
  <si>
    <t>盛言</t>
  </si>
  <si>
    <r>
      <t>北京无偏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</si>
  <si>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</t>
    </r>
  </si>
  <si>
    <r>
      <t>崃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</si>
  <si>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四川弘开房地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</si>
  <si>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</si>
  <si>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之家</t>
    </r>
  </si>
  <si>
    <r>
      <t>王建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</si>
  <si>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清酒（日本米酒）</t>
    </r>
  </si>
  <si>
    <r>
      <t>醉美亮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</si>
  <si>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露薇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</si>
  <si>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开胃酒; 葡萄酒; 汽酒; 黄酒; 清酒;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</si>
  <si>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王金金大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酒</t>
    </r>
  </si>
  <si>
    <t>王金金</t>
  </si>
  <si>
    <r>
      <t xml:space="preserve">葡萄酒;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</si>
  <si>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涵天下</t>
  </si>
  <si>
    <r>
      <t xml:space="preserve">白酒; 果酒（含酒精）; 餐后酒（利口酒和烈酒）; 青稞酒; 清酒（日本米酒）;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</si>
  <si>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臻情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</si>
  <si>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葡萄酒</t>
    </r>
  </si>
  <si>
    <t>沱牌福韵留声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</si>
  <si>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食用酒精;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</si>
  <si>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桃之芳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</si>
  <si>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</si>
  <si>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汽酒; 黄酒;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</si>
  <si>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自清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之源</t>
    </r>
  </si>
  <si>
    <r>
      <t>吴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</si>
  <si>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米酒; 黄酒; 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</si>
  <si>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京台酒追誉</t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</si>
  <si>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</si>
  <si>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玖玖有</t>
    </r>
    <r>
      <rPr>
        <sz val="11"/>
        <color theme="1"/>
        <rFont val="ＭＳ Ｐゴシック"/>
        <family val="3"/>
        <charset val="134"/>
        <scheme val="minor"/>
      </rPr>
      <t>渔</t>
    </r>
  </si>
  <si>
    <t>王宇航</t>
  </si>
  <si>
    <r>
      <t xml:space="preserve">蒸煮提取物（利口酒和烈酒）;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葡萄酒; 食用酒精</t>
    </r>
  </si>
  <si>
    <t>挖窖人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</si>
  <si>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</si>
  <si>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华</t>
    </r>
  </si>
  <si>
    <t>陈钢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</si>
  <si>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黄酒; 果酒(含酒精);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</si>
  <si>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t>栗子湖</t>
  </si>
  <si>
    <t>黄海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</si>
  <si>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开胃酒;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</si>
  <si>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POWERMEXN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</si>
  <si>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恒天商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</si>
  <si>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苦味酒;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</si>
  <si>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万民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</si>
  <si>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天科技（上海）有限公司</t>
    </r>
  </si>
  <si>
    <r>
      <t xml:space="preserve">白酒;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清酒（日本米酒）;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</si>
  <si>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锋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</si>
  <si>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沂木心文化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</si>
  <si>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甜酒;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</si>
  <si>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眕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</si>
  <si>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餐后酒（利口酒和烈酒）;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葡萄酒</t>
    </r>
  </si>
  <si>
    <r>
      <t>陶</t>
    </r>
    <r>
      <rPr>
        <sz val="11"/>
        <color theme="1"/>
        <rFont val="ＭＳ Ｐゴシック"/>
        <family val="3"/>
        <charset val="134"/>
        <scheme val="minor"/>
      </rPr>
      <t>锅头</t>
    </r>
  </si>
  <si>
    <r>
      <t>南安市金淘黄衍山米酒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</si>
  <si>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威士忌</t>
    </r>
  </si>
  <si>
    <t>易源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</si>
  <si>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州易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</si>
  <si>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白酒; 蜂蜜酒;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烈酒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</si>
  <si>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顶兴</t>
    </r>
  </si>
  <si>
    <t>石相美</t>
  </si>
  <si>
    <r>
      <t>果酒（含酒精）; 食用酒精; 黄酒;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</si>
  <si>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清花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</si>
  <si>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</si>
  <si>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白酒; 果酒（含酒精）; 米酒; 梨酒</t>
    </r>
  </si>
  <si>
    <t>德酉道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</si>
  <si>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</si>
  <si>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超</t>
    </r>
    <r>
      <rPr>
        <sz val="11"/>
        <color theme="1"/>
        <rFont val="ＭＳ Ｐゴシック"/>
        <family val="3"/>
        <charset val="134"/>
        <scheme val="minor"/>
      </rPr>
      <t>炼</t>
    </r>
  </si>
  <si>
    <t>何朝洪</t>
  </si>
  <si>
    <t>果酒; 甜酒; 米酒; 食用酒精; 白酒; 葡萄酒; 黄酒; 开胃酒; 汽酒; 清酒</t>
  </si>
  <si>
    <r>
      <t>白</t>
    </r>
    <r>
      <rPr>
        <sz val="11"/>
        <color theme="1"/>
        <rFont val="ＭＳ Ｐゴシック"/>
        <family val="3"/>
        <charset val="134"/>
        <scheme val="minor"/>
      </rPr>
      <t>浒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</si>
  <si>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赣抚农</t>
    </r>
    <r>
      <rPr>
        <sz val="11"/>
        <color theme="1"/>
        <rFont val="ＭＳ Ｐゴシック"/>
        <family val="3"/>
        <charset val="128"/>
        <scheme val="minor"/>
      </rPr>
      <t>品生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</si>
  <si>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</si>
  <si>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迪迪燃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</si>
  <si>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州壹德酒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</si>
  <si>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葡萄酒; 白酒; 果酒（含酒精）;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</t>
    </r>
  </si>
  <si>
    <r>
      <t>志道君</t>
    </r>
    <r>
      <rPr>
        <sz val="11"/>
        <color theme="1"/>
        <rFont val="ＭＳ Ｐゴシック"/>
        <family val="3"/>
        <charset val="134"/>
        <scheme val="minor"/>
      </rPr>
      <t>谊</t>
    </r>
  </si>
  <si>
    <r>
      <t>晋江市池店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李先生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器店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</si>
  <si>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</si>
  <si>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半青</t>
  </si>
  <si>
    <r>
      <t>戚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</si>
  <si>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葡萄酒; 黄酒; 食用酒精; 白酒</t>
    </r>
  </si>
  <si>
    <t>宁牧一品云</t>
  </si>
  <si>
    <r>
      <t>米酒; 青稞酒; 黄酒;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</si>
  <si>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至拙文正公</t>
  </si>
  <si>
    <r>
      <t>胡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</si>
  <si>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高粱酒; 青梅酒;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白干酒（中国白酒）;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烈酒; 甜酒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</si>
  <si>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山井</t>
    </r>
  </si>
  <si>
    <r>
      <t>曾令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</si>
  <si>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赤德</t>
    </r>
    <r>
      <rPr>
        <sz val="11"/>
        <color theme="1"/>
        <rFont val="ＭＳ Ｐゴシック"/>
        <family val="3"/>
        <charset val="134"/>
        <scheme val="minor"/>
      </rPr>
      <t>义</t>
    </r>
  </si>
  <si>
    <t>王路路</t>
  </si>
  <si>
    <r>
      <t>葡萄酒;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</si>
  <si>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宝古陶酒庄</t>
  </si>
  <si>
    <r>
      <t>环</t>
    </r>
    <r>
      <rPr>
        <sz val="11"/>
        <color theme="1"/>
        <rFont val="ＭＳ Ｐゴシック"/>
        <family val="3"/>
        <charset val="128"/>
        <scheme val="minor"/>
      </rPr>
      <t>球网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</si>
  <si>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白葡萄酒; 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</si>
  <si>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JYANG TOLR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</si>
  <si>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食用酒精; 蒸煮提取物（利口酒和烈酒）</t>
    </r>
  </si>
  <si>
    <t>亳盛</t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</si>
  <si>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</si>
  <si>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食用酒精</t>
    </r>
  </si>
  <si>
    <t>VINEDO CONVENTO VIEJO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</si>
  <si>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白葡萄酒</t>
    </r>
  </si>
  <si>
    <t>SIGNSHERO</t>
  </si>
  <si>
    <r>
      <t>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蒙学（北京）托育服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</si>
  <si>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汽酒</t>
    </r>
  </si>
  <si>
    <r>
      <t>宇中白</t>
    </r>
    <r>
      <rPr>
        <sz val="11"/>
        <color theme="1"/>
        <rFont val="ＭＳ Ｐゴシック"/>
        <family val="3"/>
        <charset val="134"/>
        <scheme val="minor"/>
      </rPr>
      <t>马</t>
    </r>
  </si>
  <si>
    <t>刁开霞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</si>
  <si>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</si>
  <si>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</si>
  <si>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四川志林商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</si>
  <si>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清酒</t>
    </r>
  </si>
  <si>
    <r>
      <t>十</t>
    </r>
    <r>
      <rPr>
        <sz val="11"/>
        <color theme="1"/>
        <rFont val="ＭＳ Ｐゴシック"/>
        <family val="3"/>
        <charset val="134"/>
        <scheme val="minor"/>
      </rPr>
      <t>队</t>
    </r>
    <r>
      <rPr>
        <sz val="11"/>
        <color theme="1"/>
        <rFont val="ＭＳ Ｐゴシック"/>
        <family val="3"/>
        <charset val="128"/>
        <scheme val="minor"/>
      </rPr>
      <t>盛世</t>
    </r>
  </si>
  <si>
    <r>
      <t>鹰</t>
    </r>
    <r>
      <rPr>
        <sz val="11"/>
        <color theme="1"/>
        <rFont val="ＭＳ Ｐゴシック"/>
        <family val="3"/>
        <charset val="128"/>
        <scheme val="minor"/>
      </rPr>
      <t>潭市月湖区福</t>
    </r>
    <r>
      <rPr>
        <sz val="11"/>
        <color theme="1"/>
        <rFont val="ＭＳ Ｐゴシック"/>
        <family val="3"/>
        <charset val="134"/>
        <scheme val="minor"/>
      </rPr>
      <t>邻门</t>
    </r>
    <r>
      <rPr>
        <sz val="11"/>
        <color theme="1"/>
        <rFont val="ＭＳ Ｐゴシック"/>
        <family val="3"/>
        <charset val="128"/>
        <scheme val="minor"/>
      </rPr>
      <t>超市店（个体工商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</si>
  <si>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米酒</t>
    </r>
  </si>
  <si>
    <t>俏蜻蜓</t>
  </si>
  <si>
    <t>梁文英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</si>
  <si>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</t>
    </r>
  </si>
  <si>
    <t>德祠</t>
  </si>
  <si>
    <t>克珠</t>
  </si>
  <si>
    <r>
      <t xml:space="preserve">青稞酒; 清酒; 白干酒（中国白酒）; 葡萄酒; 米酒; 黄酒; 利口酒;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</si>
  <si>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码头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</si>
  <si>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</si>
  <si>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佬矛道</t>
  </si>
  <si>
    <r>
      <t>果酒（含酒精）; 葡萄酒; 青稞酒;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</si>
  <si>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NORRLANDE</t>
  </si>
  <si>
    <r>
      <t>宁夏通致酒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</si>
  <si>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葡萄酒; 青稞酒; 果酒（含酒精）;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</si>
  <si>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健伸王</t>
  </si>
  <si>
    <t>洛阳养生王保健品有限公司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</si>
  <si>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蜂蜜酒;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</si>
  <si>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境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</si>
  <si>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</si>
  <si>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宣禾堂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</si>
  <si>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市宣禾堂生物科技有限公司</t>
    </r>
  </si>
  <si>
    <r>
      <t>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</si>
  <si>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高盅</t>
  </si>
  <si>
    <r>
      <t>贺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</si>
  <si>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>清酒（日本米酒）; 白酒; 开胃酒;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</si>
  <si>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楠溪北院</t>
  </si>
  <si>
    <r>
      <t>王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</si>
  <si>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葡萄酒; 果酒（含酒精）; 威士忌;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</si>
  <si>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蜀以</t>
  </si>
  <si>
    <t>湖州宣牧信息科技有限公司</t>
  </si>
  <si>
    <r>
      <t xml:space="preserve">黄酒;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</si>
  <si>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成唐</t>
  </si>
  <si>
    <r>
      <t>天津晋君源酒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</si>
  <si>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伏特加酒;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</si>
  <si>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兴盏烧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</si>
  <si>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章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</si>
  <si>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</si>
  <si>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粮太极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</si>
  <si>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州真年造企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</si>
  <si>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葡萄酒; 白酒</t>
    </r>
  </si>
  <si>
    <t>阿黔</t>
  </si>
  <si>
    <r>
      <t>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</si>
  <si>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梦好月园</t>
  </si>
  <si>
    <r>
      <t>苟</t>
    </r>
    <r>
      <rPr>
        <sz val="11"/>
        <color theme="1"/>
        <rFont val="ＭＳ Ｐゴシック"/>
        <family val="3"/>
        <charset val="134"/>
        <scheme val="minor"/>
      </rPr>
      <t>跃进</t>
    </r>
  </si>
  <si>
    <t>米酒; 黄酒; 青稞酒; 蜂蜜酒; 葡萄酒; 利口酒; 清酒（日本米酒）; 白酒; 果酒（含酒精）; 烈酒</t>
  </si>
  <si>
    <t>久候搭子</t>
  </si>
  <si>
    <t>湖南一呵食品有限公司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</si>
  <si>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</si>
  <si>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川虎二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</si>
  <si>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莫玉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</si>
  <si>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白酒;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果酒（含酒精）; 米酒; 葡萄酒</t>
    </r>
  </si>
  <si>
    <t>旺流年</t>
  </si>
  <si>
    <r>
      <t>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</si>
  <si>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境武林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</si>
  <si>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果酒（含酒精）</t>
    </r>
  </si>
  <si>
    <t>整一金</t>
  </si>
  <si>
    <r>
      <t>洛阳市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</si>
  <si>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黄酒; 汽酒</t>
    </r>
  </si>
  <si>
    <t>LOUI SHI</t>
  </si>
  <si>
    <r>
      <t>杨</t>
    </r>
    <r>
      <rPr>
        <sz val="11"/>
        <color theme="1"/>
        <rFont val="ＭＳ Ｐゴシック"/>
        <family val="3"/>
        <charset val="128"/>
        <scheme val="minor"/>
      </rPr>
      <t>占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</si>
  <si>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</si>
  <si>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圣芝秘宝</t>
  </si>
  <si>
    <t>西藏灵芝生物科技有限公司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</si>
  <si>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清酒; 葡萄酒; 白酒; 青稞酒; 烈酒; 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</si>
  <si>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醉西州</t>
  </si>
  <si>
    <r>
      <t>卢</t>
    </r>
    <r>
      <rPr>
        <sz val="11"/>
        <color theme="1"/>
        <rFont val="ＭＳ Ｐゴシック"/>
        <family val="3"/>
        <charset val="128"/>
        <scheme val="minor"/>
      </rPr>
      <t>天祥</t>
    </r>
  </si>
  <si>
    <r>
      <t xml:space="preserve">米酒; 伏特加酒;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高粱酒</t>
    </r>
  </si>
  <si>
    <r>
      <t>谈庐</t>
    </r>
    <r>
      <rPr>
        <sz val="11"/>
        <color theme="1"/>
        <rFont val="ＭＳ Ｐゴシック"/>
        <family val="3"/>
        <charset val="128"/>
        <scheme val="minor"/>
      </rPr>
      <t>牡丹</t>
    </r>
  </si>
  <si>
    <r>
      <t>仲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</si>
  <si>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米酒; 食用酒精;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葡萄酒</t>
    </r>
  </si>
  <si>
    <t>JINLIUFU A6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</si>
  <si>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青稞酒; 米酒; 葡萄酒;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</si>
  <si>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御泉桃院</t>
  </si>
  <si>
    <r>
      <t>国寿堂（安徽）生物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</si>
  <si>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</si>
  <si>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Y.FOREVERTRIUMPH</t>
  </si>
  <si>
    <r>
      <t>丹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亨恒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</si>
  <si>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清酒（日本米酒）;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朗姆酒; 葡萄酒; 利口酒</t>
    </r>
  </si>
  <si>
    <r>
      <t>河南具茨酒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</si>
  <si>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</t>
    </r>
  </si>
  <si>
    <r>
      <t>醇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良</t>
    </r>
  </si>
  <si>
    <r>
      <t>吉林省五魁首酒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</si>
  <si>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</si>
  <si>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冰魅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</si>
  <si>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炫客酒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</si>
  <si>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水果汽酒;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蒸煮提取物（利口酒和烈酒）</t>
    </r>
  </si>
  <si>
    <r>
      <t>谈庐</t>
    </r>
    <r>
      <rPr>
        <sz val="11"/>
        <color theme="1"/>
        <rFont val="ＭＳ Ｐゴシック"/>
        <family val="3"/>
        <charset val="128"/>
        <scheme val="minor"/>
      </rPr>
      <t>清花</t>
    </r>
  </si>
  <si>
    <r>
      <t xml:space="preserve">食用酒精; 黄酒;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</si>
  <si>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大皮酒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DA PI LIQUOR INDUSTRY</t>
    </r>
  </si>
  <si>
    <r>
      <t>鹿寨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大皮五金店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</si>
  <si>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</si>
  <si>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r>
      <t>平武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食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同源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</si>
  <si>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葡萄酒; 蒸煮提取物（利口酒和烈酒）;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</si>
  <si>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内蒙古河套酒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</si>
  <si>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白酒; 利口酒;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</t>
    </r>
  </si>
  <si>
    <t>容和牡丹</t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</si>
  <si>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食用酒精</t>
    </r>
  </si>
  <si>
    <t>玉克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</si>
  <si>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宁越工程有限公司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</si>
  <si>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天然汽酒; 松叶酒; 清酒;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</t>
    </r>
  </si>
  <si>
    <t>艾佳</t>
  </si>
  <si>
    <t>浙江艾佳食品有限公司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</si>
  <si>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苹果酒; 葡萄酒; 果酒;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</si>
  <si>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佬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湖</t>
    </r>
  </si>
  <si>
    <t>江佳平</t>
  </si>
  <si>
    <r>
      <t xml:space="preserve">果酒（含酒精）; 开胃酒; 威士忌;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</si>
  <si>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烧庆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</si>
  <si>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白酒; 果酒（含酒精）</t>
    </r>
  </si>
  <si>
    <t>李 李一帆</t>
  </si>
  <si>
    <t>李一帆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</si>
  <si>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清酒; 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</si>
  <si>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思悦</t>
    </r>
  </si>
  <si>
    <t>王波波</t>
  </si>
  <si>
    <r>
      <t>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混合威士忌酒; 果酒（含酒精）; 开胃酒; 清酒（日本米酒）</t>
    </r>
  </si>
  <si>
    <t>川匠世家 酒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</si>
  <si>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州内藏臻淳酒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</si>
  <si>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黄酒; 果酒（含酒精）;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</si>
  <si>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BROSTRUST</t>
  </si>
  <si>
    <r>
      <t>内蒙古包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</si>
  <si>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果酒; 白酒; 葡萄酒;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</si>
  <si>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筛</t>
    </r>
  </si>
  <si>
    <t>任宗山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</si>
  <si>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</si>
  <si>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典道</t>
    </r>
    <r>
      <rPr>
        <sz val="11"/>
        <color theme="1"/>
        <rFont val="ＭＳ Ｐゴシック"/>
        <family val="3"/>
        <charset val="134"/>
        <scheme val="minor"/>
      </rPr>
      <t>识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</si>
  <si>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典道文化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播（北京）有限公司</t>
    </r>
  </si>
  <si>
    <r>
      <t>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杜松子酒; 葡萄酒; 蜂蜜酒;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</si>
  <si>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t>疆湖客</t>
  </si>
  <si>
    <r>
      <t>韩</t>
    </r>
    <r>
      <rPr>
        <sz val="11"/>
        <color theme="1"/>
        <rFont val="ＭＳ Ｐゴシック"/>
        <family val="3"/>
        <charset val="128"/>
        <scheme val="minor"/>
      </rPr>
      <t>志忠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</si>
  <si>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餐后酒（利口酒和烈酒）;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</si>
  <si>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裕槐清</t>
  </si>
  <si>
    <t>王淋淋</t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</si>
  <si>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</si>
  <si>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麒瑞意桐</t>
  </si>
  <si>
    <r>
      <t>枣</t>
    </r>
    <r>
      <rPr>
        <sz val="11"/>
        <color theme="1"/>
        <rFont val="ＭＳ Ｐゴシック"/>
        <family val="3"/>
        <charset val="128"/>
        <scheme val="minor"/>
      </rPr>
      <t>庄麒瑞文化有限公司</t>
    </r>
  </si>
  <si>
    <r>
      <t xml:space="preserve">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蒸煮提取物（利口酒和烈酒）;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</si>
  <si>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老表</t>
    </r>
  </si>
  <si>
    <r>
      <t>文山</t>
    </r>
    <r>
      <rPr>
        <sz val="11"/>
        <color theme="1"/>
        <rFont val="ＭＳ Ｐゴシック"/>
        <family val="3"/>
        <charset val="134"/>
        <scheme val="minor"/>
      </rPr>
      <t>龙欢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</si>
  <si>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清酒（日本米酒）; 白酒; 果酒（含酒精）; 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苦味酒;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</si>
  <si>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旌歙古道</t>
  </si>
  <si>
    <r>
      <t>苹果酒;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</si>
  <si>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湖阳井</t>
  </si>
  <si>
    <r>
      <t>王小</t>
    </r>
    <r>
      <rPr>
        <sz val="11"/>
        <color theme="1"/>
        <rFont val="ＭＳ Ｐゴシック"/>
        <family val="3"/>
        <charset val="134"/>
        <scheme val="minor"/>
      </rPr>
      <t>东</t>
    </r>
  </si>
  <si>
    <t>苦味酒; 黄酒; 果酒（含酒精）; 白酒; 汽酒; 食用酒精; 青稞酒; 茴芹酒（利口酒）; 茴香酒（利口酒）; 开胃酒</t>
  </si>
  <si>
    <t>六下江南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</si>
  <si>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乾隆江南酒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</si>
  <si>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</si>
  <si>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</si>
  <si>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州衡毅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</si>
  <si>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甜酒; 黄酒;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</si>
  <si>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敦</t>
    </r>
    <r>
      <rPr>
        <sz val="11"/>
        <color theme="1"/>
        <rFont val="ＭＳ Ｐゴシック"/>
        <family val="3"/>
        <charset val="134"/>
        <scheme val="minor"/>
      </rPr>
      <t>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</si>
  <si>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挚</t>
    </r>
    <r>
      <rPr>
        <sz val="11"/>
        <color theme="1"/>
        <rFont val="ＭＳ Ｐゴシック"/>
        <family val="3"/>
        <charset val="128"/>
        <scheme val="minor"/>
      </rPr>
      <t>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</si>
  <si>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威士忌; 开胃酒; 果酒（含酒精）; 清酒（日本米酒）; 利口酒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</si>
  <si>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</si>
  <si>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燚湾</t>
  </si>
  <si>
    <r>
      <t>四川睿叠酒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</si>
  <si>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</si>
  <si>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龙涧</t>
    </r>
  </si>
  <si>
    <t>王高青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</si>
  <si>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白酒; 果酒（含酒精）; 葡萄酒</t>
    </r>
  </si>
  <si>
    <t>封和天下</t>
  </si>
  <si>
    <t>王建宇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</si>
  <si>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食用酒精; 白酒;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</si>
  <si>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秀和天下</t>
  </si>
  <si>
    <r>
      <t>开胃酒;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黄酒</t>
    </r>
  </si>
  <si>
    <t>京台庄沅</t>
  </si>
  <si>
    <r>
      <t>白干酒（中国白酒）; 黄酒; 葡萄酒;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</si>
  <si>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青城五行</t>
  </si>
  <si>
    <r>
      <t>四川省藏恩生物医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</si>
  <si>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开胃酒; 果酒（含酒精）; 黄酒; 米酒; 杜松子酒; 威士忌; 清酒</t>
    </r>
  </si>
  <si>
    <t>WESTINGHOUSE</t>
  </si>
  <si>
    <r>
      <t>伏特加酒; 葡萄酒; 白酒; 利口酒; 清酒（日本米酒）; 蜂蜜酒;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</si>
  <si>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疆者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</si>
  <si>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</si>
  <si>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青稞酒; 米酒;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</si>
  <si>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御禄宛旨</t>
  </si>
  <si>
    <t>河南星潮信息科技有限公司</t>
  </si>
  <si>
    <r>
      <t xml:space="preserve">果酒（含酒精）;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黄酒</t>
    </r>
  </si>
  <si>
    <t>蛎害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</si>
  <si>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</si>
  <si>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蒸煮提取物（利口酒和烈酒）; 杜松子酒; 烈酒;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梨酒</t>
    </r>
  </si>
  <si>
    <r>
      <t>喜佳悦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</si>
  <si>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威士忌</t>
    </r>
  </si>
  <si>
    <t>西屋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</si>
  <si>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开胃酒; 果酒（含酒精）; 利口酒; 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</si>
  <si>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成裕父子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</si>
  <si>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州成裕父子酒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</si>
  <si>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</si>
  <si>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酬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</si>
  <si>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t>张润</t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</si>
  <si>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</si>
  <si>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火</t>
    </r>
    <r>
      <rPr>
        <sz val="11"/>
        <color theme="1"/>
        <rFont val="ＭＳ Ｐゴシック"/>
        <family val="3"/>
        <charset val="134"/>
        <scheme val="minor"/>
      </rPr>
      <t>怼长</t>
    </r>
  </si>
  <si>
    <r>
      <t>玉溪小黄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</si>
  <si>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食用酒精; 白酒; 露酒</t>
    </r>
  </si>
  <si>
    <r>
      <t>小糊涂仙 小珍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</si>
  <si>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小糊涂仙酒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</si>
  <si>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</si>
  <si>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季榕庄</t>
  </si>
  <si>
    <r>
      <t>谢凤</t>
    </r>
    <r>
      <rPr>
        <sz val="11"/>
        <color theme="1"/>
        <rFont val="ＭＳ Ｐゴシック"/>
        <family val="3"/>
        <charset val="128"/>
        <scheme val="minor"/>
      </rPr>
      <t>臣</t>
    </r>
  </si>
  <si>
    <r>
      <t>葡萄酒; 威士忌;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</si>
  <si>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</si>
  <si>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</si>
  <si>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黄酒; 葡萄酒; 果酒; 白酒</t>
    </r>
  </si>
  <si>
    <r>
      <t>小糊涂仙 小君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</si>
  <si>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</si>
  <si>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夫欲极</t>
  </si>
  <si>
    <r>
      <t>安徽唐</t>
    </r>
    <r>
      <rPr>
        <sz val="11"/>
        <color theme="1"/>
        <rFont val="ＭＳ Ｐゴシック"/>
        <family val="3"/>
        <charset val="134"/>
        <scheme val="minor"/>
      </rPr>
      <t>汉飘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</si>
  <si>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</si>
  <si>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</si>
  <si>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啤匠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</si>
  <si>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泓正印刷包装科技有限公司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</si>
  <si>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清酒</t>
    </r>
  </si>
  <si>
    <r>
      <t>半</t>
    </r>
    <r>
      <rPr>
        <sz val="11"/>
        <color theme="1"/>
        <rFont val="ＭＳ Ｐゴシック"/>
        <family val="3"/>
        <charset val="134"/>
        <scheme val="minor"/>
      </rPr>
      <t>边桥</t>
    </r>
    <r>
      <rPr>
        <sz val="11"/>
        <color theme="1"/>
        <rFont val="ＭＳ Ｐゴシック"/>
        <family val="3"/>
        <charset val="128"/>
        <scheme val="minor"/>
      </rPr>
      <t>仁宣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</si>
  <si>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开胃酒; 葡萄酒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</si>
  <si>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韵天成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</si>
  <si>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州黔地</t>
    </r>
    <r>
      <rPr>
        <sz val="11"/>
        <color theme="1"/>
        <rFont val="ＭＳ Ｐゴシック"/>
        <family val="3"/>
        <charset val="134"/>
        <scheme val="minor"/>
      </rPr>
      <t>伟业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</si>
  <si>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</si>
  <si>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RAOE</t>
  </si>
  <si>
    <r>
      <t>储</t>
    </r>
    <r>
      <rPr>
        <sz val="11"/>
        <color theme="1"/>
        <rFont val="ＭＳ Ｐゴシック"/>
        <family val="3"/>
        <charset val="128"/>
        <scheme val="minor"/>
      </rPr>
      <t>豫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</si>
  <si>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清酒（日本米酒）; 威士忌; 果酒（含酒精）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</si>
  <si>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</si>
  <si>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白干酒（中国白酒）; 葡萄酒; 梅酒; 米酒</t>
    </r>
  </si>
  <si>
    <r>
      <t>壮志</t>
    </r>
    <r>
      <rPr>
        <sz val="11"/>
        <color theme="1"/>
        <rFont val="ＭＳ Ｐゴシック"/>
        <family val="3"/>
        <charset val="134"/>
        <scheme val="minor"/>
      </rPr>
      <t>巅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</si>
  <si>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</si>
  <si>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TENUTE FALEZZA</t>
  </si>
  <si>
    <r>
      <t>法莱扎（宁波）国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</si>
  <si>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白葡萄酒;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</t>
    </r>
  </si>
  <si>
    <r>
      <t>九参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</si>
  <si>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吉林省均泰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</si>
  <si>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清酒（日本米酒）; 食用酒精</t>
    </r>
  </si>
  <si>
    <t>京九臣</t>
  </si>
  <si>
    <r>
      <t>龚泽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</si>
  <si>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清酒（日本米酒）; 白酒; 葡萄酒;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</t>
    </r>
  </si>
  <si>
    <r>
      <t>珍品帝王</t>
    </r>
    <r>
      <rPr>
        <sz val="11"/>
        <color theme="1"/>
        <rFont val="ＭＳ Ｐゴシック"/>
        <family val="3"/>
        <charset val="134"/>
        <scheme val="minor"/>
      </rPr>
      <t>赢</t>
    </r>
  </si>
  <si>
    <t>天津市静海区百酒坊烟酒商行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</si>
  <si>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白干酒（中国白酒）; 白酒; 朗姆酒; 利口酒;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</si>
  <si>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暴力熊（中国）有限公司</t>
  </si>
  <si>
    <r>
      <t xml:space="preserve">葡萄酒;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开胃酒; 苹果酒; 威士忌; 果酒（含酒精）</t>
    </r>
  </si>
  <si>
    <t>科瓴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</si>
  <si>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科瓴科技有限公司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</si>
  <si>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伏特加酒; 葡萄酒;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</si>
  <si>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牛站沟</t>
  </si>
  <si>
    <r>
      <t>渭源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牛站沟种植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</si>
  <si>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</si>
  <si>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七里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</si>
  <si>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张闻</t>
    </r>
    <r>
      <rPr>
        <sz val="11"/>
        <color theme="1"/>
        <rFont val="ＭＳ Ｐゴシック"/>
        <family val="3"/>
        <charset val="128"/>
        <scheme val="minor"/>
      </rPr>
      <t>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</si>
  <si>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青稞酒; 食用酒精; 杜松子酒; 白酒; 葡萄酒</t>
    </r>
  </si>
  <si>
    <t>新派特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</si>
  <si>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渡文化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</si>
  <si>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黄酒; 果酒（含酒精）; 葡萄酒;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</si>
  <si>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新派藏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</si>
  <si>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餐后酒（利口酒和烈酒）; 米酒; 黄酒</t>
    </r>
  </si>
  <si>
    <t>无争仙</t>
  </si>
  <si>
    <r>
      <t>黄酒;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</si>
  <si>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世梦酒庄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</si>
  <si>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</si>
  <si>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高粱酒; 青稞酒; 开胃酒; 葡萄酒; 利口酒</t>
    </r>
  </si>
  <si>
    <t>SIGNAL SAKE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</si>
  <si>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讯诺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</si>
  <si>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梅酒; 清酒; 威士忌;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麦芽威士忌; 日本梅子酒; 果酒</t>
    </r>
  </si>
  <si>
    <t>吟策坊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</si>
  <si>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果酒（含酒精）; 葡萄酒; 食用酒精</t>
    </r>
  </si>
  <si>
    <r>
      <t>勤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</si>
  <si>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</si>
  <si>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黄酒; 葡萄酒; 白酒; 汽酒; 食用酒精; 开胃酒</t>
    </r>
  </si>
  <si>
    <r>
      <t>庹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</si>
  <si>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伏特加酒; 黄酒; 果酒; 露酒;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</si>
  <si>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象城翡翠</t>
  </si>
  <si>
    <r>
      <t>开胃酒; 米酒; 白酒; 薄荷酒;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</si>
  <si>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ORDOSME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</si>
  <si>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与略咨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</si>
  <si>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</si>
  <si>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觐</t>
    </r>
  </si>
  <si>
    <r>
      <t>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</si>
  <si>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t>本竹</t>
  </si>
  <si>
    <r>
      <t>尹月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</si>
  <si>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开胃酒; 葡萄酒; 威士忌; 米酒; 白酒; 露酒; 果酒; 青梅酒</t>
    </r>
  </si>
  <si>
    <r>
      <t>廷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汝酒</t>
    </r>
  </si>
  <si>
    <r>
      <t>中汝廷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</si>
  <si>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 xml:space="preserve">高粱酒; 米酒; 白酒;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</si>
  <si>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金尊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</si>
  <si>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</si>
  <si>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白酒; 果酒（含酒精）; 利口酒</t>
    </r>
  </si>
  <si>
    <r>
      <t>廷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汝香</t>
    </r>
  </si>
  <si>
    <r>
      <t xml:space="preserve">白酒; 高粱酒;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果酒; 白干酒（中国白酒）</t>
    </r>
  </si>
  <si>
    <t>海霞</t>
  </si>
  <si>
    <t>天津奇典科技有限公司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</si>
  <si>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</si>
  <si>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台</t>
    </r>
  </si>
  <si>
    <t>甘永江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</si>
  <si>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</si>
  <si>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白酒; 蜂蜜酒</t>
    </r>
  </si>
  <si>
    <t>PEOS ESTATE</t>
  </si>
  <si>
    <r>
      <t>皮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斯·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克</t>
    </r>
  </si>
  <si>
    <t>葡萄酒</t>
  </si>
  <si>
    <t>拙瑧</t>
  </si>
  <si>
    <t>西安市鄠邑区京畿黄酒研究院</t>
  </si>
  <si>
    <r>
      <t xml:space="preserve">葡萄酒; 白酒; 果酒（含酒精）; 开胃酒;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</t>
    </r>
  </si>
  <si>
    <r>
      <t>正直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</si>
  <si>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士霞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</si>
  <si>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</si>
  <si>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第十四章CHAPTERXIV</t>
  </si>
  <si>
    <r>
      <t>上海拜思</t>
    </r>
    <r>
      <rPr>
        <sz val="11"/>
        <color theme="1"/>
        <rFont val="ＭＳ Ｐゴシック"/>
        <family val="3"/>
        <charset val="134"/>
        <scheme val="minor"/>
      </rPr>
      <t>丽实业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</si>
  <si>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果酒（含酒精）; 开胃酒; 烈性干酒;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</si>
  <si>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暗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</si>
  <si>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黄酒; 露酒; 伏特加酒;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</si>
  <si>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火</t>
    </r>
    <r>
      <rPr>
        <sz val="11"/>
        <color theme="1"/>
        <rFont val="ＭＳ Ｐゴシック"/>
        <family val="3"/>
        <charset val="134"/>
        <scheme val="minor"/>
      </rPr>
      <t>诞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</si>
  <si>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</si>
  <si>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铭钰</t>
    </r>
    <r>
      <rPr>
        <sz val="11"/>
        <color theme="1"/>
        <rFont val="ＭＳ Ｐゴシック"/>
        <family val="3"/>
        <charset val="128"/>
        <scheme val="minor"/>
      </rPr>
      <t>康莱</t>
    </r>
  </si>
  <si>
    <r>
      <t>铭钰</t>
    </r>
    <r>
      <rPr>
        <sz val="11"/>
        <color theme="1"/>
        <rFont val="ＭＳ Ｐゴシック"/>
        <family val="3"/>
        <charset val="128"/>
        <scheme val="minor"/>
      </rPr>
      <t>健康科技（深圳）有限公司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</si>
  <si>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苦味酒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</si>
  <si>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天壹号</t>
    </r>
  </si>
  <si>
    <t>王相天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</si>
  <si>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果酒（含酒精）</t>
    </r>
  </si>
  <si>
    <t>极斗</t>
  </si>
  <si>
    <t>北京柔极斗科技有限公司</t>
  </si>
  <si>
    <r>
      <t>薄荷酒;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果酒（含酒精）</t>
    </r>
  </si>
  <si>
    <r>
      <t>小糊涂仙 小佳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</si>
  <si>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葡萄酒; 清酒（日本米酒）;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</si>
  <si>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丁陶鼓</t>
  </si>
  <si>
    <r>
      <t>襄汾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林广告有限公司</t>
    </r>
  </si>
  <si>
    <r>
      <t xml:space="preserve">甜果酒;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青稞酒; 威士忌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</si>
  <si>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炼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</si>
  <si>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泉州康善健康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</si>
  <si>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</si>
  <si>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PUNK BISON</t>
  </si>
  <si>
    <r>
      <t>深圳市山禾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饮娱乐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</si>
  <si>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蜂蜜酒; 葡萄酒;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</si>
  <si>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耀</t>
    </r>
    <r>
      <rPr>
        <sz val="11"/>
        <color theme="1"/>
        <rFont val="ＭＳ Ｐゴシック"/>
        <family val="3"/>
        <charset val="134"/>
        <scheme val="minor"/>
      </rPr>
      <t>汣</t>
    </r>
    <r>
      <rPr>
        <sz val="11"/>
        <color theme="1"/>
        <rFont val="ＭＳ Ｐゴシック"/>
        <family val="3"/>
        <charset val="128"/>
        <scheme val="minor"/>
      </rPr>
      <t>璐</t>
    </r>
  </si>
  <si>
    <t>恩施市耀海食品加工厂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</si>
  <si>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</si>
  <si>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黄金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辛丑金牛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</si>
  <si>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虎将酒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</si>
  <si>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米酒; 露酒; 餐后酒（利口酒和烈酒）</t>
    </r>
  </si>
  <si>
    <t>WSK</t>
  </si>
  <si>
    <r>
      <t>温州味事康供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</si>
  <si>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</si>
  <si>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悦王府</t>
  </si>
  <si>
    <r>
      <t>贾</t>
    </r>
    <r>
      <rPr>
        <sz val="11"/>
        <color theme="1"/>
        <rFont val="ＭＳ Ｐゴシック"/>
        <family val="3"/>
        <charset val="128"/>
        <scheme val="minor"/>
      </rPr>
      <t>全山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</si>
  <si>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佐餐酒; 清酒; 果酒（含酒精）; 米酒; 白酒; 黄酒;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</si>
  <si>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FAN WEN KE</t>
  </si>
  <si>
    <r>
      <t>王玉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</si>
  <si>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白酒; 果酒（含酒精）; 黄酒</t>
    </r>
  </si>
  <si>
    <t>UDREAM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</si>
  <si>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利口酒; 汽酒; 露酒; 葡萄酒; 果酒（含酒精）</t>
    </r>
  </si>
  <si>
    <r>
      <t>坤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匠香</t>
    </r>
  </si>
  <si>
    <r>
      <t>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米酒; 葡萄酒; 苹果酒</t>
    </r>
  </si>
  <si>
    <t>QING YUAN FANG NONG YE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</si>
  <si>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青源坊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</si>
  <si>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葡萄酒; 米酒;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食用酒精; 果酒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</si>
  <si>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史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</si>
  <si>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34"/>
        <scheme val="minor"/>
      </rPr>
      <t>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</si>
  <si>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开胃酒; 白酒</t>
    </r>
  </si>
  <si>
    <t>播福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</si>
  <si>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州播域酒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</si>
  <si>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清酒（日本米酒）; 白酒</t>
    </r>
  </si>
  <si>
    <r>
      <t>智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</si>
  <si>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</si>
  <si>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果酒（含酒精）</t>
    </r>
  </si>
  <si>
    <r>
      <t>泽</t>
    </r>
    <r>
      <rPr>
        <sz val="11"/>
        <color theme="1"/>
        <rFont val="ＭＳ Ｐゴシック"/>
        <family val="3"/>
        <charset val="128"/>
        <scheme val="minor"/>
      </rPr>
      <t>田</t>
    </r>
  </si>
  <si>
    <r>
      <t>米酒; 果酒;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露酒; 开胃酒; 青梅酒</t>
    </r>
  </si>
  <si>
    <t>Z·H·MANGROVE</t>
  </si>
  <si>
    <r>
      <t>深圳市中禾</t>
    </r>
    <r>
      <rPr>
        <sz val="11"/>
        <color theme="1"/>
        <rFont val="ＭＳ Ｐゴシック"/>
        <family val="3"/>
        <charset val="134"/>
        <scheme val="minor"/>
      </rPr>
      <t>红树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</si>
  <si>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</si>
  <si>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北朝磁州</t>
  </si>
  <si>
    <r>
      <t>魏俊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</si>
  <si>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米酒; 葡萄酒; 蒸煮提取物（利口酒和烈酒）;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</si>
  <si>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荣彬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</si>
  <si>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</si>
  <si>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嘉佳</t>
    </r>
    <r>
      <rPr>
        <sz val="11"/>
        <color theme="1"/>
        <rFont val="ＭＳ Ｐゴシック"/>
        <family val="3"/>
        <charset val="134"/>
        <scheme val="minor"/>
      </rPr>
      <t>馋</t>
    </r>
    <r>
      <rPr>
        <sz val="11"/>
        <color theme="1"/>
        <rFont val="ＭＳ Ｐゴシック"/>
        <family val="3"/>
        <charset val="128"/>
        <scheme val="minor"/>
      </rPr>
      <t>趣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</si>
  <si>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宁旭恒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</si>
  <si>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汽酒</t>
    </r>
  </si>
  <si>
    <t>有米厨</t>
  </si>
  <si>
    <r>
      <t>果酒（含酒精）; 黄酒; 清酒（日本米酒）;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</si>
  <si>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汣</t>
    </r>
    <r>
      <rPr>
        <sz val="11"/>
        <color theme="1"/>
        <rFont val="ＭＳ Ｐゴシック"/>
        <family val="3"/>
        <charset val="128"/>
        <scheme val="minor"/>
      </rPr>
      <t>掌</t>
    </r>
    <r>
      <rPr>
        <sz val="11"/>
        <color theme="1"/>
        <rFont val="ＭＳ Ｐゴシック"/>
        <family val="3"/>
        <charset val="134"/>
        <scheme val="minor"/>
      </rPr>
      <t>门</t>
    </r>
  </si>
  <si>
    <t>谢丽琼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</si>
  <si>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</si>
  <si>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宝昕里</t>
  </si>
  <si>
    <t>上海欣博食品有限公司</t>
  </si>
  <si>
    <r>
      <t>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白酒; 清酒</t>
    </r>
  </si>
  <si>
    <t>街粮</t>
  </si>
  <si>
    <t>冼小芬</t>
  </si>
  <si>
    <r>
      <t>白酒; 清酒;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青稞酒;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</si>
  <si>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幸福阿呆</t>
  </si>
  <si>
    <t>李永斌</t>
  </si>
  <si>
    <r>
      <t>烈酒; 白酒; 葡萄酒;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梅酒; 米酒; 果酒</t>
    </r>
  </si>
  <si>
    <r>
      <t>真枝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</si>
  <si>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湖北枝江酒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</si>
  <si>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清酒（日本米酒）</t>
    </r>
  </si>
  <si>
    <r>
      <t>利口酒; 葡萄酒; 露酒; 汽酒; 白酒; 米酒;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</si>
  <si>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OFFCOS 奥夫考斯</t>
  </si>
  <si>
    <r>
      <t>盐</t>
    </r>
    <r>
      <rPr>
        <sz val="11"/>
        <color theme="1"/>
        <rFont val="ＭＳ Ｐゴシック"/>
        <family val="3"/>
        <charset val="128"/>
        <scheme val="minor"/>
      </rPr>
      <t>城泥石流信息科技有限公司</t>
    </r>
  </si>
  <si>
    <r>
      <t>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伏特加酒;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</si>
  <si>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戈壁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</si>
  <si>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</si>
  <si>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开胃酒;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</si>
  <si>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十里之醴 TEN MILES OF LI</t>
  </si>
  <si>
    <r>
      <t>上海向山海商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</si>
  <si>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米酒; 含酒精的气泡水; 烈酒;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</si>
  <si>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好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</si>
  <si>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宏娜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</si>
  <si>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清酒; 食用酒精;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</si>
  <si>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SABBATTA</t>
  </si>
  <si>
    <r>
      <t>伊格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西奥·奥古斯托·米利克·巴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斯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</si>
  <si>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</si>
  <si>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SUPERHEXA</t>
  </si>
  <si>
    <r>
      <t>北京蜂巢世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</si>
  <si>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茴芹酒（利口酒）; 米酒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</si>
  <si>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根脉</t>
    </r>
  </si>
  <si>
    <r>
      <t>云南生物多</t>
    </r>
    <r>
      <rPr>
        <sz val="11"/>
        <color theme="1"/>
        <rFont val="ＭＳ Ｐゴシック"/>
        <family val="3"/>
        <charset val="134"/>
        <scheme val="minor"/>
      </rPr>
      <t>样</t>
    </r>
    <r>
      <rPr>
        <sz val="11"/>
        <color theme="1"/>
        <rFont val="ＭＳ Ｐゴシック"/>
        <family val="3"/>
        <charset val="128"/>
        <scheme val="minor"/>
      </rPr>
      <t>性品牌控股集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</si>
  <si>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苦味酒; 梨酒; 米酒; 烈酒; 白酒</t>
    </r>
  </si>
  <si>
    <t>明有源 MINGYUAN ACTIVE</t>
  </si>
  <si>
    <r>
      <t>明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</si>
  <si>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果酒（含酒精）; 苹果酒; 餐后酒（利口酒和烈酒）; 蜂蜜酒;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</si>
  <si>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</si>
  <si>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新俊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</si>
  <si>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</si>
  <si>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如意花姐</t>
  </si>
  <si>
    <r>
      <t>泉州如意花姐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色食品有限公司</t>
    </r>
  </si>
  <si>
    <r>
      <t>果酒（含酒精）;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</si>
  <si>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清花散花</t>
  </si>
  <si>
    <t>李治官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</si>
  <si>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</si>
  <si>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史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</si>
  <si>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果酒（含酒精）; 开胃酒; 葡萄酒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</si>
  <si>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福</t>
    </r>
  </si>
  <si>
    <t>夏秉清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</si>
  <si>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清酒（日本米酒）; 葡萄酒; 米酒; 伏特加酒; 果酒（含酒精）; 白酒</t>
    </r>
  </si>
  <si>
    <t>七星五九粮</t>
  </si>
  <si>
    <r>
      <t>兰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能机械有限公司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</si>
  <si>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含酒精蛋奶酒;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威末酒;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高粱酒</t>
    </r>
  </si>
  <si>
    <r>
      <t>施享小</t>
    </r>
    <r>
      <rPr>
        <sz val="11"/>
        <color theme="1"/>
        <rFont val="ＭＳ Ｐゴシック"/>
        <family val="3"/>
        <charset val="134"/>
        <scheme val="minor"/>
      </rPr>
      <t>样</t>
    </r>
  </si>
  <si>
    <t>四川和福邸康养有限公司</t>
  </si>
  <si>
    <r>
      <t>米酒; 烈酒;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</t>
    </r>
  </si>
  <si>
    <t>溢凡老酒坊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</si>
  <si>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庆铭</t>
    </r>
    <r>
      <rPr>
        <sz val="11"/>
        <color theme="1"/>
        <rFont val="ＭＳ Ｐゴシック"/>
        <family val="3"/>
        <charset val="128"/>
        <scheme val="minor"/>
      </rPr>
      <t>佳屹建筑装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</si>
  <si>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烈酒</t>
    </r>
  </si>
  <si>
    <r>
      <t>珙</t>
    </r>
    <r>
      <rPr>
        <sz val="11"/>
        <color theme="1"/>
        <rFont val="ＭＳ Ｐゴシック"/>
        <family val="3"/>
        <charset val="129"/>
        <scheme val="minor"/>
      </rPr>
      <t>僰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</si>
  <si>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鸿欢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</si>
  <si>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开胃酒;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黄酒</t>
    </r>
  </si>
  <si>
    <t>匠王禧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</si>
  <si>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</si>
  <si>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小状</t>
    </r>
  </si>
  <si>
    <t>冀梦涵</t>
  </si>
  <si>
    <r>
      <t>清酒（日本米酒）; 威士忌; 白酒;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黄酒</t>
    </r>
  </si>
  <si>
    <r>
      <t>浊</t>
    </r>
    <r>
      <rPr>
        <sz val="11"/>
        <color theme="1"/>
        <rFont val="ＭＳ Ｐゴシック"/>
        <family val="3"/>
        <charset val="128"/>
        <scheme val="minor"/>
      </rPr>
      <t>漳清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</si>
  <si>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乡县</t>
    </r>
    <r>
      <rPr>
        <sz val="11"/>
        <color theme="1"/>
        <rFont val="ＭＳ Ｐゴシック"/>
        <family val="3"/>
        <charset val="128"/>
        <scheme val="minor"/>
      </rPr>
      <t>宏德商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</si>
  <si>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</t>
    </r>
  </si>
  <si>
    <t>陈壶记</t>
  </si>
  <si>
    <r>
      <t>龚</t>
    </r>
    <r>
      <rPr>
        <sz val="11"/>
        <color theme="1"/>
        <rFont val="ＭＳ Ｐゴシック"/>
        <family val="3"/>
        <charset val="128"/>
        <scheme val="minor"/>
      </rPr>
      <t>雪梅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</si>
  <si>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</si>
  <si>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魁裕号</t>
  </si>
  <si>
    <r>
      <t>石家庄八斗粮商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</si>
  <si>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高粱酒; 白干酒（中国白酒）;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</si>
  <si>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朝朝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</si>
  <si>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黄酒;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开胃酒;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</si>
  <si>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京城客</t>
  </si>
  <si>
    <r>
      <t>京城酒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（天津）有限公司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</si>
  <si>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葡萄酒; 米酒;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果酒</t>
    </r>
  </si>
  <si>
    <r>
      <t>千境</t>
    </r>
    <r>
      <rPr>
        <sz val="11"/>
        <color theme="1"/>
        <rFont val="ＭＳ Ｐゴシック"/>
        <family val="3"/>
        <charset val="134"/>
        <scheme val="minor"/>
      </rPr>
      <t>荧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</si>
  <si>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(天津)品牌管理有限公司</t>
    </r>
  </si>
  <si>
    <r>
      <t xml:space="preserve">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</si>
  <si>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玉液坤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</si>
  <si>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葡萄酒; 苹果酒</t>
    </r>
  </si>
  <si>
    <r>
      <t>逐梦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</si>
  <si>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闹乐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</si>
  <si>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</si>
  <si>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t>葆延康</t>
  </si>
  <si>
    <r>
      <t>白酒; 果酒（含酒精）;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</si>
  <si>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魁</t>
    </r>
    <r>
      <rPr>
        <sz val="11"/>
        <color theme="1"/>
        <rFont val="ＭＳ Ｐゴシック"/>
        <family val="3"/>
        <charset val="129"/>
        <scheme val="minor"/>
      </rPr>
      <t>洐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</si>
  <si>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>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白干酒（中国白酒）;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</si>
  <si>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遵言</t>
  </si>
  <si>
    <r>
      <t>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</t>
    </r>
  </si>
  <si>
    <t>街梦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</si>
  <si>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果酒; 梅酒; 清酒; 青稞酒; 黄酒; 烈酒</t>
    </r>
  </si>
  <si>
    <r>
      <t>真枝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</si>
  <si>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米酒;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</si>
  <si>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阿里山日月潭</t>
  </si>
  <si>
    <r>
      <t>杨</t>
    </r>
    <r>
      <rPr>
        <sz val="11"/>
        <color theme="1"/>
        <rFont val="ＭＳ Ｐゴシック"/>
        <family val="3"/>
        <charset val="128"/>
        <scheme val="minor"/>
      </rPr>
      <t>英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</si>
  <si>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</si>
  <si>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穆岭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</si>
  <si>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朱德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</si>
  <si>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白酒; 葡萄酒; 露酒; 高粱酒; 黄酒; 甜酒; 食用酒精; 果酒;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</si>
  <si>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姐妹莓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</si>
  <si>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国康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</si>
  <si>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果酒; 烈酒; 甜酒;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白酒</t>
    </r>
  </si>
  <si>
    <t>DISCO DASH</t>
  </si>
  <si>
    <r>
      <t>徐州摩登家族商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</si>
  <si>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餐后酒（利口酒和烈酒）; 杜松子酒;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</si>
  <si>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意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祥</t>
    </r>
  </si>
  <si>
    <t>吴健翔******************</t>
  </si>
  <si>
    <r>
      <t>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</si>
  <si>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沁春</t>
    </r>
  </si>
  <si>
    <r>
      <t>威士忌;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白酒;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</si>
  <si>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博睿</t>
    </r>
    <r>
      <rPr>
        <sz val="11"/>
        <color theme="1"/>
        <rFont val="ＭＳ Ｐゴシック"/>
        <family val="3"/>
        <charset val="134"/>
        <scheme val="minor"/>
      </rPr>
      <t>远见</t>
    </r>
  </si>
  <si>
    <r>
      <t>四川博睿</t>
    </r>
    <r>
      <rPr>
        <sz val="11"/>
        <color theme="1"/>
        <rFont val="ＭＳ Ｐゴシック"/>
        <family val="3"/>
        <charset val="134"/>
        <scheme val="minor"/>
      </rPr>
      <t>远见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</si>
  <si>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米酒;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</si>
  <si>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真枝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</si>
  <si>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</si>
  <si>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LI HUA SHI JIU YE</t>
  </si>
  <si>
    <r>
      <t>东</t>
    </r>
    <r>
      <rPr>
        <sz val="11"/>
        <color theme="1"/>
        <rFont val="ＭＳ Ｐゴシック"/>
        <family val="3"/>
        <charset val="128"/>
        <scheme val="minor"/>
      </rPr>
      <t>平梨花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</si>
  <si>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</si>
  <si>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言典</t>
  </si>
  <si>
    <r>
      <t>米酒; 白酒;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</si>
  <si>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境易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</si>
  <si>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烈酒; 开胃酒; 葡萄酒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</si>
  <si>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果酒（含酒精）; 利口酒; 葡萄酒; 米酒; 露酒</t>
    </r>
  </si>
  <si>
    <t>浸醉</t>
  </si>
  <si>
    <t>朱勇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</si>
  <si>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</si>
  <si>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r>
      <t xml:space="preserve">清酒（日本米酒）;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米酒</t>
    </r>
  </si>
  <si>
    <t>睿年成</t>
  </si>
  <si>
    <r>
      <t>第琳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</si>
  <si>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</si>
  <si>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赤宴天下</t>
  </si>
  <si>
    <r>
      <t>果酒（含酒精）; 露酒;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</si>
  <si>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 xml:space="preserve">米酒; 果酒（含酒精）;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葡萄酒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</si>
  <si>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情湾</t>
    </r>
  </si>
  <si>
    <r>
      <t>陈军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</si>
  <si>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葡萄酒; 米酒; 开胃酒; 黄酒;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</si>
  <si>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厚品君典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</si>
  <si>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露酒; 果酒（含酒精）; 白酒;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</si>
  <si>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</si>
  <si>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</si>
  <si>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伏特加酒; 蜂蜜酒</t>
    </r>
  </si>
  <si>
    <r>
      <t>炬念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</si>
  <si>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陈长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</si>
  <si>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</si>
  <si>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隆翔</t>
  </si>
  <si>
    <t>任彦瑞</t>
  </si>
  <si>
    <r>
      <t xml:space="preserve">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</si>
  <si>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德荐</t>
  </si>
  <si>
    <r>
      <t>陈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</si>
  <si>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开胃酒; 白酒; 威士忌</t>
    </r>
  </si>
  <si>
    <r>
      <t>和福邸小</t>
    </r>
    <r>
      <rPr>
        <sz val="11"/>
        <color theme="1"/>
        <rFont val="ＭＳ Ｐゴシック"/>
        <family val="3"/>
        <charset val="134"/>
        <scheme val="minor"/>
      </rPr>
      <t>样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</si>
  <si>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烈酒; 白干酒（中国白酒）;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</si>
  <si>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昀庭</t>
  </si>
  <si>
    <r>
      <t>高粱酒;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</si>
  <si>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葡萄汽酒;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酸酒（低等葡萄酒）;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</si>
  <si>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湘之梦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</si>
  <si>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清酒（日本米酒）; 白酒; 葡萄酒; 伏特加酒</t>
    </r>
  </si>
  <si>
    <t>SYNERGY</t>
  </si>
  <si>
    <t>杭州新瑞吉食品有限公司</t>
  </si>
  <si>
    <r>
      <t>葡萄酒;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</si>
  <si>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伯 BOYING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</si>
  <si>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州伯瑛酒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</si>
  <si>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</si>
  <si>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庄</t>
    </r>
    <r>
      <rPr>
        <sz val="11"/>
        <color theme="1"/>
        <rFont val="ＭＳ Ｐゴシック"/>
        <family val="3"/>
        <charset val="134"/>
        <scheme val="minor"/>
      </rPr>
      <t>严</t>
    </r>
    <r>
      <rPr>
        <sz val="11"/>
        <color theme="1"/>
        <rFont val="ＭＳ Ｐゴシック"/>
        <family val="3"/>
        <charset val="128"/>
        <scheme val="minor"/>
      </rPr>
      <t>天下酒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</si>
  <si>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市玉醺酒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</si>
  <si>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果酒; 朗姆潘趣酒;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</si>
  <si>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高粱酒;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果酒; 甜酒; 葡萄酒; 黄酒; 白酒; 食用酒精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</si>
  <si>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</si>
  <si>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威士忌; 黄酒; 清酒（日本米酒）;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</t>
    </r>
  </si>
  <si>
    <r>
      <t>中国排球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</si>
  <si>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</si>
  <si>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TONYDOVE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</si>
  <si>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岛凯</t>
    </r>
    <r>
      <rPr>
        <sz val="11"/>
        <color theme="1"/>
        <rFont val="ＭＳ Ｐゴシック"/>
        <family val="3"/>
        <charset val="128"/>
        <scheme val="minor"/>
      </rPr>
      <t>伊曼商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</si>
  <si>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杜松子酒;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</si>
  <si>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京城古道粮</t>
  </si>
  <si>
    <r>
      <t>伏特加酒; 米酒; 露酒; 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</si>
  <si>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悦启</t>
  </si>
  <si>
    <r>
      <t>兰</t>
    </r>
    <r>
      <rPr>
        <sz val="11"/>
        <color theme="1"/>
        <rFont val="ＭＳ Ｐゴシック"/>
        <family val="3"/>
        <charset val="128"/>
        <scheme val="minor"/>
      </rPr>
      <t>溪朴薪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</si>
  <si>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</si>
  <si>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</si>
  <si>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鹿探花</t>
  </si>
  <si>
    <r>
      <t>吉林省探花鹿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</si>
  <si>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食用酒精; 蜂蜜酒; 白酒; 黄酒; 葡萄酒; 利口酒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</si>
  <si>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不起泡葡萄酒;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葡萄汽酒; 起泡白葡萄酒;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</si>
  <si>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白酒; 酸酒（低等葡萄酒）;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开胃酒; 不起泡葡萄酒</t>
    </r>
  </si>
  <si>
    <t>享至臻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</si>
  <si>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州至臻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</si>
  <si>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白干酒（中国白酒）; 烈酒; 青稞酒; 葡萄酒; 米酒; 食用酒精;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</si>
  <si>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飘</t>
    </r>
  </si>
  <si>
    <r>
      <t xml:space="preserve">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青稞酒; 梅酒; 清酒</t>
    </r>
  </si>
  <si>
    <r>
      <t>莽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醉天湖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</si>
  <si>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万物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</si>
  <si>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</si>
  <si>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晋娘子</t>
  </si>
  <si>
    <r>
      <t>武</t>
    </r>
    <r>
      <rPr>
        <sz val="11"/>
        <color theme="1"/>
        <rFont val="ＭＳ Ｐゴシック"/>
        <family val="3"/>
        <charset val="134"/>
        <scheme val="minor"/>
      </rPr>
      <t>红艳</t>
    </r>
  </si>
  <si>
    <r>
      <t xml:space="preserve">清酒(日本米酒);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蜂蜜酒; 白酒</t>
    </r>
  </si>
  <si>
    <t>小虎仔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</si>
  <si>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</si>
  <si>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韬</t>
    </r>
  </si>
  <si>
    <t>刘玉霞</t>
  </si>
  <si>
    <r>
      <t xml:space="preserve">米酒; 烈酒; 白干酒（中国白酒）;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露酒</t>
    </r>
  </si>
  <si>
    <r>
      <t>慕泓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</si>
  <si>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盼盼</t>
    </r>
  </si>
  <si>
    <r>
      <t>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食用酒精;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葡萄酒; 黄酒</t>
    </r>
  </si>
  <si>
    <r>
      <t>李渡整窖精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</si>
  <si>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威士忌;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</si>
  <si>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睡年洞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</si>
  <si>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</si>
  <si>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</si>
  <si>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衡庄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</si>
  <si>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成都市快</t>
    </r>
    <r>
      <rPr>
        <sz val="11"/>
        <color theme="1"/>
        <rFont val="ＭＳ Ｐゴシック"/>
        <family val="3"/>
        <charset val="134"/>
        <scheme val="minor"/>
      </rPr>
      <t>贷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</si>
  <si>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</si>
  <si>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熙源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</si>
  <si>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锡丽</t>
    </r>
    <r>
      <rPr>
        <sz val="11"/>
        <color theme="1"/>
        <rFont val="ＭＳ Ｐゴシック"/>
        <family val="3"/>
        <charset val="128"/>
        <scheme val="minor"/>
      </rPr>
      <t>熙源食品有限公司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</si>
  <si>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</si>
  <si>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朗姆酒; 梅酒; 伏特加酒; 混合威士忌酒;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</si>
  <si>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蒲</t>
    </r>
    <r>
      <rPr>
        <sz val="11"/>
        <color theme="1"/>
        <rFont val="ＭＳ Ｐゴシック"/>
        <family val="3"/>
        <charset val="134"/>
        <scheme val="minor"/>
      </rPr>
      <t>妈妈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</si>
  <si>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政</t>
    </r>
    <r>
      <rPr>
        <sz val="11"/>
        <color theme="1"/>
        <rFont val="ＭＳ Ｐゴシック"/>
        <family val="3"/>
        <charset val="134"/>
        <scheme val="minor"/>
      </rPr>
      <t>焕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</si>
  <si>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烈酒; 白酒;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</si>
  <si>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台侯甲讚</t>
  </si>
  <si>
    <r>
      <t>欧易喜（上海）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</si>
  <si>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</si>
  <si>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瓯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</si>
  <si>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梅酒;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</si>
  <si>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大秦</t>
    </r>
    <r>
      <rPr>
        <sz val="11"/>
        <color theme="1"/>
        <rFont val="ＭＳ Ｐゴシック"/>
        <family val="3"/>
        <charset val="134"/>
        <scheme val="minor"/>
      </rPr>
      <t>骄龙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</si>
  <si>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西中秦北辰商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</si>
  <si>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</si>
  <si>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绥兰</t>
    </r>
    <r>
      <rPr>
        <sz val="11"/>
        <color theme="1"/>
        <rFont val="ＭＳ Ｐゴシック"/>
        <family val="3"/>
        <charset val="128"/>
        <scheme val="minor"/>
      </rPr>
      <t>酉</t>
    </r>
  </si>
  <si>
    <r>
      <t>餐后酒（利口酒和烈酒）;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米酒; 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</si>
  <si>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君健行</t>
  </si>
  <si>
    <r>
      <t>孙</t>
    </r>
    <r>
      <rPr>
        <sz val="11"/>
        <color theme="1"/>
        <rFont val="ＭＳ Ｐゴシック"/>
        <family val="3"/>
        <charset val="128"/>
        <scheme val="minor"/>
      </rPr>
      <t>悦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</si>
  <si>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黄酒; 白酒; 果酒; 葡萄酒;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烈酒;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</si>
  <si>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千井芳</t>
  </si>
  <si>
    <r>
      <t xml:space="preserve">黄酒;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</si>
  <si>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麒麟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</si>
  <si>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瑾</t>
    </r>
  </si>
  <si>
    <r>
      <t xml:space="preserve">黄酒; 果酒（含酒精）;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</si>
  <si>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JASON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</si>
  <si>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朗姆酒; 葡萄酒; 威士忌;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</si>
  <si>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珍 ORIENTAL TREASURE</t>
    </r>
  </si>
  <si>
    <t>北京五一商服科技有限公司</t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</si>
  <si>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白酒; 开胃酒; 米酒; 葡萄酒; 果酒（含酒精）; 黄酒</t>
    </r>
  </si>
  <si>
    <t>李璜之</t>
  </si>
  <si>
    <r>
      <t>藏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堂（深圳）生物科技有限公司</t>
    </r>
  </si>
  <si>
    <r>
      <t>米酒;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</si>
  <si>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乡枫</t>
    </r>
  </si>
  <si>
    <r>
      <t>梅州市金穗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</si>
  <si>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</si>
  <si>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新南商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</si>
  <si>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省南商文化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</si>
  <si>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青梅酒; 米酒</t>
    </r>
  </si>
  <si>
    <t>大好黔途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</si>
  <si>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</si>
  <si>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</si>
  <si>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姐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</si>
  <si>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梅州市嘉豪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</si>
  <si>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果酒（含酒精）; 白酒; 威士忌</t>
    </r>
  </si>
  <si>
    <r>
      <t>叹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</si>
  <si>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西藏德康医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</si>
  <si>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</si>
  <si>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花江月</t>
  </si>
  <si>
    <t>正宏食品(上海)有限公司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</si>
  <si>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</si>
  <si>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独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</si>
  <si>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 xml:space="preserve">白酒;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开胃酒</t>
    </r>
  </si>
  <si>
    <r>
      <t>粮王</t>
    </r>
    <r>
      <rPr>
        <sz val="11"/>
        <color theme="1"/>
        <rFont val="ＭＳ Ｐゴシック"/>
        <family val="3"/>
        <charset val="134"/>
        <scheme val="minor"/>
      </rPr>
      <t>图</t>
    </r>
  </si>
  <si>
    <t>梁学文</t>
  </si>
  <si>
    <r>
      <t xml:space="preserve">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</si>
  <si>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府六尺巷</t>
    </r>
  </si>
  <si>
    <r>
      <t>合肥茗洋餐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</si>
  <si>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</si>
  <si>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醁古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</si>
  <si>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</si>
  <si>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露酒; 烈酒</t>
  </si>
  <si>
    <r>
      <t>清酒（日本米酒）; 威士忌;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</t>
    </r>
  </si>
  <si>
    <r>
      <t>庄厨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</si>
  <si>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庄震</t>
    </r>
    <r>
      <rPr>
        <sz val="11"/>
        <color theme="1"/>
        <rFont val="ＭＳ Ｐゴシック"/>
        <family val="3"/>
        <charset val="134"/>
        <scheme val="minor"/>
      </rPr>
      <t>锽</t>
    </r>
  </si>
  <si>
    <r>
      <t xml:space="preserve">清酒（日本米酒）;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</si>
  <si>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信美青</t>
  </si>
  <si>
    <r>
      <t>青州市古之城酒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</si>
  <si>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</si>
  <si>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大侯博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</si>
  <si>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州茅之冠酒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</si>
  <si>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朗姆酒; 白酒; 高粱酒; 威士忌; 烈酒; 开胃酒; 白葡萄酒; 利口酒; 伏特加酒; 果酒（含酒精）</t>
  </si>
  <si>
    <r>
      <t>识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</si>
  <si>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 xml:space="preserve">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</si>
  <si>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敦来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</si>
  <si>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敦煌市宏达丰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</si>
  <si>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</si>
  <si>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五洲御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</si>
  <si>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邳子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</si>
  <si>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</si>
  <si>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呈潭</t>
  </si>
  <si>
    <r>
      <t>泉州台商投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区欧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</si>
  <si>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白干酒（中国白酒）</t>
    </r>
  </si>
  <si>
    <t>落幽燕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</si>
  <si>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润泽</t>
    </r>
    <r>
      <rPr>
        <sz val="11"/>
        <color theme="1"/>
        <rFont val="ＭＳ Ｐゴシック"/>
        <family val="3"/>
        <charset val="128"/>
        <scheme val="minor"/>
      </rPr>
      <t>天下文化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</si>
  <si>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伏特加酒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</si>
  <si>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冬</t>
    </r>
    <r>
      <rPr>
        <sz val="11"/>
        <color theme="1"/>
        <rFont val="ＭＳ Ｐゴシック"/>
        <family val="3"/>
        <charset val="134"/>
        <scheme val="minor"/>
      </rPr>
      <t>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</si>
  <si>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</si>
  <si>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天下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</si>
  <si>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合肥和仙酒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</si>
  <si>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利口酒; 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</si>
  <si>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太多美</t>
  </si>
  <si>
    <r>
      <t>知大(河北)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养科技有限公司</t>
    </r>
  </si>
  <si>
    <r>
      <t xml:space="preserve">米酒; 高粱酒; 露酒;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青稞酒; 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</si>
  <si>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哦疆</t>
  </si>
  <si>
    <r>
      <t>张</t>
    </r>
    <r>
      <rPr>
        <sz val="11"/>
        <color theme="1"/>
        <rFont val="ＭＳ Ｐゴシック"/>
        <family val="3"/>
        <charset val="128"/>
        <scheme val="minor"/>
      </rPr>
      <t>港宁</t>
    </r>
  </si>
  <si>
    <r>
      <t>清酒（日本米酒）;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烈酒</t>
    </r>
  </si>
  <si>
    <t>菲多与狗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</si>
  <si>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</si>
  <si>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丹霞</t>
    </r>
    <r>
      <rPr>
        <sz val="11"/>
        <color theme="1"/>
        <rFont val="ＭＳ Ｐゴシック"/>
        <family val="3"/>
        <charset val="134"/>
        <scheme val="minor"/>
      </rPr>
      <t>泷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</si>
  <si>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葡萄酒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</si>
  <si>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</si>
  <si>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米酒;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</si>
  <si>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赐烨</t>
    </r>
    <r>
      <rPr>
        <sz val="11"/>
        <color theme="1"/>
        <rFont val="ＭＳ Ｐゴシック"/>
        <family val="3"/>
        <charset val="128"/>
        <scheme val="minor"/>
      </rPr>
      <t>膏</t>
    </r>
    <r>
      <rPr>
        <sz val="11"/>
        <color theme="1"/>
        <rFont val="ＭＳ Ｐゴシック"/>
        <family val="3"/>
        <charset val="134"/>
        <scheme val="minor"/>
      </rPr>
      <t>药铺</t>
    </r>
  </si>
  <si>
    <r>
      <t>安徽德正堂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</si>
  <si>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梨酒; 黄酒; 果酒（含酒精）; 白酒</t>
    </r>
  </si>
  <si>
    <t>庄园京和堂</t>
  </si>
  <si>
    <r>
      <t>安徽京和堂健康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</si>
  <si>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</si>
  <si>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久戈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</si>
  <si>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露酒; 草本型利口酒;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</si>
  <si>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丝</t>
    </r>
    <r>
      <rPr>
        <sz val="11"/>
        <color theme="1"/>
        <rFont val="ＭＳ Ｐゴシック"/>
        <family val="3"/>
        <charset val="128"/>
        <scheme val="minor"/>
      </rPr>
      <t>路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夏丹池</t>
    </r>
  </si>
  <si>
    <r>
      <t>北京丹池文化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</si>
  <si>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清酒（日本米酒）; 汽酒;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</si>
  <si>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COCOROCO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</si>
  <si>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清酒;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</si>
  <si>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砂南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</si>
  <si>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汪清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青年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客之家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</si>
  <si>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</si>
  <si>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美人山</t>
  </si>
  <si>
    <t>李会平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</si>
  <si>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</si>
  <si>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守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</si>
  <si>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青稞酒;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</t>
    </r>
  </si>
  <si>
    <r>
      <t>爱诺</t>
    </r>
    <r>
      <rPr>
        <sz val="11"/>
        <color theme="1"/>
        <rFont val="ＭＳ Ｐゴシック"/>
        <family val="3"/>
        <charset val="128"/>
        <scheme val="minor"/>
      </rPr>
      <t>因</t>
    </r>
  </si>
  <si>
    <t>武海亮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</si>
  <si>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开胃酒;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</si>
  <si>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</si>
  <si>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德化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学永番百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</si>
  <si>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果酒; 米酒; 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</si>
  <si>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敬宗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</si>
  <si>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威士忌; 白酒</t>
    </r>
  </si>
  <si>
    <t>曾棒棒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</si>
  <si>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威士忌; 白酒</t>
    </r>
  </si>
  <si>
    <r>
      <t>李渡精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</si>
  <si>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</si>
  <si>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达化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</si>
  <si>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汉硕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</si>
  <si>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>葡萄酒; 白酒; 蜂蜜酒;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苹果酒</t>
    </r>
  </si>
  <si>
    <t>衡庄</t>
  </si>
  <si>
    <r>
      <t xml:space="preserve">黄酒; 果酒（含酒精）; 杜松子酒;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</si>
  <si>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润泽</t>
    </r>
    <r>
      <rPr>
        <sz val="11"/>
        <color theme="1"/>
        <rFont val="ＭＳ Ｐゴシック"/>
        <family val="3"/>
        <charset val="128"/>
        <scheme val="minor"/>
      </rPr>
      <t>大地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</si>
  <si>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</si>
  <si>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PAULDOVE</t>
  </si>
  <si>
    <r>
      <t xml:space="preserve">伏特加酒;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朗姆酒;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</si>
  <si>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遥牌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</si>
  <si>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宪尧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</si>
  <si>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米酒; 利口酒</t>
    </r>
  </si>
  <si>
    <t>GLEEME</t>
  </si>
  <si>
    <r>
      <t>上海天企工</t>
    </r>
    <r>
      <rPr>
        <sz val="11"/>
        <color theme="1"/>
        <rFont val="ＭＳ Ｐゴシック"/>
        <family val="3"/>
        <charset val="134"/>
        <scheme val="minor"/>
      </rPr>
      <t>业产</t>
    </r>
    <r>
      <rPr>
        <sz val="11"/>
        <color theme="1"/>
        <rFont val="ＭＳ Ｐゴシック"/>
        <family val="3"/>
        <charset val="128"/>
        <scheme val="minor"/>
      </rPr>
      <t>品造型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</si>
  <si>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蜂蜜酒;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草本型利口酒;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</t>
    </r>
  </si>
  <si>
    <r>
      <t>漓</t>
    </r>
    <r>
      <rPr>
        <sz val="11"/>
        <color theme="1"/>
        <rFont val="ＭＳ Ｐゴシック"/>
        <family val="3"/>
        <charset val="134"/>
        <scheme val="minor"/>
      </rPr>
      <t>汣</t>
    </r>
  </si>
  <si>
    <r>
      <t xml:space="preserve">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葡萄酒; 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</si>
  <si>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醁醉</t>
    </r>
  </si>
  <si>
    <r>
      <t>白酒; 露酒;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</si>
  <si>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L'ENTREE DU ROYAUME</t>
  </si>
  <si>
    <r>
      <t>南法食品供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</si>
  <si>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蒸煮提取物（利口酒和烈酒）;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</si>
  <si>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年多古</t>
  </si>
  <si>
    <r>
      <t>泾</t>
    </r>
    <r>
      <rPr>
        <sz val="11"/>
        <color theme="1"/>
        <rFont val="ＭＳ Ｐゴシック"/>
        <family val="3"/>
        <charset val="128"/>
        <scheme val="minor"/>
      </rPr>
      <t>河新城木晤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</si>
  <si>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</si>
  <si>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阙</t>
    </r>
    <r>
      <rPr>
        <sz val="11"/>
        <color theme="1"/>
        <rFont val="ＭＳ Ｐゴシック"/>
        <family val="3"/>
        <charset val="128"/>
        <scheme val="minor"/>
      </rPr>
      <t>台 酒</t>
    </r>
  </si>
  <si>
    <r>
      <t>上海以尚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</si>
  <si>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白干酒（中国白酒）; 高粱酒; 黄酒; 白酒; 果酒（含酒精）</t>
    </r>
  </si>
  <si>
    <t>猴猩猴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</si>
  <si>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伏特加酒; 威士忌; 白酒;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</si>
  <si>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</t>
    </r>
  </si>
  <si>
    <r>
      <t>高粱酒;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青稞酒;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</si>
  <si>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栀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</si>
  <si>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余帆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</si>
  <si>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果酒（含酒精）; 黄酒;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</si>
  <si>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仙</t>
    </r>
  </si>
  <si>
    <t>殷玉柱</t>
  </si>
  <si>
    <r>
      <t xml:space="preserve">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</si>
  <si>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五柳桃源地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</si>
  <si>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山健康科技有限公司</t>
    </r>
  </si>
  <si>
    <r>
      <t>白干酒（中国白酒）; 草本型利口酒;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</si>
  <si>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晟粮竹</t>
  </si>
  <si>
    <t>朱玉鑫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</si>
  <si>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高粱酒;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</si>
  <si>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老屯情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</si>
  <si>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</si>
  <si>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唐古利人</t>
  </si>
  <si>
    <r>
      <t>唐山市利人酒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</si>
  <si>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青梅酒; 果酒（含酒精）; 黄酒; 天然汽酒;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</si>
  <si>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小虎灶</t>
  </si>
  <si>
    <r>
      <t>上海禧艮文化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</si>
  <si>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</si>
  <si>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古堂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</si>
  <si>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荣和酒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</si>
  <si>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</si>
  <si>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宁酒</t>
    </r>
  </si>
  <si>
    <t>湖北咸水科技有限公司</t>
  </si>
  <si>
    <r>
      <t>食用酒精;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露酒</t>
    </r>
  </si>
  <si>
    <r>
      <t>沙河市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推广中心</t>
    </r>
  </si>
  <si>
    <r>
      <t>青稞酒;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汽酒</t>
    </r>
  </si>
  <si>
    <r>
      <t>浙碗小暖</t>
    </r>
    <r>
      <rPr>
        <sz val="11"/>
        <color theme="1"/>
        <rFont val="ＭＳ Ｐゴシック"/>
        <family val="3"/>
        <charset val="134"/>
        <scheme val="minor"/>
      </rPr>
      <t>锅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</si>
  <si>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安天目暖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</si>
  <si>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</si>
  <si>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法·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丁</t>
    </r>
  </si>
  <si>
    <t>丁振敏</t>
  </si>
  <si>
    <r>
      <t>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清酒; 果酒（含酒精）</t>
    </r>
  </si>
  <si>
    <r>
      <t>阿普礼</t>
    </r>
    <r>
      <rPr>
        <sz val="11"/>
        <color theme="1"/>
        <rFont val="ＭＳ Ｐゴシック"/>
        <family val="3"/>
        <charset val="134"/>
        <scheme val="minor"/>
      </rPr>
      <t>仓</t>
    </r>
  </si>
  <si>
    <t>魏冬冬</t>
  </si>
  <si>
    <r>
      <t>葡萄酒; 餐后酒（利口酒和烈酒）;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</si>
  <si>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</si>
  <si>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</si>
  <si>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岭南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</si>
  <si>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果酒（含酒精）</t>
    </r>
  </si>
  <si>
    <r>
      <t>翧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</si>
  <si>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晓龙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</si>
  <si>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白酒; 蜂蜜酒; 青稞酒; 露酒; 米酒; 黄酒</t>
    </r>
  </si>
  <si>
    <t>LIQUIDSTAG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</si>
  <si>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</si>
  <si>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</si>
  <si>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灏</t>
    </r>
    <r>
      <rPr>
        <sz val="11"/>
        <color theme="1"/>
        <rFont val="ＭＳ Ｐゴシック"/>
        <family val="3"/>
        <charset val="128"/>
        <scheme val="minor"/>
      </rPr>
      <t>古酒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</si>
  <si>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秀海</t>
    </r>
  </si>
  <si>
    <r>
      <t>果酒（含酒精）;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烈酒</t>
    </r>
  </si>
  <si>
    <r>
      <t>复生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</si>
  <si>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唐山</t>
    </r>
    <r>
      <rPr>
        <sz val="11"/>
        <color theme="1"/>
        <rFont val="ＭＳ Ｐゴシック"/>
        <family val="3"/>
        <charset val="129"/>
        <scheme val="minor"/>
      </rPr>
      <t>浭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</si>
  <si>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白酒; 清酒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</si>
  <si>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利口酒;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</si>
  <si>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浭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</si>
  <si>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清酒;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</si>
  <si>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氿公</t>
    </r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</si>
  <si>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德区友茶友酒商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</si>
  <si>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清酒;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</si>
  <si>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LUFFROOM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</si>
  <si>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弗福餐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</si>
  <si>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混合威士忌酒;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</si>
  <si>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向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</si>
  <si>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杭州波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</si>
  <si>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苹果酒;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黄酒</t>
    </r>
  </si>
  <si>
    <t>首牧</t>
  </si>
  <si>
    <t>李遵永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</si>
  <si>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清酒（日本米酒）;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</si>
  <si>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术</t>
    </r>
  </si>
  <si>
    <r>
      <t>黄酒; 果酒（含酒精）; 清酒（日本米酒）; 米酒;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威士忌</t>
    </r>
  </si>
  <si>
    <r>
      <t>汉凤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</si>
  <si>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</t>
    </r>
  </si>
  <si>
    <r>
      <t>李渡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元627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</si>
  <si>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葡萄酒;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</si>
  <si>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</si>
  <si>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店市汝</t>
    </r>
    <r>
      <rPr>
        <sz val="11"/>
        <color theme="1"/>
        <rFont val="ＭＳ Ｐゴシック"/>
        <family val="3"/>
        <charset val="134"/>
        <scheme val="minor"/>
      </rPr>
      <t>舆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</si>
  <si>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</si>
  <si>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倾</t>
    </r>
    <r>
      <rPr>
        <sz val="11"/>
        <color theme="1"/>
        <rFont val="ＭＳ Ｐゴシック"/>
        <family val="3"/>
        <charset val="128"/>
        <scheme val="minor"/>
      </rPr>
      <t>醇玫隍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</si>
  <si>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县杨</t>
    </r>
    <r>
      <rPr>
        <sz val="11"/>
        <color theme="1"/>
        <rFont val="ＭＳ Ｐゴシック"/>
        <family val="3"/>
        <charset val="128"/>
        <scheme val="minor"/>
      </rPr>
      <t>科酒坊（个人独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</si>
  <si>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苦味酒; 开胃酒; 果酒（含酒精）; 伏特加酒; 清酒; 黄酒; 白酒; 米酒</t>
    </r>
  </si>
  <si>
    <t>天估喜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</si>
  <si>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市利德</t>
    </r>
    <r>
      <rPr>
        <sz val="11"/>
        <color theme="1"/>
        <rFont val="ＭＳ Ｐゴシック"/>
        <family val="3"/>
        <charset val="134"/>
        <scheme val="minor"/>
      </rPr>
      <t>华纸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</si>
  <si>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蒸煮提取物（利口酒和烈酒）; 葡萄酒</t>
    </r>
  </si>
  <si>
    <t>晋商王婆</t>
  </si>
  <si>
    <r>
      <t>山西晋文化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</si>
  <si>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</si>
  <si>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御酒江</t>
  </si>
  <si>
    <r>
      <t>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威士忌; 葡萄酒; 白酒; 黄酒</t>
    </r>
  </si>
  <si>
    <t>荀心</t>
  </si>
  <si>
    <r>
      <t>果酒（含酒精）; 伏特加酒;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</si>
  <si>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湘黔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</si>
  <si>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运酒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</si>
  <si>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蒸煮提取物（利口酒和烈酒）;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</si>
  <si>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常寿礼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</si>
  <si>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清酒（日本米酒）</t>
    </r>
  </si>
  <si>
    <r>
      <t>归赵</t>
    </r>
    <r>
      <rPr>
        <sz val="11"/>
        <color theme="1"/>
        <rFont val="ＭＳ Ｐゴシック"/>
        <family val="3"/>
        <charset val="128"/>
        <scheme val="minor"/>
      </rPr>
      <t>三千年</t>
    </r>
  </si>
  <si>
    <r>
      <t>白干酒（中国白酒）;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</si>
  <si>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毅嘉</t>
  </si>
  <si>
    <r>
      <t>李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</si>
  <si>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烈酒; 果酒; 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</si>
  <si>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京物</t>
  </si>
  <si>
    <r>
      <t>深圳市智</t>
    </r>
    <r>
      <rPr>
        <sz val="11"/>
        <color theme="1"/>
        <rFont val="ＭＳ Ｐゴシック"/>
        <family val="3"/>
        <charset val="134"/>
        <scheme val="minor"/>
      </rPr>
      <t>鳌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</si>
  <si>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</si>
  <si>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完璧三千年</t>
  </si>
  <si>
    <r>
      <t>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</si>
  <si>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五逸园</t>
  </si>
  <si>
    <r>
      <t>云英子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</si>
  <si>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 xml:space="preserve">果酒; 葡萄酒;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</si>
  <si>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文圣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</si>
  <si>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海南圣喆投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</si>
  <si>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清酒; 果酒（含酒精）; 米酒; 汽酒</t>
    </r>
  </si>
  <si>
    <t>泰和拾窖</t>
  </si>
  <si>
    <t>陈闯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</si>
  <si>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高粱酒; 开胃酒; 米酒; 汽酒; 黄酒; 果酒（含酒精）</t>
    </r>
  </si>
  <si>
    <r>
      <t>良人</t>
    </r>
    <r>
      <rPr>
        <sz val="11"/>
        <color theme="1"/>
        <rFont val="ＭＳ Ｐゴシック"/>
        <family val="3"/>
        <charset val="134"/>
        <scheme val="minor"/>
      </rPr>
      <t>窝</t>
    </r>
  </si>
  <si>
    <t>海南居世康生物科技有限公司</t>
  </si>
  <si>
    <r>
      <t xml:space="preserve">开胃酒; 白酒; 茴香酒; 葡萄酒;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</si>
  <si>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t>神水河</t>
  </si>
  <si>
    <r>
      <t>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</si>
  <si>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</si>
  <si>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三千年</t>
    </r>
  </si>
  <si>
    <r>
      <t>白干酒（中国白酒）;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</t>
    </r>
  </si>
  <si>
    <r>
      <t>集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</si>
  <si>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集安市海峰特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制品有限公司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</si>
  <si>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烈酒; 葡萄酒; 米酒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</si>
  <si>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汉风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</si>
  <si>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和文化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</si>
  <si>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开胃酒; 白酒; 高粱酒; 烈酒; 果酒（含酒精）; 葡萄酒</t>
    </r>
  </si>
  <si>
    <t>九濉</t>
  </si>
  <si>
    <r>
      <t>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葡萄酒; 汽酒; 米酒</t>
    </r>
  </si>
  <si>
    <r>
      <t>天合台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</si>
  <si>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务</t>
    </r>
    <r>
      <rPr>
        <sz val="11"/>
        <color theme="1"/>
        <rFont val="ＭＳ Ｐゴシック"/>
        <family val="3"/>
        <charset val="128"/>
        <scheme val="minor"/>
      </rPr>
      <t>川自治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盛旗种养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</si>
  <si>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高粱酒;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甜酒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</si>
  <si>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万花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</si>
  <si>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醇粮福酒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</si>
  <si>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清酒; 米酒; 开胃酒;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</si>
  <si>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知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</si>
  <si>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沙知花知果网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</si>
  <si>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青稞酒; 白酒; 甜酒; 米酒</t>
    </r>
  </si>
  <si>
    <t>文陵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</si>
  <si>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州文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</si>
  <si>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</si>
  <si>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张连</t>
    </r>
    <r>
      <rPr>
        <sz val="11"/>
        <color theme="1"/>
        <rFont val="ＭＳ Ｐゴシック"/>
        <family val="3"/>
        <charset val="128"/>
        <scheme val="minor"/>
      </rPr>
      <t>志津品</t>
    </r>
  </si>
  <si>
    <r>
      <t>天津粤唯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</si>
  <si>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</si>
  <si>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千年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</si>
  <si>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</si>
  <si>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桂情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</si>
  <si>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磊******************</t>
    </r>
  </si>
  <si>
    <r>
      <t>米酒; 烈酒;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清酒（日本米酒）; 白酒</t>
    </r>
  </si>
  <si>
    <r>
      <t>清园梦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</si>
  <si>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河南醉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</si>
  <si>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果酒(含酒精);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</si>
  <si>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八珍果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</si>
  <si>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高州市八珍果</t>
    </r>
    <r>
      <rPr>
        <sz val="11"/>
        <color theme="1"/>
        <rFont val="ＭＳ Ｐゴシック"/>
        <family val="3"/>
        <charset val="134"/>
        <scheme val="minor"/>
      </rPr>
      <t>乡农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</si>
  <si>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薄荷酒;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威士忌</t>
    </r>
  </si>
  <si>
    <t>利安九儿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</si>
  <si>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西恒昌利安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</si>
  <si>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</si>
  <si>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李渡洪州窑</t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</si>
  <si>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白酒</t>
    </r>
  </si>
  <si>
    <r>
      <t>甯</t>
    </r>
    <r>
      <rPr>
        <sz val="11"/>
        <color theme="1"/>
        <rFont val="ＭＳ Ｐゴシック"/>
        <family val="3"/>
        <charset val="134"/>
        <scheme val="minor"/>
      </rPr>
      <t>杨锁</t>
    </r>
  </si>
  <si>
    <r>
      <t>河南古甯邑酒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</si>
  <si>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开胃酒; 白酒; 汽酒;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</t>
    </r>
  </si>
  <si>
    <t>迎才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</si>
  <si>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州民望企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</si>
  <si>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利口酒; 果酒（含酒精）; 高粱酒;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白酒</t>
    </r>
  </si>
  <si>
    <t>醉好恰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</si>
  <si>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</si>
  <si>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涟隐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</si>
  <si>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涟隐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</si>
  <si>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果酒; 杜松子酒;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</si>
  <si>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QIUXIANG</t>
  </si>
  <si>
    <r>
      <t>科技谷（武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市）咨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</si>
  <si>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青梅酒;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汽酒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</si>
  <si>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愿</t>
    </r>
    <r>
      <rPr>
        <sz val="11"/>
        <color theme="1"/>
        <rFont val="ＭＳ Ｐゴシック"/>
        <family val="3"/>
        <charset val="134"/>
        <scheme val="minor"/>
      </rPr>
      <t>鸭</t>
    </r>
  </si>
  <si>
    <t>杭州心投科技有限公司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</si>
  <si>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黄酒</t>
    </r>
  </si>
  <si>
    <r>
      <t>焕</t>
    </r>
    <r>
      <rPr>
        <sz val="11"/>
        <color theme="1"/>
        <rFont val="ＭＳ Ｐゴシック"/>
        <family val="3"/>
        <charset val="128"/>
        <scheme val="minor"/>
      </rPr>
      <t>可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</si>
  <si>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州厚可集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</si>
  <si>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伏特加酒; 白干酒（中国白酒）; 威士忌; 朗姆酒</t>
    </r>
  </si>
  <si>
    <t>豪汀庄园</t>
  </si>
  <si>
    <r>
      <t>清酒（日本米酒）; 葡萄酒; 米酒; 果酒（含酒精）;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</si>
  <si>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观权</t>
  </si>
  <si>
    <r>
      <t>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伏特加酒; 葡萄酒;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</si>
  <si>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r>
      <t>伍江一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</si>
  <si>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</si>
  <si>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统</t>
    </r>
    <r>
      <rPr>
        <sz val="11"/>
        <color theme="1"/>
        <rFont val="ＭＳ Ｐゴシック"/>
        <family val="3"/>
        <charset val="128"/>
        <scheme val="minor"/>
      </rPr>
      <t>耐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</si>
  <si>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耐新能源科技有限公司</t>
    </r>
  </si>
  <si>
    <r>
      <t>黄酒; 甜酒;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</si>
  <si>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泥店池底</t>
  </si>
  <si>
    <r>
      <t>亳州市酒源谷酒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</si>
  <si>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</t>
    </r>
  </si>
  <si>
    <r>
      <t>水之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</si>
  <si>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</t>
    </r>
  </si>
  <si>
    <t>李渡窖口</t>
  </si>
  <si>
    <r>
      <t xml:space="preserve">白酒; 利口酒;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</si>
  <si>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尚澳袋鼠 S'AO KANGAROO</t>
  </si>
  <si>
    <r>
      <t>温州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</si>
  <si>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蒸煮提取物（利口酒和烈酒）;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</si>
  <si>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稳</t>
    </r>
    <r>
      <rPr>
        <sz val="11"/>
        <color theme="1"/>
        <rFont val="ＭＳ Ｐゴシック"/>
        <family val="3"/>
        <charset val="128"/>
        <scheme val="minor"/>
      </rPr>
      <t>登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</si>
  <si>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之源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</si>
  <si>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</si>
  <si>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ZHILUN</t>
  </si>
  <si>
    <r>
      <t>烟台烟才网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</si>
  <si>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朗姆酒;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白酒; 甜酒; 果酒</t>
    </r>
  </si>
  <si>
    <t>万濉</t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</si>
  <si>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甜酒;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</si>
  <si>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氏久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</si>
  <si>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</si>
  <si>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 xml:space="preserve">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</si>
  <si>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千濉</t>
  </si>
  <si>
    <r>
      <t>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</si>
  <si>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雷</t>
    </r>
    <r>
      <rPr>
        <sz val="11"/>
        <color theme="1"/>
        <rFont val="ＭＳ Ｐゴシック"/>
        <family val="3"/>
        <charset val="134"/>
        <scheme val="minor"/>
      </rPr>
      <t>显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</si>
  <si>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汽酒; 葡萄酒; 白酒; 黄酒</t>
    </r>
  </si>
  <si>
    <r>
      <t>恭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</si>
  <si>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威士忌; 葡萄酒;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</si>
  <si>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三随 酒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</si>
  <si>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苹果酒; 白酒; 葡萄酒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</si>
  <si>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大功聊</t>
    </r>
    <r>
      <rPr>
        <sz val="11"/>
        <color theme="1"/>
        <rFont val="ＭＳ Ｐゴシック"/>
        <family val="3"/>
        <charset val="134"/>
        <scheme val="minor"/>
      </rPr>
      <t>农业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</si>
  <si>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</si>
  <si>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薄荷酒; 果酒（含酒精）; 开胃酒; 苹果酒;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茴香酒（利口酒）;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苦味酒; 茴芹酒（利口酒）</t>
    </r>
  </si>
  <si>
    <t>李渡窖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</si>
  <si>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利口酒; 果酒（含酒精）; 葡萄酒;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</si>
  <si>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竹美竹好</t>
  </si>
  <si>
    <r>
      <t>黄洪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</si>
  <si>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果酒（含酒精）; 葡萄酒; 清酒（日本米酒）</t>
    </r>
  </si>
  <si>
    <t>MTSDL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</si>
  <si>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州三得利酒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</si>
  <si>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</t>
    </r>
  </si>
  <si>
    <t>百濉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</si>
  <si>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甜酒;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</si>
  <si>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莒家</t>
    </r>
    <r>
      <rPr>
        <sz val="11"/>
        <color theme="1"/>
        <rFont val="ＭＳ Ｐゴシック"/>
        <family val="3"/>
        <charset val="134"/>
        <scheme val="minor"/>
      </rPr>
      <t>酿</t>
    </r>
  </si>
  <si>
    <t>刘明娜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</si>
  <si>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黄酒;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</si>
  <si>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LUFF ROOM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</si>
  <si>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混合威士忌酒; 米酒;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</si>
  <si>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订</t>
    </r>
    <r>
      <rPr>
        <sz val="11"/>
        <color theme="1"/>
        <rFont val="ＭＳ Ｐゴシック"/>
        <family val="3"/>
        <charset val="128"/>
        <scheme val="minor"/>
      </rPr>
      <t>志酒</t>
    </r>
  </si>
  <si>
    <r>
      <t>深圳市金松水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</si>
  <si>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餐后酒（利口酒和烈酒）;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白酒;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</si>
  <si>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SHANTUNG MAPLE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</si>
  <si>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南千木奇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园有限公司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</si>
  <si>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</si>
  <si>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r>
      <t>汉凤</t>
    </r>
    <r>
      <rPr>
        <sz val="11"/>
        <color theme="1"/>
        <rFont val="ＭＳ Ｐゴシック"/>
        <family val="3"/>
        <charset val="128"/>
        <scheme val="minor"/>
      </rPr>
      <t>豫</t>
    </r>
  </si>
  <si>
    <r>
      <t>威士忌; 果酒（含酒精）;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葡萄酒; 汽酒</t>
    </r>
  </si>
  <si>
    <t>瑞籽斛</t>
  </si>
  <si>
    <r>
      <t>安徽豪康中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材有限公司</t>
    </r>
  </si>
  <si>
    <r>
      <t>青稞酒;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利口酒; 黄酒; 白酒;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</si>
  <si>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斗牛石</t>
  </si>
  <si>
    <r>
      <t>张</t>
    </r>
    <r>
      <rPr>
        <sz val="11"/>
        <color theme="1"/>
        <rFont val="ＭＳ Ｐゴシック"/>
        <family val="3"/>
        <charset val="128"/>
        <scheme val="minor"/>
      </rPr>
      <t>雄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</si>
  <si>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白酒;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利口酒</t>
    </r>
  </si>
  <si>
    <r>
      <t>粤唯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津品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</si>
  <si>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</si>
  <si>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粱小缸</t>
  </si>
  <si>
    <r>
      <t>山西后浪酒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</si>
  <si>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威士忌; 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葡萄酒; 伏特加酒; 蜂蜜酒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</si>
  <si>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琅德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</si>
  <si>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圣果葡萄酒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</si>
  <si>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加烈葡萄酒;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</si>
  <si>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惠嘉</t>
    </r>
  </si>
  <si>
    <t>李永彪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</si>
  <si>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果酒（含酒精）;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</si>
  <si>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峡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</si>
  <si>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武昌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</si>
  <si>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清酒（日本米酒）; 黄酒;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</si>
  <si>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禧村白酒</t>
  </si>
  <si>
    <r>
      <t>北京市禧羊羊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</si>
  <si>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阳望湖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</si>
  <si>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玉莉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</si>
  <si>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果酒（含酒精）;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</si>
  <si>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窖奢三千年</t>
  </si>
  <si>
    <r>
      <t>米酒;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</si>
  <si>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百匠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</si>
  <si>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赖赐</t>
    </r>
    <r>
      <rPr>
        <sz val="11"/>
        <color theme="1"/>
        <rFont val="ＭＳ Ｐゴシック"/>
        <family val="3"/>
        <charset val="128"/>
        <scheme val="minor"/>
      </rPr>
      <t>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</si>
  <si>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</si>
  <si>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之匠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</si>
  <si>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庆雾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</si>
  <si>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青稞酒; 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</si>
  <si>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直周</t>
  </si>
  <si>
    <t>李朝明</t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</si>
  <si>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露酒;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汽酒; 白酒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</si>
  <si>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大重九</t>
    </r>
  </si>
  <si>
    <r>
      <t>安徽永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</si>
  <si>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餐后酒（利口酒和烈酒）;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</si>
  <si>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苘</t>
    </r>
  </si>
  <si>
    <r>
      <t xml:space="preserve">米酒; 开胃酒;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</t>
    </r>
  </si>
  <si>
    <t>李渡窑口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</si>
  <si>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利口酒;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</si>
  <si>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楚酉</t>
    </r>
    <r>
      <rPr>
        <sz val="11"/>
        <color theme="1"/>
        <rFont val="ＭＳ Ｐゴシック"/>
        <family val="3"/>
        <charset val="134"/>
        <scheme val="minor"/>
      </rPr>
      <t>缘</t>
    </r>
  </si>
  <si>
    <t>曹独立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</si>
  <si>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</t>
    </r>
  </si>
  <si>
    <t>谷养君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</si>
  <si>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珍珍企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</si>
  <si>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咖啡利口酒;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水果汽酒; 甜果酒; 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</si>
  <si>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三支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</si>
  <si>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杭州宸西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</si>
  <si>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黄酒;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甜酒; 白酒; 混合威士忌酒</t>
    </r>
  </si>
  <si>
    <t>丰隅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</si>
  <si>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致和堂医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</si>
  <si>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</t>
    </r>
  </si>
  <si>
    <r>
      <t>佰草醉</t>
    </r>
    <r>
      <rPr>
        <sz val="11"/>
        <color theme="1"/>
        <rFont val="ＭＳ Ｐゴシック"/>
        <family val="3"/>
        <charset val="134"/>
        <scheme val="minor"/>
      </rPr>
      <t>兽</t>
    </r>
  </si>
  <si>
    <r>
      <t>开胃酒; 白酒; 葡萄酒; 餐后酒（利口酒和烈酒）; 米酒; 果酒（含酒精）; 梨酒;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</si>
  <si>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涅阳扁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</si>
  <si>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古玉液酒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</si>
  <si>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</si>
  <si>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口金叶佳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</si>
  <si>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葫芦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市九江酒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</si>
  <si>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</si>
  <si>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黔丰老号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</si>
  <si>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</si>
  <si>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年濉</t>
  </si>
  <si>
    <r>
      <t xml:space="preserve">米酒; 果酒（含酒精）;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</si>
  <si>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太极上草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</si>
  <si>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太极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</si>
  <si>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</si>
  <si>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女渡士</t>
  </si>
  <si>
    <r>
      <t>西安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</si>
  <si>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日式甜米酒; 日本梅子酒;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清酒;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</t>
    </r>
  </si>
  <si>
    <r>
      <t>抚</t>
    </r>
    <r>
      <rPr>
        <sz val="11"/>
        <color theme="1"/>
        <rFont val="ＭＳ Ｐゴシック"/>
        <family val="3"/>
        <charset val="128"/>
        <scheme val="minor"/>
      </rPr>
      <t>旧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</si>
  <si>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州信益酒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</si>
  <si>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薄荷酒;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</si>
  <si>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t>通肯河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</si>
  <si>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江通肯河酒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</si>
  <si>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</si>
  <si>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易奇利</t>
  </si>
  <si>
    <r>
      <t>谢</t>
    </r>
    <r>
      <rPr>
        <sz val="11"/>
        <color theme="1"/>
        <rFont val="ＭＳ Ｐゴシック"/>
        <family val="3"/>
        <charset val="128"/>
        <scheme val="minor"/>
      </rPr>
      <t>玉英******************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</si>
  <si>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清酒; 果酒;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</si>
  <si>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r>
      <t>李渡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</si>
  <si>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葡萄酒; 白酒; 威士忌; 黄酒;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</si>
  <si>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首志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</si>
  <si>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伏特加酒; 黄酒; 白酒; 葡萄酒;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</si>
  <si>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荣助</t>
  </si>
  <si>
    <t>刘旺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</si>
  <si>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</si>
  <si>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皇管家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</si>
  <si>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高粱酒;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</si>
  <si>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鼓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</si>
  <si>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</si>
  <si>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匠天和</t>
    </r>
  </si>
  <si>
    <t>徐淑云</t>
  </si>
  <si>
    <r>
      <t xml:space="preserve">清酒（日本米酒）; 黄酒; 果酒（含酒精）; 蜂蜜酒;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</si>
  <si>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酝贺</t>
  </si>
  <si>
    <r>
      <t>白酒; 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</si>
  <si>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r>
      <t>甲品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</si>
  <si>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利口酒; 威士忌</t>
    </r>
  </si>
  <si>
    <t>恒昌九儿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</si>
  <si>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</si>
  <si>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利慕</t>
  </si>
  <si>
    <r>
      <t>杨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</si>
  <si>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白酒; 高粱酒;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甜酒</t>
    </r>
  </si>
  <si>
    <t>OMAT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</si>
  <si>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欧莱高新材料股份有限公司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</si>
  <si>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刺五加酒; 蝮蛇酒; 含酒精的气泡水; 薄荷酒;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麦芽威士忌; 白酒; 日本梅子酒;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</si>
  <si>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度粱良</t>
  </si>
  <si>
    <r>
      <t>曹光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</si>
  <si>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蜂蜜酒; 黄酒</t>
    </r>
  </si>
  <si>
    <t>天佑德之夜</t>
  </si>
  <si>
    <t>青海互助天佑德青稞酒股份有限公司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</si>
  <si>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青稞酒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</si>
  <si>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谷一枝花</t>
    </r>
  </si>
  <si>
    <r>
      <t>南澳富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谷（北京）葡萄酒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</si>
  <si>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蒸煮提取物（利口酒和烈酒）; 汽酒;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</si>
  <si>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DSSOON HOME</t>
  </si>
  <si>
    <r>
      <t>福建德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鼎佳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</si>
  <si>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清酒（日本米酒）; 开胃酒; 白酒</t>
    </r>
  </si>
  <si>
    <t>谢贞义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</si>
  <si>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米酒; 露酒;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</si>
  <si>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嫩春</t>
  </si>
  <si>
    <r>
      <t>嫩江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赐蓝</t>
    </r>
    <r>
      <rPr>
        <sz val="11"/>
        <color theme="1"/>
        <rFont val="ＭＳ Ｐゴシック"/>
        <family val="3"/>
        <charset val="128"/>
        <scheme val="minor"/>
      </rPr>
      <t>莓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</si>
  <si>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果酒（含酒精）; 开胃酒; 米酒; 食用酒精; 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</si>
  <si>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句青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</si>
  <si>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>句容市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青山村村民委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</si>
  <si>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果酒（含酒精）; 汽酒; 白酒</t>
    </r>
  </si>
  <si>
    <t>JIAGUOJUNZI</t>
  </si>
  <si>
    <r>
      <t>逸夫科技（集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</si>
  <si>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梅酒; 米酒; 白酒; 高粱酒;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</si>
  <si>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薯皇后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</si>
  <si>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辛平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</si>
  <si>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高粱酒;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</si>
  <si>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恭度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</si>
  <si>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清酒</t>
    </r>
  </si>
  <si>
    <r>
      <t>尔</t>
    </r>
    <r>
      <rPr>
        <sz val="11"/>
        <color theme="1"/>
        <rFont val="ＭＳ Ｐゴシック"/>
        <family val="3"/>
        <charset val="128"/>
        <scheme val="minor"/>
      </rPr>
      <t>食雄</t>
    </r>
  </si>
  <si>
    <t>林春雨</t>
  </si>
  <si>
    <r>
      <t>果酒（含酒精）; 葡萄酒; 米酒; 黄酒; 白酒;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</si>
  <si>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美立花享家</t>
  </si>
  <si>
    <t>付佳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</si>
  <si>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清酒; 黄酒;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</si>
  <si>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元道 酒</t>
    </r>
  </si>
  <si>
    <t>曹寒冰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</si>
  <si>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白酒; 葡萄酒; 开胃酒</t>
    </r>
  </si>
  <si>
    <t>滋百福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</si>
  <si>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</t>
    </r>
  </si>
  <si>
    <t>正中旺</t>
  </si>
  <si>
    <r>
      <t>郭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</si>
  <si>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</si>
  <si>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贤</t>
    </r>
    <r>
      <rPr>
        <sz val="11"/>
        <color theme="1"/>
        <rFont val="ＭＳ Ｐゴシック"/>
        <family val="3"/>
        <charset val="129"/>
        <scheme val="minor"/>
      </rPr>
      <t>姬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</si>
  <si>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麻小厮食品有限公司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</si>
  <si>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米酒</t>
    </r>
  </si>
  <si>
    <t>冀少侠</t>
  </si>
  <si>
    <t>李梅婷</t>
  </si>
  <si>
    <r>
      <t xml:space="preserve">黄酒;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清酒（日本米酒）;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</si>
  <si>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</si>
  <si>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果酒（含酒精）;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</si>
  <si>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福子</t>
    </r>
    <r>
      <rPr>
        <sz val="11"/>
        <color theme="1"/>
        <rFont val="ＭＳ Ｐゴシック"/>
        <family val="3"/>
        <charset val="134"/>
        <scheme val="minor"/>
      </rPr>
      <t>妈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</si>
  <si>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果酒; 梨酒; 白酒; 米酒; 汽酒;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</si>
  <si>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金坑溪</t>
  </si>
  <si>
    <r>
      <t>浏</t>
    </r>
    <r>
      <rPr>
        <sz val="11"/>
        <color theme="1"/>
        <rFont val="ＭＳ Ｐゴシック"/>
        <family val="3"/>
        <charset val="128"/>
        <scheme val="minor"/>
      </rPr>
      <t>阳高朗烈酒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</si>
  <si>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杜松子酒</t>
    </r>
  </si>
  <si>
    <t>不倒公</t>
  </si>
  <si>
    <r>
      <t>常熟市辛庄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欧亨百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</si>
  <si>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</si>
  <si>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坡傲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</si>
  <si>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</si>
  <si>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</si>
  <si>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岳藏酒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</si>
  <si>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</si>
  <si>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果酒（含酒精）; 米酒; 食用酒精</t>
    </r>
  </si>
  <si>
    <t>实间</t>
  </si>
  <si>
    <r>
      <t>富裕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古堡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</si>
  <si>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葡萄酒; 白酒; 蒸煮提取物（利口酒和烈酒）;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</si>
  <si>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象往无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</si>
  <si>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勐腊</t>
    </r>
    <r>
      <rPr>
        <sz val="11"/>
        <color theme="1"/>
        <rFont val="ＭＳ Ｐゴシック"/>
        <family val="3"/>
        <charset val="134"/>
        <scheme val="minor"/>
      </rPr>
      <t>县农垦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</si>
  <si>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</si>
  <si>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好</t>
    </r>
    <r>
      <rPr>
        <sz val="11"/>
        <color theme="1"/>
        <rFont val="ＭＳ Ｐゴシック"/>
        <family val="3"/>
        <charset val="134"/>
        <scheme val="minor"/>
      </rPr>
      <t>鸽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</si>
  <si>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广州好</t>
    </r>
    <r>
      <rPr>
        <sz val="11"/>
        <color theme="1"/>
        <rFont val="ＭＳ Ｐゴシック"/>
        <family val="3"/>
        <charset val="134"/>
        <scheme val="minor"/>
      </rPr>
      <t>鸽</t>
    </r>
    <r>
      <rPr>
        <sz val="11"/>
        <color theme="1"/>
        <rFont val="ＭＳ Ｐゴシック"/>
        <family val="3"/>
        <charset val="128"/>
        <scheme val="minor"/>
      </rPr>
      <t>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</si>
  <si>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</si>
  <si>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花鹿合越</t>
  </si>
  <si>
    <r>
      <t>赵长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</si>
  <si>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烈酒; 高粱酒;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葡萄酒; 米酒; 黄酒</t>
    </r>
  </si>
  <si>
    <t>DOUG MED TEC</t>
  </si>
  <si>
    <r>
      <t>常州市道格医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</si>
  <si>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含酒精的气泡水;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伏特加酒; 薄荷酒; 蜂蜜酒</t>
    </r>
  </si>
  <si>
    <t>渡八方</t>
  </si>
  <si>
    <r>
      <t>张</t>
    </r>
    <r>
      <rPr>
        <sz val="11"/>
        <color theme="1"/>
        <rFont val="ＭＳ Ｐゴシック"/>
        <family val="3"/>
        <charset val="128"/>
        <scheme val="minor"/>
      </rPr>
      <t>晨</t>
    </r>
    <r>
      <rPr>
        <sz val="11"/>
        <color theme="1"/>
        <rFont val="ＭＳ Ｐゴシック"/>
        <family val="3"/>
        <charset val="134"/>
        <scheme val="minor"/>
      </rPr>
      <t>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</si>
  <si>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清酒（日本米酒）; 果酒; 葡萄酒; 黄酒; 开胃酒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</si>
  <si>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五六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</si>
  <si>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</si>
  <si>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葡萄酒</t>
    </r>
  </si>
  <si>
    <t>XELLIO</t>
  </si>
  <si>
    <r>
      <t>杭州国晶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品科技有限公司</t>
    </r>
  </si>
  <si>
    <r>
      <t xml:space="preserve">清酒; 威士忌;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葡萄酒; 烈酒; 果酒; 高粱酒</t>
    </r>
  </si>
  <si>
    <t>首董</t>
  </si>
  <si>
    <r>
      <t>梨酒;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果酒（含酒精）</t>
    </r>
  </si>
  <si>
    <t>釜助</t>
  </si>
  <si>
    <r>
      <t>张伟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</si>
  <si>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</si>
  <si>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阿米陀</t>
  </si>
  <si>
    <r>
      <t>吉林市</t>
    </r>
    <r>
      <rPr>
        <sz val="11"/>
        <color theme="1"/>
        <rFont val="ＭＳ Ｐゴシック"/>
        <family val="3"/>
        <charset val="129"/>
        <scheme val="minor"/>
      </rPr>
      <t>叼</t>
    </r>
    <r>
      <rPr>
        <sz val="11"/>
        <color theme="1"/>
        <rFont val="ＭＳ Ｐゴシック"/>
        <family val="3"/>
        <charset val="128"/>
        <scheme val="minor"/>
      </rPr>
      <t>嘴兔食品有限公司</t>
    </r>
  </si>
  <si>
    <r>
      <t>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</si>
  <si>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崔尚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</si>
  <si>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清酒; 梨酒; 汽酒;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 xml:space="preserve">米酒）;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米酒</t>
    </r>
  </si>
  <si>
    <t>辽汣</t>
  </si>
  <si>
    <r>
      <t>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</si>
  <si>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斛</t>
    </r>
    <r>
      <rPr>
        <sz val="11"/>
        <color theme="1"/>
        <rFont val="ＭＳ Ｐゴシック"/>
        <family val="3"/>
        <charset val="134"/>
        <scheme val="minor"/>
      </rPr>
      <t>辕门</t>
    </r>
  </si>
  <si>
    <r>
      <t>沈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</si>
  <si>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</si>
  <si>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二重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</si>
  <si>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安徽展徽酒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</si>
  <si>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</si>
  <si>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亮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人生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</si>
  <si>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亮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人生食品有限公司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</si>
  <si>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水果汽酒</t>
    </r>
  </si>
  <si>
    <t>圣武王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</si>
  <si>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州首鼎酒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</si>
  <si>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清酒（日本米酒）;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</si>
  <si>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御大福众成</t>
  </si>
  <si>
    <r>
      <t>陈</t>
    </r>
    <r>
      <rPr>
        <sz val="11"/>
        <color theme="1"/>
        <rFont val="ＭＳ Ｐゴシック"/>
        <family val="3"/>
        <charset val="128"/>
        <scheme val="minor"/>
      </rPr>
      <t>付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</si>
  <si>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高粱酒; 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</si>
  <si>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麻</t>
    </r>
  </si>
  <si>
    <r>
      <t>昆明广林旭商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</si>
  <si>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米酒;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果酒</t>
    </r>
  </si>
  <si>
    <t>康百事</t>
  </si>
  <si>
    <t>上海杜申生物科技有限公司</t>
  </si>
  <si>
    <r>
      <t>白酒; 米酒; 梨酒;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白葡萄酒; 苹果酒; 甜果酒;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</si>
  <si>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世美董</t>
    </r>
  </si>
  <si>
    <r>
      <t xml:space="preserve">果酒（含酒精）; 开胃酒; 清酒（日本米酒）;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梨酒; 米酒; 白酒</t>
    </r>
  </si>
  <si>
    <t>靖劫</t>
  </si>
  <si>
    <r>
      <t>杨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</si>
  <si>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米酒; 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</si>
  <si>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TAUD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</si>
  <si>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苹果酒; 威士忌; 米酒; 葡萄酒; 果酒（含酒精）; 白酒</t>
    </r>
  </si>
  <si>
    <t>盼自在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</si>
  <si>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</si>
  <si>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NCO</t>
  </si>
  <si>
    <r>
      <t>浙江群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</si>
  <si>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</si>
  <si>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瓷房子津品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</si>
  <si>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</si>
  <si>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望月狼茶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</si>
  <si>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威士忌; 白酒; 伏特加酒;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清酒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</si>
  <si>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情珍</t>
    </r>
  </si>
  <si>
    <t>覃振立</t>
  </si>
  <si>
    <r>
      <t>果酒（含酒精）; 葡萄酒; 米酒; 含酒精的气泡水;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</si>
  <si>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萧乡龙</t>
    </r>
    <r>
      <rPr>
        <sz val="11"/>
        <color theme="1"/>
        <rFont val="ＭＳ Ｐゴシック"/>
        <family val="3"/>
        <charset val="128"/>
        <scheme val="minor"/>
      </rPr>
      <t>瑶泉</t>
    </r>
  </si>
  <si>
    <r>
      <t>于大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</si>
  <si>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烈酒; 米酒; 高粱酒; 果酒; 白酒</t>
    </r>
  </si>
  <si>
    <t>JIN KENG STREAM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</si>
  <si>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杜松子酒; 威士忌;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</si>
  <si>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稞</t>
    </r>
  </si>
  <si>
    <r>
      <t>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开胃酒</t>
    </r>
  </si>
  <si>
    <t>延潭洞</t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</si>
  <si>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汽酒; 果酒</t>
    </r>
  </si>
  <si>
    <t>百草馥</t>
  </si>
  <si>
    <r>
      <t>白酒; 葡萄酒; 清酒（日本米酒）;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梨酒</t>
    </r>
  </si>
  <si>
    <t>容瑾杰</t>
  </si>
  <si>
    <r>
      <t>保定愿阳网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</si>
  <si>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黄酒; 果酒(含酒精);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</si>
  <si>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豪者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</si>
  <si>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家口如金商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</si>
  <si>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</si>
  <si>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SETOURA</t>
  </si>
  <si>
    <r>
      <t xml:space="preserve">威士忌; 利口酒;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</si>
  <si>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天溪郁香</t>
  </si>
  <si>
    <t>洛阳天溪生物科技有限公司</t>
  </si>
  <si>
    <r>
      <t xml:space="preserve">葡萄酒;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开胃酒; 青稞酒</t>
    </r>
  </si>
  <si>
    <r>
      <t>塞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拉</t>
    </r>
  </si>
  <si>
    <r>
      <t>白酒; 朗姆酒; 清酒（日本米酒）; 葡萄酒;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</si>
  <si>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</si>
  <si>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亳州市酒富酒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</si>
  <si>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高粱酒; 黄酒; 食用酒精; 米酒; 烈酒;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</si>
  <si>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妙成坊</t>
  </si>
  <si>
    <r>
      <t>清酒; 白酒;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</si>
  <si>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紫皇后</t>
  </si>
  <si>
    <r>
      <t>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葡萄酒</t>
    </r>
  </si>
  <si>
    <t>川尊</t>
  </si>
  <si>
    <r>
      <t>四川大邑川尊酒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</si>
  <si>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朗姆酒;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</si>
  <si>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关里情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</si>
  <si>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曾子故里酒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</si>
  <si>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白酒; 青稞酒;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</si>
  <si>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黑小宝天天健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</si>
  <si>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花出水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</si>
  <si>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</si>
  <si>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音河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</si>
  <si>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慧兵******************</t>
    </r>
  </si>
  <si>
    <r>
      <t>葡萄酒;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</si>
  <si>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真</t>
    </r>
    <r>
      <rPr>
        <sz val="11"/>
        <color theme="1"/>
        <rFont val="ＭＳ Ｐゴシック"/>
        <family val="3"/>
        <charset val="134"/>
        <scheme val="minor"/>
      </rPr>
      <t>惬</t>
    </r>
  </si>
  <si>
    <r>
      <t xml:space="preserve">黄酒; 白酒; 威士忌;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果酒</t>
    </r>
  </si>
  <si>
    <r>
      <t>大哉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公</t>
    </r>
  </si>
  <si>
    <t>广西谷金文化科技有限公司</t>
  </si>
  <si>
    <r>
      <t>白酒; 米酒; 黄酒;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</si>
  <si>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</si>
  <si>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烈酒; 白酒;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</si>
  <si>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阳山</t>
    </r>
  </si>
  <si>
    <r>
      <t>淮北市隆昌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</si>
  <si>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米酒;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烈酒; 汽酒;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</si>
  <si>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商付火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</si>
  <si>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市一心一意网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</si>
  <si>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茴芹酒（利口酒）; 果酒（含酒精）; 茴香酒（利口酒）;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苦味酒;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苹果酒</t>
    </r>
  </si>
  <si>
    <t>翊蜂</t>
  </si>
  <si>
    <r>
      <t>白酒; 黄酒;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</si>
  <si>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朴阿姨</t>
  </si>
  <si>
    <r>
      <t xml:space="preserve">果酒;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汽酒;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</t>
    </r>
  </si>
  <si>
    <t>榔河</t>
  </si>
  <si>
    <r>
      <t>张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</si>
  <si>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</si>
  <si>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鑫丰田源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</si>
  <si>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州省田源酒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</si>
  <si>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</si>
  <si>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泱泱洛水</t>
  </si>
  <si>
    <t>洛阳城市礼物研究有限公司</t>
  </si>
  <si>
    <r>
      <t>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</si>
  <si>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嵙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伯</t>
    </r>
  </si>
  <si>
    <r>
      <t>张传</t>
    </r>
    <r>
      <rPr>
        <sz val="11"/>
        <color theme="1"/>
        <rFont val="ＭＳ Ｐゴシック"/>
        <family val="3"/>
        <charset val="128"/>
        <scheme val="minor"/>
      </rPr>
      <t>志******************</t>
    </r>
  </si>
  <si>
    <r>
      <t>威士忌; 白酒;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</si>
  <si>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山海疆</t>
  </si>
  <si>
    <r>
      <t>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汽酒; 黄酒; 伏特加酒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</si>
  <si>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西奇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</si>
  <si>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米酒; 黄酒; 青稞酒;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</si>
  <si>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访</t>
    </r>
  </si>
  <si>
    <r>
      <t>葡萄酒; 清酒（日本米酒）;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烈酒; 汽酒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</si>
  <si>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知己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</si>
  <si>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巧音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</si>
  <si>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白酒;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</si>
  <si>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t>懂茗</t>
  </si>
  <si>
    <r>
      <t xml:space="preserve">清酒（日本米酒）;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</si>
  <si>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云丈山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</si>
  <si>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志生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</si>
  <si>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青稞酒; 苹果酒;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</si>
  <si>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煜</t>
    </r>
  </si>
  <si>
    <r>
      <t>黄孝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</si>
  <si>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</si>
  <si>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追福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</si>
  <si>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</si>
  <si>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RED TAI LEOPARD</t>
  </si>
  <si>
    <r>
      <t>北芙（上海）食品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</si>
  <si>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果酒（含酒精）; 杜松子酒;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</t>
    </r>
  </si>
  <si>
    <t>荖川祁</t>
  </si>
  <si>
    <t>关忠利</t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</si>
  <si>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黄酒; 威士忌</t>
    </r>
  </si>
  <si>
    <t>契丹粮道</t>
  </si>
  <si>
    <r>
      <t>内蒙古盛野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</si>
  <si>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威士忌; 葡萄酒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</si>
  <si>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御井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</si>
  <si>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明鑫(山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</si>
  <si>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葡萄酒; 烈酒</t>
    </r>
  </si>
  <si>
    <t>小涂童</t>
  </si>
  <si>
    <t>刘璋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</si>
  <si>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清酒; 威士忌; 果酒; 黄酒; 米酒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</si>
  <si>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鉴传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</si>
  <si>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</si>
  <si>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露酒;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</si>
  <si>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皇金沙</t>
  </si>
  <si>
    <r>
      <t>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黄酒;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烈酒</t>
    </r>
  </si>
  <si>
    <t>翎莉</t>
  </si>
  <si>
    <r>
      <t>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威士忌;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</si>
  <si>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士盟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</si>
  <si>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士盟商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</si>
  <si>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葡萄酒; 利口酒</t>
    </r>
  </si>
  <si>
    <t>青山垠粮</t>
  </si>
  <si>
    <r>
      <t>巴金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</si>
  <si>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烈酒;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</si>
  <si>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LARDER &amp; VINE</t>
  </si>
  <si>
    <r>
      <t>袁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</si>
  <si>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米酒; 黄酒; 高粱酒</t>
    </r>
  </si>
  <si>
    <t>炊祖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</si>
  <si>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锦绣潇</t>
    </r>
    <r>
      <rPr>
        <sz val="11"/>
        <color theme="1"/>
        <rFont val="ＭＳ Ｐゴシック"/>
        <family val="3"/>
        <charset val="128"/>
        <scheme val="minor"/>
      </rPr>
      <t>湘文化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</si>
  <si>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青稞酒</t>
    </r>
  </si>
  <si>
    <t>COLLE DEI VENTI</t>
  </si>
  <si>
    <r>
      <t>梵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尼集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葡萄酒有限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</si>
  <si>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</si>
  <si>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鸭</t>
    </r>
    <r>
      <rPr>
        <sz val="11"/>
        <color theme="1"/>
        <rFont val="ＭＳ Ｐゴシック"/>
        <family val="3"/>
        <charset val="128"/>
        <scheme val="minor"/>
      </rPr>
      <t>溪窖翠玉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</si>
  <si>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苹果酒; 餐后酒（利口酒和烈酒）;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</si>
  <si>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越州六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</si>
  <si>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浙江澎湃酒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</si>
  <si>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甘蔗制烈酒;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</si>
  <si>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精功夫</t>
    </r>
    <r>
      <rPr>
        <sz val="11"/>
        <color theme="1"/>
        <rFont val="ＭＳ Ｐゴシック"/>
        <family val="3"/>
        <charset val="134"/>
        <scheme val="minor"/>
      </rPr>
      <t>龙凤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</si>
  <si>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 xml:space="preserve">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果酒（含酒精）;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</si>
  <si>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参木溪</t>
    </r>
    <r>
      <rPr>
        <sz val="11"/>
        <color theme="1"/>
        <rFont val="ＭＳ Ｐゴシック"/>
        <family val="3"/>
        <charset val="134"/>
        <scheme val="minor"/>
      </rPr>
      <t>邻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</si>
  <si>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</si>
  <si>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 xml:space="preserve">米酒; 黄酒; 果酒;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</si>
  <si>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五柳巷</t>
  </si>
  <si>
    <r>
      <t>杭州清河坊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</si>
  <si>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薄荷酒;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</si>
  <si>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君台月下</t>
  </si>
  <si>
    <r>
      <t>严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</si>
  <si>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 xml:space="preserve">白酒;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米酒</t>
    </r>
  </si>
  <si>
    <t>盈夜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</si>
  <si>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</si>
  <si>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八十一章大器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</si>
  <si>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果酒（含酒精）; 葡萄酒; 威士忌; 米酒; 清酒（日本米酒）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</si>
  <si>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森源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</si>
  <si>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森源包装有限公司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</si>
  <si>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</si>
  <si>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季氏老父子</t>
  </si>
  <si>
    <r>
      <t>邓</t>
    </r>
    <r>
      <rPr>
        <sz val="11"/>
        <color theme="1"/>
        <rFont val="ＭＳ Ｐゴシック"/>
        <family val="3"/>
        <charset val="128"/>
        <scheme val="minor"/>
      </rPr>
      <t>佑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</si>
  <si>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 xml:space="preserve">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蜂蜜酒;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</si>
  <si>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起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夷</t>
    </r>
  </si>
  <si>
    <t>任永江</t>
  </si>
  <si>
    <r>
      <t>果酒; 果酒（含酒精）; 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</si>
  <si>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明城老嘉山</t>
  </si>
  <si>
    <t>蔡月梅******************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</si>
  <si>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威士忌</t>
    </r>
  </si>
  <si>
    <t>古会儿塔</t>
  </si>
  <si>
    <r>
      <t>宁波琳</t>
    </r>
    <r>
      <rPr>
        <sz val="11"/>
        <color theme="1"/>
        <rFont val="ＭＳ Ｐゴシック"/>
        <family val="3"/>
        <charset val="134"/>
        <scheme val="minor"/>
      </rPr>
      <t>凯电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</si>
  <si>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梨酒</t>
    </r>
  </si>
  <si>
    <r>
      <t>天朝好</t>
    </r>
    <r>
      <rPr>
        <sz val="11"/>
        <color theme="1"/>
        <rFont val="ＭＳ Ｐゴシック"/>
        <family val="3"/>
        <charset val="134"/>
        <scheme val="minor"/>
      </rPr>
      <t>汉</t>
    </r>
  </si>
  <si>
    <t>翟文斌</t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</si>
  <si>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</si>
  <si>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海棠湾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</si>
  <si>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市海棠湾开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</si>
  <si>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苹果酒; 威士忌; 米酒; 伏特加酒</t>
    </r>
  </si>
  <si>
    <r>
      <t>仁与</t>
    </r>
    <r>
      <rPr>
        <sz val="11"/>
        <color theme="1"/>
        <rFont val="ＭＳ Ｐゴシック"/>
        <family val="3"/>
        <charset val="129"/>
        <scheme val="minor"/>
      </rPr>
      <t>怀</t>
    </r>
  </si>
  <si>
    <t>陈华银</t>
  </si>
  <si>
    <r>
      <t>米酒; 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白酒</t>
    </r>
  </si>
  <si>
    <t>JURINF</t>
  </si>
  <si>
    <r>
      <t>深圳市卞一夫商</t>
    </r>
    <r>
      <rPr>
        <sz val="11"/>
        <color theme="1"/>
        <rFont val="ＭＳ Ｐゴシック"/>
        <family val="3"/>
        <charset val="134"/>
        <scheme val="minor"/>
      </rPr>
      <t>业艺术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</si>
  <si>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</si>
  <si>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瑶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坊</t>
    </r>
  </si>
  <si>
    <t>四川天越达健康管理有限公司</t>
  </si>
  <si>
    <r>
      <t xml:space="preserve">开胃酒; 清酒（日本米酒）;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</si>
  <si>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线</t>
    </r>
  </si>
  <si>
    <t>郭金涛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</si>
  <si>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</si>
  <si>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WON MAJESTIC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</si>
  <si>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莞市超好食品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</si>
  <si>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果酒;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</si>
  <si>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长鉴</t>
  </si>
  <si>
    <r>
      <t xml:space="preserve">葡萄酒; 黄酒; 果酒; 开胃酒;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</si>
  <si>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征猛</t>
  </si>
  <si>
    <r>
      <t>威士忌; 黄酒;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</si>
  <si>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桂林志</t>
    </r>
    <r>
      <rPr>
        <sz val="11"/>
        <color theme="1"/>
        <rFont val="ＭＳ Ｐゴシック"/>
        <family val="3"/>
        <charset val="134"/>
        <scheme val="minor"/>
      </rPr>
      <t>兰农业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</si>
  <si>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梨酒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</si>
  <si>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方全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</si>
  <si>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</si>
  <si>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t>舜泉大明湖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</si>
  <si>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鹿通餐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</si>
  <si>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青梅酒; 食用酒精; 果酒; 青稞酒; 黄酒; 白干酒（中国白酒）; 白酒; 米酒; 高粱酒</t>
    </r>
  </si>
  <si>
    <r>
      <t>双宝</t>
    </r>
    <r>
      <rPr>
        <sz val="11"/>
        <color theme="1"/>
        <rFont val="ＭＳ Ｐゴシック"/>
        <family val="3"/>
        <charset val="134"/>
        <scheme val="minor"/>
      </rPr>
      <t>龙</t>
    </r>
  </si>
  <si>
    <t>徐蒙慧</t>
  </si>
  <si>
    <r>
      <t>葡萄酒; 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</si>
  <si>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黇</t>
    </r>
    <r>
      <rPr>
        <sz val="11"/>
        <color theme="1"/>
        <rFont val="ＭＳ Ｐゴシック"/>
        <family val="3"/>
        <charset val="128"/>
        <scheme val="minor"/>
      </rPr>
      <t>泉 TIAN QUAN 佳肴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</si>
  <si>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州市佳肴酒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</si>
  <si>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</si>
  <si>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r>
      <t>庄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</si>
  <si>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深圳市庄酒酒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</si>
  <si>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</t>
    </r>
  </si>
  <si>
    <t>欻与无影</t>
  </si>
  <si>
    <r>
      <t>深圳市艾森</t>
    </r>
    <r>
      <rPr>
        <sz val="11"/>
        <color theme="1"/>
        <rFont val="ＭＳ Ｐゴシック"/>
        <family val="3"/>
        <charset val="134"/>
        <scheme val="minor"/>
      </rPr>
      <t>视讯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</si>
  <si>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</si>
  <si>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葡萄酒</t>
    </r>
  </si>
  <si>
    <t>醉猿酥</t>
  </si>
  <si>
    <r>
      <t>杨</t>
    </r>
    <r>
      <rPr>
        <sz val="11"/>
        <color theme="1"/>
        <rFont val="ＭＳ Ｐゴシック"/>
        <family val="3"/>
        <charset val="128"/>
        <scheme val="minor"/>
      </rPr>
      <t>燕清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</si>
  <si>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高粱酒;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</si>
  <si>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宁州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黄</t>
    </r>
  </si>
  <si>
    <t>余和平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</si>
  <si>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天然汽酒; 葡萄酒</t>
    </r>
  </si>
  <si>
    <r>
      <t>㚘醆</t>
    </r>
    <r>
      <rPr>
        <sz val="11"/>
        <color theme="1"/>
        <rFont val="ＭＳ Ｐゴシック"/>
        <family val="3"/>
        <charset val="134"/>
        <scheme val="minor"/>
      </rPr>
      <t>稥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</si>
  <si>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</si>
  <si>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 xml:space="preserve">葡萄酒; 果酒（含酒精）; 青稞酒;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清酒（日本米酒）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</si>
  <si>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</si>
  <si>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李明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</si>
  <si>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 xml:space="preserve">米酒; 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</si>
  <si>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蟾盛</t>
  </si>
  <si>
    <t>徐利英</t>
  </si>
  <si>
    <r>
      <t>白酒; 食用酒精;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刺五加酒; 米酒; 蜂蜜酒</t>
    </r>
  </si>
  <si>
    <t>宋豪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</si>
  <si>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白酒; 高粱酒; 葡萄酒; 果酒（含酒精）; 青梅酒;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</si>
  <si>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白鹿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双</t>
    </r>
  </si>
  <si>
    <r>
      <t>河南中喜佳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</si>
  <si>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果酒（含酒精）; 清酒;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露酒</t>
    </r>
  </si>
  <si>
    <r>
      <t xml:space="preserve">米酒; 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</si>
  <si>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闽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</si>
  <si>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之粉集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</si>
  <si>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</si>
  <si>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宁州黄</t>
  </si>
  <si>
    <r>
      <t>天然汽酒;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</si>
  <si>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漫摘</t>
  </si>
  <si>
    <r>
      <t>成都蜀之源酒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</si>
  <si>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蒸煮提取物（利口酒和烈酒）; 米酒; 白酒; 汽酒;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</si>
  <si>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大喜堂</t>
    </r>
  </si>
  <si>
    <r>
      <t>李来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</si>
  <si>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白酒; 开胃酒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</si>
  <si>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晓晓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</si>
  <si>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</si>
  <si>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研悦</t>
  </si>
  <si>
    <t>中研尚品（北京）科技有限公司</t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</si>
  <si>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</si>
  <si>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康嘉</t>
    </r>
  </si>
  <si>
    <r>
      <t>洛浦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康嘉种畜禽有限公司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</si>
  <si>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</si>
  <si>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汪妮</t>
    </r>
    <r>
      <rPr>
        <sz val="11"/>
        <color theme="1"/>
        <rFont val="ＭＳ Ｐゴシック"/>
        <family val="3"/>
        <charset val="134"/>
        <scheme val="minor"/>
      </rPr>
      <t>洣</t>
    </r>
    <r>
      <rPr>
        <sz val="11"/>
        <color theme="1"/>
        <rFont val="ＭＳ Ｐゴシック"/>
        <family val="3"/>
        <charset val="128"/>
        <scheme val="minor"/>
      </rPr>
      <t>䉃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</si>
  <si>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翠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</si>
  <si>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</si>
  <si>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陶鼎中原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</si>
  <si>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州毛小民企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</si>
  <si>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米酒;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蒸煮提取物（利口酒和烈酒）; 清酒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</si>
  <si>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朗姆酒; 威士忌; 开胃酒;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</si>
  <si>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TRACES OF WATER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</si>
  <si>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江三益体育用品有限公司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</si>
  <si>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米酒; 伏特加酒; 威士忌;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</si>
  <si>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常滔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</si>
  <si>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</si>
  <si>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</si>
  <si>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</si>
  <si>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</si>
  <si>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鹿</t>
    </r>
  </si>
  <si>
    <t>李明会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</si>
  <si>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黄酒</t>
    </r>
  </si>
  <si>
    <t>光阴粹</t>
  </si>
  <si>
    <r>
      <t>杨</t>
    </r>
    <r>
      <rPr>
        <sz val="11"/>
        <color theme="1"/>
        <rFont val="ＭＳ Ｐゴシック"/>
        <family val="3"/>
        <charset val="128"/>
        <scheme val="minor"/>
      </rPr>
      <t>孟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</si>
  <si>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葡萄酒;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</si>
  <si>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明花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</si>
  <si>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白酒; 烈酒; 开胃酒; 米酒; 汽酒; 葡萄酒</t>
    </r>
  </si>
  <si>
    <t>追封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</si>
  <si>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白酒; 烈酒</t>
    </r>
  </si>
  <si>
    <t>豪瑟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</si>
  <si>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米酒; 威士忌; 白酒</t>
    </r>
  </si>
  <si>
    <t>沃田桑景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</si>
  <si>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市开州区桑海</t>
    </r>
    <r>
      <rPr>
        <sz val="11"/>
        <color theme="1"/>
        <rFont val="ＭＳ Ｐゴシック"/>
        <family val="3"/>
        <charset val="134"/>
        <scheme val="minor"/>
      </rPr>
      <t>农业综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</si>
  <si>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蒸煮提取物（利口酒和烈酒）; 果酒;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</t>
    </r>
  </si>
  <si>
    <r>
      <t>征</t>
    </r>
    <r>
      <rPr>
        <sz val="11"/>
        <color theme="1"/>
        <rFont val="ＭＳ Ｐゴシック"/>
        <family val="3"/>
        <charset val="134"/>
        <scheme val="minor"/>
      </rPr>
      <t>尘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</si>
  <si>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</si>
  <si>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袋鼠你好</t>
  </si>
  <si>
    <r>
      <t>济</t>
    </r>
    <r>
      <rPr>
        <sz val="11"/>
        <color theme="1"/>
        <rFont val="ＭＳ Ｐゴシック"/>
        <family val="3"/>
        <charset val="128"/>
        <scheme val="minor"/>
      </rPr>
      <t>宁酩洋生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</si>
  <si>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果酒（含酒精）; 威士忌; 汽酒; 开胃酒;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</si>
  <si>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线纹马</t>
  </si>
  <si>
    <r>
      <t>郑</t>
    </r>
    <r>
      <rPr>
        <sz val="11"/>
        <color theme="1"/>
        <rFont val="ＭＳ Ｐゴシック"/>
        <family val="3"/>
        <charset val="128"/>
        <scheme val="minor"/>
      </rPr>
      <t>惠芝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</si>
  <si>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</si>
  <si>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焕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</si>
  <si>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河南达仁酒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</si>
  <si>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米酒; 葡萄酒; 含酒精的气泡水;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</si>
  <si>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威士忌</t>
    </r>
  </si>
  <si>
    <t>罕圣</t>
  </si>
  <si>
    <r>
      <t>邢静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</si>
  <si>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</si>
  <si>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精功夫逍遥喜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</si>
  <si>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露酒; 佐餐酒</t>
    </r>
  </si>
  <si>
    <t>茯膳坊</t>
  </si>
  <si>
    <r>
      <t>茯膳坊健康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（徐州）有限公司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</si>
  <si>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青稞酒</t>
    </r>
  </si>
  <si>
    <t>黄四味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</si>
  <si>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甘蔗制烈酒;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</si>
  <si>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越</t>
    </r>
    <r>
      <rPr>
        <sz val="11"/>
        <color theme="1"/>
        <rFont val="ＭＳ Ｐゴシック"/>
        <family val="3"/>
        <charset val="134"/>
        <scheme val="minor"/>
      </rPr>
      <t>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</si>
  <si>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甘蔗制烈酒; 米酒; 葡萄酒</t>
    </r>
  </si>
  <si>
    <t>SANG TIAN FU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</si>
  <si>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清酒（日本米酒）;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</si>
  <si>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r>
      <t>酩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将酒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</si>
  <si>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</si>
  <si>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</t>
    </r>
  </si>
  <si>
    <r>
      <t>元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隆</t>
    </r>
  </si>
  <si>
    <t>李政</t>
  </si>
  <si>
    <r>
      <t xml:space="preserve">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青稞酒; 果酒（含酒精）; 葡萄酒; 米酒; 黄酒</t>
    </r>
  </si>
  <si>
    <t>溱溪彦韵</t>
  </si>
  <si>
    <r>
      <t>东</t>
    </r>
    <r>
      <rPr>
        <sz val="11"/>
        <color theme="1"/>
        <rFont val="ＭＳ Ｐゴシック"/>
        <family val="3"/>
        <charset val="128"/>
        <scheme val="minor"/>
      </rPr>
      <t>台市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亭朱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食品部（个体工商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</si>
  <si>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高粱酒</t>
    </r>
  </si>
  <si>
    <r>
      <t>奢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酒庄 SOTERAMANOR</t>
    </r>
  </si>
  <si>
    <r>
      <t>白酒;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</si>
  <si>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老酩君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</si>
  <si>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开胃酒; 葡萄酒; 威士忌; 烈酒; 黄酒</t>
    </r>
  </si>
  <si>
    <r>
      <t>輋</t>
    </r>
    <r>
      <rPr>
        <sz val="11"/>
        <color theme="1"/>
        <rFont val="ＭＳ Ｐゴシック"/>
        <family val="3"/>
        <charset val="128"/>
        <scheme val="minor"/>
      </rPr>
      <t>峰泉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</si>
  <si>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市潮景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</si>
  <si>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白酒; 米酒; 薄荷酒; 威士忌; 葡萄酒</t>
    </r>
  </si>
  <si>
    <t>小汲清</t>
  </si>
  <si>
    <r>
      <t>张</t>
    </r>
    <r>
      <rPr>
        <sz val="11"/>
        <color theme="1"/>
        <rFont val="ＭＳ Ｐゴシック"/>
        <family val="3"/>
        <charset val="128"/>
        <scheme val="minor"/>
      </rPr>
      <t>文利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</si>
  <si>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白干酒（中国白酒）;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</t>
    </r>
  </si>
  <si>
    <r>
      <t>旗</t>
    </r>
    <r>
      <rPr>
        <sz val="11"/>
        <color theme="1"/>
        <rFont val="ＭＳ Ｐゴシック"/>
        <family val="3"/>
        <charset val="134"/>
        <scheme val="minor"/>
      </rPr>
      <t>舰</t>
    </r>
    <r>
      <rPr>
        <sz val="11"/>
        <color theme="1"/>
        <rFont val="ＭＳ Ｐゴシック"/>
        <family val="3"/>
        <charset val="128"/>
        <scheme val="minor"/>
      </rPr>
      <t>果</t>
    </r>
  </si>
  <si>
    <t>金宏奎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</si>
  <si>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白酒; 葡萄酒; 黄酒; 苹果酒;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</si>
  <si>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源景裕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</si>
  <si>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利口酒; 白酒; 米酒</t>
    </r>
  </si>
  <si>
    <t>欧菲莎</t>
  </si>
  <si>
    <r>
      <t>海口晟晶投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</si>
  <si>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</si>
  <si>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隆袁盛</t>
  </si>
  <si>
    <t>袁磊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</si>
  <si>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威士忌; 白酒; 烈酒; 白葡萄酒;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</si>
  <si>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全然</t>
    </r>
    <r>
      <rPr>
        <sz val="11"/>
        <color theme="1"/>
        <rFont val="ＭＳ Ｐゴシック"/>
        <family val="3"/>
        <charset val="134"/>
        <scheme val="minor"/>
      </rPr>
      <t>态</t>
    </r>
  </si>
  <si>
    <r>
      <t>广西全然生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</si>
  <si>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白酒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</si>
  <si>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汀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</si>
  <si>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越凰山酒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</si>
  <si>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甘蔗制烈酒</t>
    </r>
  </si>
  <si>
    <t>仙惹醉</t>
  </si>
  <si>
    <r>
      <t>徐州几何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</si>
  <si>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</si>
  <si>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胤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</si>
  <si>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葡萄酒; 果酒（含酒精）; 黄酒; 米酒;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清酒（日本米酒）;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</si>
  <si>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老猫森普</t>
  </si>
  <si>
    <r>
      <t>董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</si>
  <si>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果酒; 葡萄酒; 青稞酒;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</si>
  <si>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梦姥吟</t>
  </si>
  <si>
    <r>
      <t>果酒（含酒精）;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</si>
  <si>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葆康倍健 BKBEJE</t>
  </si>
  <si>
    <r>
      <t>河南神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惠众生物科技有限公司</t>
    </r>
  </si>
  <si>
    <r>
      <t xml:space="preserve">葡萄酒; 米酒;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蝮蛇酒;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</si>
  <si>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老元花</t>
  </si>
  <si>
    <r>
      <t xml:space="preserve">清酒;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</si>
  <si>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山河胤</t>
  </si>
  <si>
    <t>吴友兵</t>
  </si>
  <si>
    <r>
      <t>青稞酒; 果酒（含酒精）;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</si>
  <si>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古道九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</si>
  <si>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葛文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</si>
  <si>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威士忌; 白酒;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</si>
  <si>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盛京白王子</t>
  </si>
  <si>
    <t>沈阳白王子品牌管理有限公司</t>
  </si>
  <si>
    <r>
      <t xml:space="preserve">白酒;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青稞酒; 米酒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</si>
  <si>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珍</t>
    </r>
  </si>
  <si>
    <t>吴欣家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</si>
  <si>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果酒;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</si>
  <si>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胶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州礼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</si>
  <si>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通九州商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</si>
  <si>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白葡萄酒; 白干酒（中国白酒）;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葡萄酒; 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</si>
  <si>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晋盛坊</t>
  </si>
  <si>
    <r>
      <t>山西祥昌号酒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</si>
  <si>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</si>
  <si>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t>金泉禧</t>
  </si>
  <si>
    <r>
      <t>山西中汾杏花酒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</si>
  <si>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</si>
  <si>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六酒</t>
    </r>
  </si>
  <si>
    <r>
      <t xml:space="preserve">白酒;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</si>
  <si>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牧来村</t>
  </si>
  <si>
    <r>
      <t>李俊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</si>
  <si>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高粱酒;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</si>
  <si>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六醰</t>
    </r>
  </si>
  <si>
    <r>
      <t>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</si>
  <si>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软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</si>
  <si>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安徽省霍山</t>
    </r>
    <r>
      <rPr>
        <sz val="11"/>
        <color theme="1"/>
        <rFont val="ＭＳ Ｐゴシック"/>
        <family val="3"/>
        <charset val="134"/>
        <scheme val="minor"/>
      </rPr>
      <t>县凯</t>
    </r>
    <r>
      <rPr>
        <sz val="11"/>
        <color theme="1"/>
        <rFont val="ＭＳ Ｐゴシック"/>
        <family val="3"/>
        <charset val="128"/>
        <scheme val="minor"/>
      </rPr>
      <t>福堂生物科技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</si>
  <si>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食用酒精;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</si>
  <si>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洱海月</t>
  </si>
  <si>
    <t>左玲娜</t>
  </si>
  <si>
    <r>
      <t>果酒（含酒精）; 威士忌; 开胃酒; 烈酒;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</si>
  <si>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西瑶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</si>
  <si>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新疆天山雪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</si>
  <si>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伏特加酒;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清酒; 白酒</t>
    </r>
  </si>
  <si>
    <r>
      <t>咾九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</si>
  <si>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彭州市九晟酒商行（个体工商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</si>
  <si>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白干酒（中国白酒）;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</si>
  <si>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湖湘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江宴HUXIANG ZIJIANG FEAST</t>
    </r>
  </si>
  <si>
    <r>
      <t>新化</t>
    </r>
    <r>
      <rPr>
        <sz val="11"/>
        <color theme="1"/>
        <rFont val="ＭＳ Ｐゴシック"/>
        <family val="3"/>
        <charset val="134"/>
        <scheme val="minor"/>
      </rPr>
      <t>县资</t>
    </r>
    <r>
      <rPr>
        <sz val="11"/>
        <color theme="1"/>
        <rFont val="ＭＳ Ｐゴシック"/>
        <family val="3"/>
        <charset val="128"/>
        <scheme val="minor"/>
      </rPr>
      <t>江宴餐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</si>
  <si>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</si>
  <si>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牌南都会</t>
    </r>
  </si>
  <si>
    <r>
      <t>南阳大宛之春商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</si>
  <si>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黄酒</t>
    </r>
  </si>
  <si>
    <t>合玉祥和天下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</si>
  <si>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</si>
  <si>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葡萄酒; 清酒（日本米酒）; 威士忌</t>
    </r>
  </si>
  <si>
    <t>RARE BLUFOX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</si>
  <si>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露酒; 葡萄酒; 米酒;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</si>
  <si>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煊炎堂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</si>
  <si>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东飞骠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</si>
  <si>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果酒</t>
    </r>
  </si>
  <si>
    <r>
      <t>值</t>
    </r>
    <r>
      <rPr>
        <sz val="11"/>
        <color theme="1"/>
        <rFont val="ＭＳ Ｐゴシック"/>
        <family val="3"/>
        <charset val="128"/>
        <scheme val="minor"/>
      </rPr>
      <t>牌福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</si>
  <si>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黄酒; 利口酒;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</si>
  <si>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PAPER HAUS+</t>
  </si>
  <si>
    <t>海南火星文化有限公司</t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</si>
  <si>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</t>
    </r>
  </si>
  <si>
    <t>超然台</t>
  </si>
  <si>
    <r>
      <t>诸</t>
    </r>
    <r>
      <rPr>
        <sz val="11"/>
        <color theme="1"/>
        <rFont val="ＭＳ Ｐゴシック"/>
        <family val="3"/>
        <charset val="128"/>
        <scheme val="minor"/>
      </rPr>
      <t>城市第一台酒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</si>
  <si>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蒸煮提取物（利口酒和烈酒）</t>
    </r>
  </si>
  <si>
    <t>宁喜葡</t>
  </si>
  <si>
    <r>
      <t>浦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明（身份</t>
    </r>
    <r>
      <rPr>
        <sz val="11"/>
        <color theme="1"/>
        <rFont val="ＭＳ Ｐゴシック"/>
        <family val="3"/>
        <charset val="134"/>
        <scheme val="minor"/>
      </rPr>
      <t>证</t>
    </r>
    <r>
      <rPr>
        <sz val="11"/>
        <color theme="1"/>
        <rFont val="ＭＳ Ｐゴシック"/>
        <family val="3"/>
        <charset val="128"/>
        <scheme val="minor"/>
      </rPr>
      <t>:******************）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</si>
  <si>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葡萄酒; 白干酒（中国白酒）; 白葡萄酒;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</si>
  <si>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毓家瓦缸</t>
  </si>
  <si>
    <r>
      <t>福州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果林食品有限公司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</si>
  <si>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</t>
    </r>
  </si>
  <si>
    <r>
      <t>增福</t>
    </r>
    <r>
      <rPr>
        <sz val="11"/>
        <color theme="1"/>
        <rFont val="ＭＳ Ｐゴシック"/>
        <family val="3"/>
        <charset val="134"/>
        <scheme val="minor"/>
      </rPr>
      <t>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</si>
  <si>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河北曲滏玉堂春白酒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</si>
  <si>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果酒;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</si>
  <si>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浩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</si>
  <si>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州浩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</si>
  <si>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黄酒; 葡萄酒;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</si>
  <si>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深南荣耀</t>
  </si>
  <si>
    <r>
      <t>徐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柏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</si>
  <si>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餐后酒（利口酒和烈酒）; 威士忌; 黄酒</t>
    </r>
  </si>
  <si>
    <r>
      <t>泓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</si>
  <si>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</si>
  <si>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安健帝</t>
  </si>
  <si>
    <t>薛迎春</t>
  </si>
  <si>
    <r>
      <t xml:space="preserve">米酒; 开胃酒;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</si>
  <si>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牌南都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</si>
  <si>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白酒; 威士忌; 青稞酒; 果酒（含酒精）;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</si>
  <si>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功名醉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</si>
  <si>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清酒; 露酒; 米酒</t>
    </r>
  </si>
  <si>
    <r>
      <t>旷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果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</si>
  <si>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食用酒精;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</si>
  <si>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沣</t>
    </r>
    <r>
      <rPr>
        <sz val="11"/>
        <color theme="1"/>
        <rFont val="ＭＳ Ｐゴシック"/>
        <family val="3"/>
        <charset val="128"/>
        <scheme val="minor"/>
      </rPr>
      <t>霈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</si>
  <si>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原新零售科技有限公司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</si>
  <si>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</si>
  <si>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丰田源</t>
    </r>
  </si>
  <si>
    <r>
      <t xml:space="preserve">果酒（含酒精）; 葡萄酒;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</t>
    </r>
  </si>
  <si>
    <r>
      <t>硕</t>
    </r>
    <r>
      <rPr>
        <sz val="11"/>
        <color theme="1"/>
        <rFont val="ＭＳ Ｐゴシック"/>
        <family val="3"/>
        <charset val="128"/>
        <scheme val="minor"/>
      </rPr>
      <t>成</t>
    </r>
  </si>
  <si>
    <t>刘友</t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</si>
  <si>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果酒（含酒精）; 黄酒; 食用酒精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</si>
  <si>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交</t>
    </r>
  </si>
  <si>
    <t>南粤工匠（广州）食品有限公司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</si>
  <si>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黄酒; 白酒; 清酒（日本米酒）; 葡萄酒; 米酒; 威士忌; 果酒（含酒精）</t>
    </r>
  </si>
  <si>
    <t>山有台</t>
  </si>
  <si>
    <t>邱建</t>
  </si>
  <si>
    <r>
      <t>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</si>
  <si>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牧童听福</t>
  </si>
  <si>
    <t>潘利娜******************</t>
  </si>
  <si>
    <r>
      <t>利口酒; 黄酒; 白酒; 餐后酒（利口酒和烈酒）;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</si>
  <si>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晋和酒庄</t>
  </si>
  <si>
    <r>
      <t>白干酒（中国白酒）;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</t>
    </r>
  </si>
  <si>
    <r>
      <t>侠</t>
    </r>
    <r>
      <rPr>
        <sz val="11"/>
        <color theme="1"/>
        <rFont val="ＭＳ Ｐゴシック"/>
        <family val="3"/>
        <charset val="134"/>
        <scheme val="minor"/>
      </rPr>
      <t>侣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</si>
  <si>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州合酒股份有限公司</t>
    </r>
  </si>
  <si>
    <r>
      <t>黄酒; 白酒; 露酒; 葡萄酒; 烈酒;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</si>
  <si>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值</t>
    </r>
    <r>
      <rPr>
        <sz val="11"/>
        <color theme="1"/>
        <rFont val="ＭＳ Ｐゴシック"/>
        <family val="3"/>
        <charset val="128"/>
        <scheme val="minor"/>
      </rPr>
      <t>牌王家窖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</si>
  <si>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葡萄酒; 黄酒; 米酒</t>
    </r>
  </si>
  <si>
    <r>
      <t>成都新瑞食品有限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</si>
  <si>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蒸煮提取物（利口酒和烈酒）; 葡萄酒;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</si>
  <si>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研展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 STUDY TO EXPAND LIFE</t>
    </r>
  </si>
  <si>
    <r>
      <t>云南研展科技开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</si>
  <si>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汽酒; 米酒</t>
    </r>
  </si>
  <si>
    <r>
      <t>典</t>
    </r>
    <r>
      <rPr>
        <sz val="11"/>
        <color theme="1"/>
        <rFont val="ＭＳ Ｐゴシック"/>
        <family val="3"/>
        <charset val="134"/>
        <scheme val="minor"/>
      </rPr>
      <t>术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</si>
  <si>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</si>
  <si>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SIWITI</t>
  </si>
  <si>
    <r>
      <t>洛阳恒康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</si>
  <si>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生素的朗姆酒; 威士忌</t>
    </r>
  </si>
  <si>
    <t>御真太</t>
  </si>
  <si>
    <r>
      <t>北京福洛伊国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</si>
  <si>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天然汽酒; 黑覆盆子酒; 果酒; 白干酒（中国白酒）; 白酒;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</t>
    </r>
  </si>
  <si>
    <t>仰生云</t>
  </si>
  <si>
    <t>南阳金方元生物科技有限公司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</si>
  <si>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</si>
  <si>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养升云</t>
  </si>
  <si>
    <r>
      <t xml:space="preserve">果酒（含酒精）;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</si>
  <si>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山有集</t>
  </si>
  <si>
    <r>
      <t>安吉山有集文化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媒工作室（个体工商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</si>
  <si>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白酒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</si>
  <si>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妮袋鼠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</si>
  <si>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梅酒;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</si>
  <si>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龙酿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</si>
  <si>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何天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</si>
  <si>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</si>
  <si>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t>彣武</t>
  </si>
  <si>
    <r>
      <t>简</t>
    </r>
    <r>
      <rPr>
        <sz val="11"/>
        <color theme="1"/>
        <rFont val="ＭＳ Ｐゴシック"/>
        <family val="3"/>
        <charset val="128"/>
        <scheme val="minor"/>
      </rPr>
      <t>江朋</t>
    </r>
  </si>
  <si>
    <r>
      <t>米酒;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</si>
  <si>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渝小</t>
    </r>
    <r>
      <rPr>
        <sz val="11"/>
        <color theme="1"/>
        <rFont val="ＭＳ Ｐゴシック"/>
        <family val="3"/>
        <charset val="134"/>
        <scheme val="minor"/>
      </rPr>
      <t>怂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</si>
  <si>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永虎</t>
    </r>
  </si>
  <si>
    <r>
      <t>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威士忌; 果酒（含酒精）</t>
    </r>
  </si>
  <si>
    <t>JLQ</t>
  </si>
  <si>
    <r>
      <t>上海恒荔投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</si>
  <si>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黄酒; 白酒; 果酒（含酒精）;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</si>
  <si>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福履</t>
    </r>
    <r>
      <rPr>
        <sz val="11"/>
        <color theme="1"/>
        <rFont val="ＭＳ Ｐゴシック"/>
        <family val="3"/>
        <charset val="134"/>
        <scheme val="minor"/>
      </rPr>
      <t>齐长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</si>
  <si>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毅波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</si>
  <si>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米酒</t>
    </r>
  </si>
  <si>
    <t>LITTLE FOREST MUSHROOM GIRL 森林蘑菇小女孩</t>
  </si>
  <si>
    <r>
      <t>烈酒; 果酒（含酒精）; 白酒; 葡萄酒; 露酒; 米酒;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</si>
  <si>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方文旅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</si>
  <si>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方教育科技（集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</si>
  <si>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葡萄汽酒; 米酒; 白酒; 含酒精的气泡水;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</si>
  <si>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意公子</t>
    </r>
    <r>
      <rPr>
        <sz val="11"/>
        <color theme="1"/>
        <rFont val="ＭＳ Ｐゴシック"/>
        <family val="3"/>
        <charset val="134"/>
        <scheme val="minor"/>
      </rPr>
      <t>潇</t>
    </r>
    <r>
      <rPr>
        <sz val="11"/>
        <color theme="1"/>
        <rFont val="ＭＳ Ｐゴシック"/>
        <family val="3"/>
        <charset val="128"/>
        <scheme val="minor"/>
      </rPr>
      <t>涵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</si>
  <si>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意外境界文化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</si>
  <si>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</si>
  <si>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舍知求品</t>
    </r>
    <r>
      <rPr>
        <sz val="11"/>
        <color theme="1"/>
        <rFont val="ＭＳ Ｐゴシック"/>
        <family val="3"/>
        <charset val="134"/>
        <scheme val="minor"/>
      </rPr>
      <t>尝</t>
    </r>
  </si>
  <si>
    <r>
      <t>岳安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</si>
  <si>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白酒;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食用酒精</t>
    </r>
  </si>
  <si>
    <t>百帝城</t>
  </si>
  <si>
    <t>宋永福</t>
  </si>
  <si>
    <r>
      <t xml:space="preserve">白酒; 青梅酒;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果酒; 高粱酒; 葡萄酒</t>
    </r>
  </si>
  <si>
    <t>紫隆山</t>
  </si>
  <si>
    <t>上海孝合堂健康科技有限公司</t>
  </si>
  <si>
    <r>
      <t xml:space="preserve">白酒; 清酒（日本米酒）; 果酒（含酒精）;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葡萄酒; 米酒</t>
    </r>
  </si>
  <si>
    <r>
      <t>再得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</si>
  <si>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佰佳酒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</si>
  <si>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清酒（日本米酒）;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</si>
  <si>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驼赋</t>
    </r>
  </si>
  <si>
    <t>白玉廷</t>
  </si>
  <si>
    <r>
      <t>白酒;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伏特加酒; 烈酒</t>
    </r>
  </si>
  <si>
    <t>森野山</t>
  </si>
  <si>
    <r>
      <t>张</t>
    </r>
    <r>
      <rPr>
        <sz val="11"/>
        <color theme="1"/>
        <rFont val="ＭＳ Ｐゴシック"/>
        <family val="3"/>
        <charset val="128"/>
        <scheme val="minor"/>
      </rPr>
      <t>庭旺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</si>
  <si>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</si>
  <si>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牌草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故事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</si>
  <si>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</si>
  <si>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r>
      <t>靓</t>
    </r>
    <r>
      <rPr>
        <sz val="11"/>
        <color theme="1"/>
        <rFont val="ＭＳ Ｐゴシック"/>
        <family val="3"/>
        <charset val="128"/>
        <scheme val="minor"/>
      </rPr>
      <t>家伙</t>
    </r>
  </si>
  <si>
    <t>方燕富</t>
  </si>
  <si>
    <r>
      <t xml:space="preserve">蜂蜜酒; 米酒;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</si>
  <si>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仙山妙他</t>
  </si>
  <si>
    <r>
      <t>杭州火眼金睛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</si>
  <si>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</si>
  <si>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上</t>
    </r>
  </si>
  <si>
    <r>
      <t>湖南好友好品酒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</si>
  <si>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白干酒（中国白酒）; 食用酒精; 果酒（含酒精）; 黄酒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</si>
  <si>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·春之芳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</si>
  <si>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智泓文化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</si>
  <si>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威士忌; 白酒; 果酒（含酒精）; 米酒; 青梅酒; 高粱酒; 清酒; 葡萄酒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</si>
  <si>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米酒</t>
    </r>
  </si>
  <si>
    <r>
      <t>齐鲁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</si>
  <si>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宋俊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</si>
  <si>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果酒（含酒精）; 葡萄酒</t>
    </r>
  </si>
  <si>
    <t>彬莱</t>
  </si>
  <si>
    <r>
      <t>彬莱集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</si>
  <si>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食用酒精; 薄荷酒; 高粱酒; 果酒; 烈酒; 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</si>
  <si>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黄台仙</t>
  </si>
  <si>
    <r>
      <t>陈</t>
    </r>
    <r>
      <rPr>
        <sz val="11"/>
        <color theme="1"/>
        <rFont val="ＭＳ Ｐゴシック"/>
        <family val="3"/>
        <charset val="128"/>
        <scheme val="minor"/>
      </rPr>
      <t>佳宇</t>
    </r>
  </si>
  <si>
    <r>
      <t>威士忌; 黄酒; 白酒; 烈酒; 葡萄酒;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</si>
  <si>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牛塘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</si>
  <si>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少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</si>
  <si>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</si>
  <si>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朴人</t>
    </r>
  </si>
  <si>
    <r>
      <t xml:space="preserve">白干酒（中国白酒）; 苹果酒; 葡萄酒; 米酒;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</si>
  <si>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SHOU AOI</t>
  </si>
  <si>
    <r>
      <t>福建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达控股有限公司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</si>
  <si>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</si>
  <si>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金荔泉国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</si>
  <si>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朗姆酒; 黄酒; 杜松子酒; 伏特加酒; 威士忌</t>
    </r>
  </si>
  <si>
    <r>
      <t>儒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</si>
  <si>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南昌粉小怪供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</si>
  <si>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米酒;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</si>
  <si>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武功山武味</t>
  </si>
  <si>
    <r>
      <t>江西武功山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</si>
  <si>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黄酒; 葡萄酒;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青稞酒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</si>
  <si>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海客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</si>
  <si>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三青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</si>
  <si>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</si>
  <si>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君子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</si>
  <si>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</si>
  <si>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云中呼和</t>
  </si>
  <si>
    <r>
      <t>陈</t>
    </r>
    <r>
      <rPr>
        <sz val="11"/>
        <color theme="1"/>
        <rFont val="ＭＳ Ｐゴシック"/>
        <family val="3"/>
        <charset val="128"/>
        <scheme val="minor"/>
      </rPr>
      <t>虹</t>
    </r>
  </si>
  <si>
    <r>
      <t>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白酒; 果酒（含酒精）</t>
    </r>
  </si>
  <si>
    <t>八湃</t>
  </si>
  <si>
    <r>
      <t>陈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</si>
  <si>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开胃酒;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</si>
  <si>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米畔</t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</si>
  <si>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葡萄酒; 白酒; 开胃酒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</si>
  <si>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炻</t>
    </r>
  </si>
  <si>
    <t>黄朝成</t>
  </si>
  <si>
    <r>
      <t>9号伊斯</t>
    </r>
    <r>
      <rPr>
        <sz val="11"/>
        <color theme="1"/>
        <rFont val="ＭＳ Ｐゴシック"/>
        <family val="3"/>
        <charset val="134"/>
        <scheme val="minor"/>
      </rPr>
      <t>顿马</t>
    </r>
    <r>
      <rPr>
        <sz val="11"/>
        <color theme="1"/>
        <rFont val="ＭＳ Ｐゴシック"/>
        <family val="3"/>
        <charset val="128"/>
        <scheme val="minor"/>
      </rPr>
      <t>丁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</si>
  <si>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葡萄酒; 果酒; 汽酒; 露酒;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</si>
  <si>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五叶神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</si>
  <si>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五叶神集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</si>
  <si>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食用酒精; 黄酒; 葡萄酒;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</si>
  <si>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馔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</si>
  <si>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秀娥******************</t>
    </r>
  </si>
  <si>
    <r>
      <t xml:space="preserve">甘蔗制烈酒;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</si>
  <si>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俊</t>
    </r>
    <r>
      <rPr>
        <sz val="11"/>
        <color theme="1"/>
        <rFont val="ＭＳ Ｐゴシック"/>
        <family val="3"/>
        <charset val="134"/>
        <scheme val="minor"/>
      </rPr>
      <t>婶</t>
    </r>
  </si>
  <si>
    <t>周喜先</t>
  </si>
  <si>
    <r>
      <t>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薄荷酒;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蜂蜜酒</t>
    </r>
  </si>
  <si>
    <t>亦加方瓶</t>
  </si>
  <si>
    <r>
      <t>北京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鲜购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</si>
  <si>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蜂蜜酒;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</t>
    </r>
  </si>
  <si>
    <t>武功山武珍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</si>
  <si>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青稞酒</t>
    </r>
  </si>
  <si>
    <r>
      <t>引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</si>
  <si>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 xml:space="preserve">梨酒; 威士忌; 黄酒; 葡萄酒; 白酒; 青稞酒; 利口酒;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</si>
  <si>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牌星</t>
    </r>
    <r>
      <rPr>
        <sz val="11"/>
        <color theme="1"/>
        <rFont val="ＭＳ Ｐゴシック"/>
        <family val="3"/>
        <charset val="134"/>
        <scheme val="minor"/>
      </rPr>
      <t>汉灿烂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</si>
  <si>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</si>
  <si>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瞿</t>
    </r>
    <r>
      <rPr>
        <sz val="11"/>
        <color theme="1"/>
        <rFont val="ＭＳ Ｐゴシック"/>
        <family val="3"/>
        <charset val="134"/>
        <scheme val="minor"/>
      </rPr>
      <t>稳</t>
    </r>
    <r>
      <rPr>
        <sz val="11"/>
        <color theme="1"/>
        <rFont val="ＭＳ Ｐゴシック"/>
        <family val="3"/>
        <charset val="128"/>
        <scheme val="minor"/>
      </rPr>
      <t>当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</si>
  <si>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合百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</si>
  <si>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果酒（含酒精）; 黄酒; 开胃酒; 米酒</t>
    </r>
  </si>
  <si>
    <t>栖花里</t>
  </si>
  <si>
    <t>利口酒; 果酒; 清酒; 汽酒; 高粱酒; 葡萄酒; 露酒; 开胃酒; 米酒; 白酒</t>
  </si>
  <si>
    <r>
      <t>铁头</t>
    </r>
    <r>
      <rPr>
        <sz val="11"/>
        <color theme="1"/>
        <rFont val="ＭＳ Ｐゴシック"/>
        <family val="3"/>
        <charset val="128"/>
        <scheme val="minor"/>
      </rPr>
      <t>少女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</si>
  <si>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(******************)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</si>
  <si>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白葡萄酒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</si>
  <si>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金氿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</si>
  <si>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餐后酒（利口酒和烈酒）</t>
    </r>
  </si>
  <si>
    <t>戎造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</si>
  <si>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宾铁</t>
    </r>
    <r>
      <rPr>
        <sz val="11"/>
        <color theme="1"/>
        <rFont val="ＭＳ Ｐゴシック"/>
        <family val="3"/>
        <charset val="128"/>
        <scheme val="minor"/>
      </rPr>
      <t>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</si>
  <si>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黄酒; 开胃酒; 白干酒（中国白酒）</t>
    </r>
  </si>
  <si>
    <t>禾谷洞</t>
  </si>
  <si>
    <t>李彬</t>
  </si>
  <si>
    <r>
      <t xml:space="preserve">果酒; 米酒;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 xml:space="preserve">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</si>
  <si>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粮般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</si>
  <si>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葡萄酒; 清酒（日本米酒）; 开胃酒</t>
    </r>
  </si>
  <si>
    <r>
      <t>介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景明</t>
    </r>
  </si>
  <si>
    <r>
      <t>邓丽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</si>
  <si>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含酒精的气泡水; 米酒</t>
    </r>
  </si>
  <si>
    <r>
      <t>菜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</si>
  <si>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钟桥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</si>
  <si>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开胃酒</t>
    </r>
  </si>
  <si>
    <r>
      <t>彧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液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</si>
  <si>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市信彧酒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</si>
  <si>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高粱酒; 米酒; 清酒; 白干酒（中国白酒）; 烈酒; 果酒（含酒精）</t>
    </r>
  </si>
  <si>
    <t>大婆哇</t>
  </si>
  <si>
    <t>张红辉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</si>
  <si>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</si>
  <si>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中力小酌</t>
  </si>
  <si>
    <t>岳文杰******************</t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</si>
  <si>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</t>
    </r>
  </si>
  <si>
    <r>
      <t>望</t>
    </r>
    <r>
      <rPr>
        <sz val="11"/>
        <color theme="1"/>
        <rFont val="ＭＳ Ｐゴシック"/>
        <family val="3"/>
        <charset val="134"/>
        <scheme val="minor"/>
      </rPr>
      <t>峥</t>
    </r>
  </si>
  <si>
    <t>周恩崇</t>
  </si>
  <si>
    <r>
      <t>开胃酒; 米酒; 白酒; 苦味酒;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</si>
  <si>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中窖吉</t>
  </si>
  <si>
    <r>
      <t>钟</t>
    </r>
    <r>
      <rPr>
        <sz val="11"/>
        <color theme="1"/>
        <rFont val="ＭＳ Ｐゴシック"/>
        <family val="3"/>
        <charset val="128"/>
        <scheme val="minor"/>
      </rPr>
      <t>清香</t>
    </r>
  </si>
  <si>
    <r>
      <t>葡萄酒; 开胃酒;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</si>
  <si>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粹</t>
    </r>
  </si>
  <si>
    <r>
      <t>开胃酒;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</si>
  <si>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宁惠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</si>
  <si>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宁夏惠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肉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</si>
  <si>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</si>
  <si>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牌南都布衣</t>
    </r>
  </si>
  <si>
    <r>
      <t xml:space="preserve">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</si>
  <si>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吴熠</t>
  </si>
  <si>
    <r>
      <t>吴志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</si>
  <si>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白酒; 含酒精的气泡水; 米酒; 酸酒（低等葡萄酒）;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青稞酒;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</si>
  <si>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汛海</t>
    </r>
    <r>
      <rPr>
        <sz val="11"/>
        <color theme="1"/>
        <rFont val="ＭＳ Ｐゴシック"/>
        <family val="3"/>
        <charset val="134"/>
        <scheme val="minor"/>
      </rPr>
      <t>纳</t>
    </r>
  </si>
  <si>
    <t>余青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</si>
  <si>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苹果酒; 青稞酒; 米酒; 蜂蜜酒;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</si>
  <si>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木心同源</t>
  </si>
  <si>
    <t>杭州木心同源健康科技有限公司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</si>
  <si>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果酒; 威士忌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</si>
  <si>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牌群英会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</si>
  <si>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</si>
  <si>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粮当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</si>
  <si>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烈酒;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</si>
  <si>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健元生</t>
  </si>
  <si>
    <r>
      <t>中山市启意工</t>
    </r>
    <r>
      <rPr>
        <sz val="11"/>
        <color theme="1"/>
        <rFont val="ＭＳ Ｐゴシック"/>
        <family val="3"/>
        <charset val="134"/>
        <scheme val="minor"/>
      </rPr>
      <t>业设计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</si>
  <si>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清酒（日本米酒）; 伏特加酒; 葡萄酒;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</si>
  <si>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密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（上海）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</si>
  <si>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葡萄酒; 干型苹果酒;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水果汽酒;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</si>
  <si>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夫好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</si>
  <si>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成都恒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极度科技有限公司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</si>
  <si>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食用酒精; 白酒; 米酒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</si>
  <si>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</si>
  <si>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五加皮酒（中国混合烈酒）; 米酒; 高粱酒;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</t>
    </r>
  </si>
  <si>
    <r>
      <t>深南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</si>
  <si>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食用酒精;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</si>
  <si>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湖悟空</t>
    </r>
  </si>
  <si>
    <r>
      <t>清酒（日本米酒）;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米酒; 蒸煮提取物（利口酒和烈酒）; 果酒（含酒精）; 黄酒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</si>
  <si>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药师</t>
    </r>
    <r>
      <rPr>
        <sz val="11"/>
        <color theme="1"/>
        <rFont val="ＭＳ Ｐゴシック"/>
        <family val="3"/>
        <charset val="128"/>
        <scheme val="minor"/>
      </rPr>
      <t>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研究院</t>
    </r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</si>
  <si>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蒸煮提取物（利口酒和烈酒）;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</si>
  <si>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信真安</t>
  </si>
  <si>
    <r>
      <t>西安众禾智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</si>
  <si>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青稞酒; 白酒; 米酒; 开胃酒;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</si>
  <si>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唐万平</t>
  </si>
  <si>
    <r>
      <t>威士忌; 食用酒精; 葡萄酒;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</si>
  <si>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巷子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</si>
  <si>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朗姆酒; 黄酒; 白酒; 混合威士忌酒; 威士忌; 食用酒精</t>
    </r>
  </si>
  <si>
    <r>
      <t>筑江山品</t>
    </r>
    <r>
      <rPr>
        <sz val="11"/>
        <color theme="1"/>
        <rFont val="ＭＳ Ｐゴシック"/>
        <family val="3"/>
        <charset val="134"/>
        <scheme val="minor"/>
      </rPr>
      <t>尝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</si>
  <si>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清酒（日本米酒）;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</si>
  <si>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</si>
  <si>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果酒;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</si>
  <si>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滇古今</t>
  </si>
  <si>
    <r>
      <t>白酒;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</si>
  <si>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悬</t>
    </r>
    <r>
      <rPr>
        <sz val="11"/>
        <color theme="1"/>
        <rFont val="ＭＳ Ｐゴシック"/>
        <family val="3"/>
        <charset val="128"/>
        <scheme val="minor"/>
      </rPr>
      <t>瀑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</si>
  <si>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开胃酒;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</t>
    </r>
  </si>
  <si>
    <r>
      <t>十河年份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</si>
  <si>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亳州市嵇康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</si>
  <si>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</si>
  <si>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冰城苗家村</t>
  </si>
  <si>
    <r>
      <t>崔志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</si>
  <si>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</si>
  <si>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</si>
  <si>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五加皮酒（中国混合烈酒）; 白酒;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</si>
  <si>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武功山武宿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</si>
  <si>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</si>
  <si>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北媳</t>
    </r>
    <r>
      <rPr>
        <sz val="11"/>
        <color theme="1"/>
        <rFont val="ＭＳ Ｐゴシック"/>
        <family val="3"/>
        <charset val="134"/>
        <scheme val="minor"/>
      </rPr>
      <t>妇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</si>
  <si>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</si>
  <si>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 xml:space="preserve">烈酒;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白酒; 蜂蜜酒; 葡萄酒</t>
    </r>
  </si>
  <si>
    <t>李渡曲作家</t>
  </si>
  <si>
    <r>
      <t xml:space="preserve">利口酒;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</si>
  <si>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大吨位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</si>
  <si>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</si>
  <si>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米酒</t>
    </r>
  </si>
  <si>
    <t>筑小福</t>
  </si>
  <si>
    <r>
      <t>合肥仙露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</si>
  <si>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米酒; 食用酒精; 黄酒; 烈酒; 果酒（含酒精）</t>
    </r>
  </si>
  <si>
    <t>帝君爵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</si>
  <si>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巧康集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</si>
  <si>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梅酒; 黄酒; 白酒; 威士忌;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</si>
  <si>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纷</t>
    </r>
    <r>
      <rPr>
        <sz val="11"/>
        <color theme="1"/>
        <rFont val="ＭＳ Ｐゴシック"/>
        <family val="3"/>
        <charset val="128"/>
        <scheme val="minor"/>
      </rPr>
      <t>寿</t>
    </r>
  </si>
  <si>
    <t>祖雪利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</si>
  <si>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米酒;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</si>
  <si>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阿拉善盟游牧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兵生</t>
    </r>
    <r>
      <rPr>
        <sz val="11"/>
        <color theme="1"/>
        <rFont val="ＭＳ Ｐゴシック"/>
        <family val="3"/>
        <charset val="134"/>
        <scheme val="minor"/>
      </rPr>
      <t>态产业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</si>
  <si>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开胃酒; 蜂蜜酒; 苦味酒;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米酒; 黄酒; 葡萄酒</t>
    </r>
  </si>
  <si>
    <t>叨福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</si>
  <si>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鸿农</t>
    </r>
    <r>
      <rPr>
        <sz val="11"/>
        <color theme="1"/>
        <rFont val="ＭＳ Ｐゴシック"/>
        <family val="3"/>
        <charset val="128"/>
        <scheme val="minor"/>
      </rPr>
      <t>牧科技股份有限公司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</si>
  <si>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食用酒精; 青稞酒; 果酒（含酒精）;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</si>
  <si>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天女峰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</si>
  <si>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天女峰酒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</si>
  <si>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果酒（含酒精）; 苹果酒; 青稞酒; 酸酒（低等葡萄酒）;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葡萄酒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</si>
  <si>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丰</t>
    </r>
  </si>
  <si>
    <t>李林******************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</si>
  <si>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果酒;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</si>
  <si>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丹落佳醇</t>
  </si>
  <si>
    <t>张亚辉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</si>
  <si>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</si>
  <si>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天禄澄</t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</si>
  <si>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</si>
  <si>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梅莫</t>
  </si>
  <si>
    <r>
      <t>弋江区喜安江百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</si>
  <si>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</si>
  <si>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木木辛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</si>
  <si>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清酒;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</si>
  <si>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俗尽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</si>
  <si>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沙持安健康服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</si>
  <si>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葡萄酒;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</si>
  <si>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试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</si>
  <si>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黄酒;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</si>
  <si>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武功武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</si>
  <si>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果酒; 青稞酒</t>
    </r>
  </si>
  <si>
    <t>瓦三春</t>
  </si>
  <si>
    <r>
      <t>洪雅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庙镇</t>
    </r>
    <r>
      <rPr>
        <sz val="11"/>
        <color theme="1"/>
        <rFont val="ＭＳ Ｐゴシック"/>
        <family val="3"/>
        <charset val="128"/>
        <scheme val="minor"/>
      </rPr>
      <t>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</si>
  <si>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</si>
  <si>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绛</t>
    </r>
    <r>
      <rPr>
        <sz val="11"/>
        <color theme="1"/>
        <rFont val="ＭＳ Ｐゴシック"/>
        <family val="3"/>
        <charset val="128"/>
        <scheme val="minor"/>
      </rPr>
      <t>曲熏攻</t>
    </r>
  </si>
  <si>
    <t>易延</t>
  </si>
  <si>
    <r>
      <t>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梅酒; 黄酒; 食用酒精; 黑覆盆子酒</t>
    </r>
  </si>
  <si>
    <t>佬百泉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</si>
  <si>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智圣卧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</si>
  <si>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高粱酒; 清酒; 黄酒; 白酒; 米酒</t>
    </r>
  </si>
  <si>
    <t>浔邺</t>
  </si>
  <si>
    <r>
      <t>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</si>
  <si>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之清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</si>
  <si>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勋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</si>
  <si>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 xml:space="preserve">威士忌;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</t>
    </r>
  </si>
  <si>
    <t>王玉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</si>
  <si>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</si>
  <si>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静元子</t>
  </si>
  <si>
    <r>
      <t>广西横</t>
    </r>
    <r>
      <rPr>
        <sz val="11"/>
        <color theme="1"/>
        <rFont val="ＭＳ Ｐゴシック"/>
        <family val="3"/>
        <charset val="134"/>
        <scheme val="minor"/>
      </rPr>
      <t>县润</t>
    </r>
    <r>
      <rPr>
        <sz val="11"/>
        <color theme="1"/>
        <rFont val="ＭＳ Ｐゴシック"/>
        <family val="3"/>
        <charset val="128"/>
        <scheme val="minor"/>
      </rPr>
      <t>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</si>
  <si>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</si>
  <si>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航科尚医（北京）空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</si>
  <si>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果酒（含酒精）; 威士忌; 白酒; 白干酒（中国白酒）; 黄酒; 青梅酒;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</si>
  <si>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霸王中原</t>
  </si>
  <si>
    <r>
      <t>席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芹</t>
    </r>
  </si>
  <si>
    <r>
      <t xml:space="preserve">米酒;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</si>
  <si>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烈斧</t>
  </si>
  <si>
    <r>
      <t>廖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</si>
  <si>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开胃酒; 果酒（含酒精）</t>
    </r>
  </si>
  <si>
    <t>封丹醴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</si>
  <si>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</si>
  <si>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雪枝寒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</si>
  <si>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</si>
  <si>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质</t>
    </r>
    <r>
      <rPr>
        <sz val="11"/>
        <color theme="1"/>
        <rFont val="ＭＳ Ｐゴシック"/>
        <family val="3"/>
        <charset val="128"/>
        <scheme val="minor"/>
      </rPr>
      <t>唯魂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</si>
  <si>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小松</t>
    </r>
  </si>
  <si>
    <r>
      <t>白干酒（中国白酒）;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</si>
  <si>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禾至</t>
    </r>
    <r>
      <rPr>
        <sz val="11"/>
        <color theme="1"/>
        <rFont val="ＭＳ Ｐゴシック"/>
        <family val="3"/>
        <charset val="134"/>
        <scheme val="minor"/>
      </rPr>
      <t>馐</t>
    </r>
  </si>
  <si>
    <r>
      <t>宁夏中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水稻种植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</si>
  <si>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</si>
  <si>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惬</t>
    </r>
    <r>
      <rPr>
        <sz val="11"/>
        <color theme="1"/>
        <rFont val="ＭＳ Ｐゴシック"/>
        <family val="3"/>
        <charset val="128"/>
        <scheme val="minor"/>
      </rPr>
      <t>高</t>
    </r>
  </si>
  <si>
    <t>广西康呈酒店管理有限公司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</si>
  <si>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米酒</t>
    </r>
  </si>
  <si>
    <r>
      <t>宜鹿雄</t>
    </r>
    <r>
      <rPr>
        <sz val="11"/>
        <color theme="1"/>
        <rFont val="ＭＳ Ｐゴシック"/>
        <family val="3"/>
        <charset val="134"/>
        <scheme val="minor"/>
      </rPr>
      <t>风</t>
    </r>
  </si>
  <si>
    <t>曾海清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</si>
  <si>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米酒;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</si>
  <si>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QIANFENYIPIN</t>
  </si>
  <si>
    <r>
      <t>张</t>
    </r>
    <r>
      <rPr>
        <sz val="11"/>
        <color theme="1"/>
        <rFont val="ＭＳ Ｐゴシック"/>
        <family val="3"/>
        <charset val="128"/>
        <scheme val="minor"/>
      </rPr>
      <t>晴晴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</si>
  <si>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葡萄酒; 米酒;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</si>
  <si>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万景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坡宴有礼</t>
    </r>
  </si>
  <si>
    <r>
      <t>眉山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</si>
  <si>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水果汽酒; 清酒（日本米酒）;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</si>
  <si>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郑酿</t>
    </r>
    <r>
      <rPr>
        <sz val="11"/>
        <color theme="1"/>
        <rFont val="ＭＳ Ｐゴシック"/>
        <family val="3"/>
        <charset val="128"/>
        <scheme val="minor"/>
      </rPr>
      <t>襄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</si>
  <si>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</si>
  <si>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</si>
  <si>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也</t>
    </r>
  </si>
  <si>
    <t>远义现</t>
  </si>
  <si>
    <r>
      <t>果酒（含酒精）; 黄酒;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</si>
  <si>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逐四方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</si>
  <si>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米酒; 汽酒;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</si>
  <si>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FENMINGTIANXIA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</si>
  <si>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</t>
    </r>
  </si>
  <si>
    <t>狂行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</si>
  <si>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驱</t>
    </r>
    <r>
      <rPr>
        <sz val="11"/>
        <color theme="1"/>
        <rFont val="ＭＳ Ｐゴシック"/>
        <family val="3"/>
        <charset val="128"/>
        <scheme val="minor"/>
      </rPr>
      <t>摩者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外用品有限公司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</si>
  <si>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</si>
  <si>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麻老久</t>
  </si>
  <si>
    <r>
      <t>钱</t>
    </r>
    <r>
      <rPr>
        <sz val="11"/>
        <color theme="1"/>
        <rFont val="ＭＳ Ｐゴシック"/>
        <family val="3"/>
        <charset val="128"/>
        <scheme val="minor"/>
      </rPr>
      <t>姐食品（重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</si>
  <si>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</si>
  <si>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t>SHEGLAM</t>
  </si>
  <si>
    <r>
      <t>罗</t>
    </r>
    <r>
      <rPr>
        <sz val="11"/>
        <color theme="1"/>
        <rFont val="ＭＳ Ｐゴシック"/>
        <family val="3"/>
        <charset val="128"/>
        <scheme val="minor"/>
      </rPr>
      <t>德盖特商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私人有限公司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</si>
  <si>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</si>
  <si>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房</t>
    </r>
    <r>
      <rPr>
        <sz val="11"/>
        <color theme="1"/>
        <rFont val="ＭＳ Ｐゴシック"/>
        <family val="3"/>
        <charset val="134"/>
        <scheme val="minor"/>
      </rPr>
      <t>谋</t>
    </r>
    <r>
      <rPr>
        <sz val="11"/>
        <color theme="1"/>
        <rFont val="ＭＳ Ｐゴシック"/>
        <family val="3"/>
        <charset val="128"/>
        <scheme val="minor"/>
      </rPr>
      <t>杜断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</si>
  <si>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沂景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</si>
  <si>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甜酒; 葡萄酒; 露酒;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朗姆酒;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</si>
  <si>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梅之之</t>
  </si>
  <si>
    <r>
      <t>四川味之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</si>
  <si>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</si>
  <si>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暮雪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</si>
  <si>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</si>
  <si>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龙凤欢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</si>
  <si>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</si>
  <si>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</si>
  <si>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SECRET WORLD 秘密的世界</t>
  </si>
  <si>
    <r>
      <t>杭州卓</t>
    </r>
    <r>
      <rPr>
        <sz val="11"/>
        <color theme="1"/>
        <rFont val="ＭＳ Ｐゴシック"/>
        <family val="3"/>
        <charset val="134"/>
        <scheme val="minor"/>
      </rPr>
      <t>纶电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</si>
  <si>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</si>
  <si>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潇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</si>
  <si>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开胃酒; 葡萄酒; 白酒; 黄酒</t>
    </r>
  </si>
  <si>
    <r>
      <t>多彩黔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</si>
  <si>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州旺酒酒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</si>
  <si>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葡萄酒; 黄酒; 白酒; 果酒</t>
    </r>
  </si>
  <si>
    <t>晟福来</t>
  </si>
  <si>
    <r>
      <t>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汽酒; 开胃酒</t>
    </r>
  </si>
  <si>
    <r>
      <t>花山</t>
    </r>
    <r>
      <rPr>
        <sz val="11"/>
        <color theme="1"/>
        <rFont val="ＭＳ Ｐゴシック"/>
        <family val="3"/>
        <charset val="134"/>
        <scheme val="minor"/>
      </rPr>
      <t>贝侬</t>
    </r>
  </si>
  <si>
    <r>
      <t>崇左吉源网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</si>
  <si>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甜酒; 葡萄酒;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</si>
  <si>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t>八醺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</si>
  <si>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清酒（日本米酒）</t>
    </r>
  </si>
  <si>
    <r>
      <t>边</t>
    </r>
    <r>
      <rPr>
        <sz val="11"/>
        <color theme="1"/>
        <rFont val="ＭＳ Ｐゴシック"/>
        <family val="3"/>
        <charset val="128"/>
        <scheme val="minor"/>
      </rPr>
      <t>漠王</t>
    </r>
  </si>
  <si>
    <r>
      <t xml:space="preserve">清酒（日本米酒）; 果酒（含酒精）;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</si>
  <si>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LEMOULINDUXIA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</si>
  <si>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</si>
  <si>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极客行（北京）企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</si>
  <si>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餐后酒（利口酒和烈酒）; 草本型利口酒;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</si>
  <si>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魏家崖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</si>
  <si>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西九如山酒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</si>
  <si>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</si>
  <si>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B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</si>
  <si>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</si>
  <si>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伏特加酒; 威士忌;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</si>
  <si>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蒋元</t>
    </r>
    <r>
      <rPr>
        <sz val="11"/>
        <color theme="1"/>
        <rFont val="ＭＳ Ｐゴシック"/>
        <family val="3"/>
        <charset val="134"/>
        <scheme val="minor"/>
      </rPr>
      <t>顺</t>
    </r>
  </si>
  <si>
    <t>舒念</t>
  </si>
  <si>
    <r>
      <t>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</si>
  <si>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质</t>
    </r>
  </si>
  <si>
    <t>林建密</t>
  </si>
  <si>
    <r>
      <t xml:space="preserve">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</t>
    </r>
  </si>
  <si>
    <r>
      <t>览</t>
    </r>
    <r>
      <rPr>
        <sz val="11"/>
        <color theme="1"/>
        <rFont val="ＭＳ Ｐゴシック"/>
        <family val="3"/>
        <charset val="128"/>
        <scheme val="minor"/>
      </rPr>
      <t>乾坤</t>
    </r>
  </si>
  <si>
    <r>
      <t>白酒; 开胃酒;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</si>
  <si>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梵达</t>
    </r>
  </si>
  <si>
    <t>巨建付</t>
  </si>
  <si>
    <r>
      <t xml:space="preserve">利口酒; 威士忌; 黄酒;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</si>
  <si>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粮百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</si>
  <si>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白酒;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</si>
  <si>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九品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</si>
  <si>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州九品佳酒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</si>
  <si>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</si>
  <si>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八方禧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</si>
  <si>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</si>
  <si>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t>XQQNNN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</si>
  <si>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青年文化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研究院（个人独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</si>
  <si>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食用酒精; 开胃酒; 黄酒; 果酒（含酒精）; 葡萄酒; 清酒（日本米酒）; 米酒; 青稞酒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</si>
  <si>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萖</t>
    </r>
  </si>
  <si>
    <r>
      <t>嘉福嘉（河南）国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</si>
  <si>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利口酒; 葡萄酒</t>
    </r>
  </si>
  <si>
    <t>TYTY YGYQ</t>
  </si>
  <si>
    <r>
      <t>沈阳新天阳玻璃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</si>
  <si>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</si>
  <si>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藜茗食光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</si>
  <si>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潮信云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算有限公司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</si>
  <si>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五加皮酒（中国混合烈酒）;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</si>
  <si>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熊猫召</t>
    </r>
    <r>
      <rPr>
        <sz val="11"/>
        <color theme="1"/>
        <rFont val="ＭＳ Ｐゴシック"/>
        <family val="3"/>
        <charset val="134"/>
        <scheme val="minor"/>
      </rPr>
      <t>唤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</si>
  <si>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忠豪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</si>
  <si>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</si>
  <si>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雁</t>
    </r>
  </si>
  <si>
    <r>
      <t>白酒; 黄酒;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梅酒; 威士忌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</si>
  <si>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李有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</si>
  <si>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南漳</t>
    </r>
    <r>
      <rPr>
        <sz val="11"/>
        <color theme="1"/>
        <rFont val="ＭＳ Ｐゴシック"/>
        <family val="3"/>
        <charset val="134"/>
        <scheme val="minor"/>
      </rPr>
      <t>县鱼</t>
    </r>
    <r>
      <rPr>
        <sz val="11"/>
        <color theme="1"/>
        <rFont val="ＭＳ Ｐゴシック"/>
        <family val="3"/>
        <charset val="128"/>
        <scheme val="minor"/>
      </rPr>
      <t>李有</t>
    </r>
    <r>
      <rPr>
        <sz val="11"/>
        <color theme="1"/>
        <rFont val="ＭＳ Ｐゴシック"/>
        <family val="3"/>
        <charset val="134"/>
        <scheme val="minor"/>
      </rPr>
      <t>约农业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</si>
  <si>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青稞酒;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黄酒; 葡萄酒</t>
    </r>
  </si>
  <si>
    <t>星城金尊不佬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</si>
  <si>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沙星城一号文化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</si>
  <si>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麦芽威士忌;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</si>
  <si>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峥嵘华酱</t>
  </si>
  <si>
    <r>
      <t>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</t>
    </r>
  </si>
  <si>
    <r>
      <t>汣</t>
    </r>
    <r>
      <rPr>
        <sz val="11"/>
        <color theme="1"/>
        <rFont val="ＭＳ Ｐゴシック"/>
        <family val="3"/>
        <charset val="128"/>
        <scheme val="minor"/>
      </rPr>
      <t>窖公</t>
    </r>
  </si>
  <si>
    <r>
      <t>特殊沃利餐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</si>
  <si>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白酒</t>
    </r>
  </si>
  <si>
    <t>瓮山泊</t>
  </si>
  <si>
    <r>
      <t>洪秀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</si>
  <si>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黄酒; 米酒</t>
    </r>
  </si>
  <si>
    <t>李致</t>
  </si>
  <si>
    <r>
      <t>中阳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馥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</si>
  <si>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</si>
  <si>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t>阿隆味府</t>
  </si>
  <si>
    <r>
      <t>安徽阿隆餐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</si>
  <si>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水果汽酒; 黄酒; 青稞酒; 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</si>
  <si>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</t>
    </r>
  </si>
  <si>
    <r>
      <t>刘佳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</si>
  <si>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白酒; 米酒</t>
    </r>
  </si>
  <si>
    <r>
      <t>武功武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</si>
  <si>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</si>
  <si>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男儿歌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</si>
  <si>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州均康太极文化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</si>
  <si>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苹果酒;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黄酒; 白酒</t>
    </r>
  </si>
  <si>
    <t>又梅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</si>
  <si>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</si>
  <si>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佳百瑞 MOBIENRRY</t>
  </si>
  <si>
    <r>
      <t>弋江区</t>
    </r>
    <r>
      <rPr>
        <sz val="11"/>
        <color theme="1"/>
        <rFont val="ＭＳ Ｐゴシック"/>
        <family val="3"/>
        <charset val="134"/>
        <scheme val="minor"/>
      </rPr>
      <t>谈</t>
    </r>
    <r>
      <rPr>
        <sz val="11"/>
        <color theme="1"/>
        <rFont val="ＭＳ Ｐゴシック"/>
        <family val="3"/>
        <charset val="128"/>
        <scheme val="minor"/>
      </rPr>
      <t>薇百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</si>
  <si>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清酒（日本米酒）; 食用酒精; 白酒</t>
    </r>
  </si>
  <si>
    <r>
      <t>郑酿</t>
    </r>
    <r>
      <rPr>
        <sz val="11"/>
        <color theme="1"/>
        <rFont val="ＭＳ Ｐゴシック"/>
        <family val="3"/>
        <charset val="128"/>
        <scheme val="minor"/>
      </rPr>
      <t>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</si>
  <si>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威士忌; 果酒（含酒精）; 葡萄酒</t>
    </r>
  </si>
  <si>
    <r>
      <t>龙酿</t>
    </r>
    <r>
      <rPr>
        <sz val="11"/>
        <color theme="1"/>
        <rFont val="ＭＳ Ｐゴシック"/>
        <family val="3"/>
        <charset val="128"/>
        <scheme val="minor"/>
      </rPr>
      <t>河</t>
    </r>
  </si>
  <si>
    <t>刘石榴</t>
  </si>
  <si>
    <r>
      <t>葡萄酒;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</si>
  <si>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鑫叶秋</t>
  </si>
  <si>
    <t>天津恢弘工程有限公司</t>
  </si>
  <si>
    <r>
      <t>果酒（含酒精）;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开胃酒;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</si>
  <si>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WATTLE BROOK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</si>
  <si>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东轩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</si>
  <si>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白酒; 白葡萄酒;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</t>
    </r>
  </si>
  <si>
    <r>
      <t>纵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29"/>
        <scheme val="minor"/>
      </rPr>
      <t>泇</t>
    </r>
    <r>
      <rPr>
        <sz val="11"/>
        <color theme="1"/>
        <rFont val="ＭＳ Ｐゴシック"/>
        <family val="3"/>
        <charset val="128"/>
        <scheme val="minor"/>
      </rPr>
      <t>宴</t>
    </r>
  </si>
  <si>
    <t>纵诚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</si>
  <si>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伏特加酒; 米酒; 威士忌; 开胃酒; 蜂蜜酒</t>
    </r>
  </si>
  <si>
    <t>牧童吟</t>
  </si>
  <si>
    <t>应义锋</t>
  </si>
  <si>
    <r>
      <t>果酒(含酒精);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白酒; 米酒; 黄酒;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</si>
  <si>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傲</t>
    </r>
  </si>
  <si>
    <r>
      <t>漳州市尊尚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</si>
  <si>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青稞酒;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黄酒;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</si>
  <si>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皓香坊</t>
  </si>
  <si>
    <t>李林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</si>
  <si>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</si>
  <si>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玉屏山</t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</si>
  <si>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</si>
  <si>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蕙知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</si>
  <si>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</si>
  <si>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椹行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</si>
  <si>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椹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下生物科技有限公司</t>
    </r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</si>
  <si>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白酒</t>
    </r>
  </si>
  <si>
    <t>乐娱乐见</t>
  </si>
  <si>
    <r>
      <t>宁波桂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</si>
  <si>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果酒; 威士忌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</si>
  <si>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</si>
  <si>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</si>
  <si>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SNZOGCO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</si>
  <si>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富堂品牌策划企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</si>
  <si>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葡萄酒; 米酒;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</si>
  <si>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龙凤欢</t>
    </r>
    <r>
      <rPr>
        <sz val="11"/>
        <color theme="1"/>
        <rFont val="ＭＳ Ｐゴシック"/>
        <family val="3"/>
        <charset val="128"/>
        <scheme val="minor"/>
      </rPr>
      <t>金山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</si>
  <si>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开胃酒; 果酒（含酒精）; 伏特加酒;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</si>
  <si>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共福豪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</si>
  <si>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河北取舍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</si>
  <si>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葡萄酒; 果酒（含酒精）; 高粱酒; 米酒; 黄酒; 食用酒精; 白酒</t>
    </r>
  </si>
  <si>
    <t>凡晟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</si>
  <si>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州凡晟基酒供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</si>
  <si>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五加皮酒（中国混合烈酒）;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</t>
    </r>
  </si>
  <si>
    <t>谷福村</t>
  </si>
  <si>
    <r>
      <t xml:space="preserve">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果酒; 食用酒精</t>
    </r>
  </si>
  <si>
    <t>李渡瓷作家</t>
  </si>
  <si>
    <r>
      <t>利口酒;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白酒</t>
    </r>
  </si>
  <si>
    <r>
      <t>宛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有礼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</si>
  <si>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米酒; 果酒（含酒精）; 葡萄酒; 黄酒; 利口酒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</si>
  <si>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</si>
  <si>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唐小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</si>
  <si>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</si>
  <si>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渝群露</t>
  </si>
  <si>
    <r>
      <t>朱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</si>
  <si>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</si>
  <si>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盛滋味</t>
  </si>
  <si>
    <r>
      <t>岳阳市盛迅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</si>
  <si>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</si>
  <si>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黔宝金</t>
    </r>
    <r>
      <rPr>
        <sz val="11"/>
        <color theme="1"/>
        <rFont val="ＭＳ Ｐゴシック"/>
        <family val="3"/>
        <charset val="134"/>
        <scheme val="minor"/>
      </rPr>
      <t>匮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</si>
  <si>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</si>
  <si>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</si>
  <si>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酩崇</t>
  </si>
  <si>
    <r>
      <t xml:space="preserve">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烈酒; 清酒（日本米酒）; 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</si>
  <si>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和德承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</si>
  <si>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</si>
  <si>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甜酒;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</si>
  <si>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悸醇台</t>
  </si>
  <si>
    <r>
      <t>古</t>
    </r>
    <r>
      <rPr>
        <sz val="11"/>
        <color theme="1"/>
        <rFont val="ＭＳ Ｐゴシック"/>
        <family val="3"/>
        <charset val="134"/>
        <scheme val="minor"/>
      </rPr>
      <t>艳华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</si>
  <si>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</si>
  <si>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禾荷香</t>
  </si>
  <si>
    <r>
      <t>石首市禾能量</t>
    </r>
    <r>
      <rPr>
        <sz val="11"/>
        <color theme="1"/>
        <rFont val="ＭＳ Ｐゴシック"/>
        <family val="3"/>
        <charset val="134"/>
        <scheme val="minor"/>
      </rPr>
      <t>农业农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</si>
  <si>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</si>
  <si>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劳</t>
    </r>
    <r>
      <rPr>
        <sz val="11"/>
        <color theme="1"/>
        <rFont val="ＭＳ Ｐゴシック"/>
        <family val="3"/>
        <charset val="128"/>
        <scheme val="minor"/>
      </rPr>
      <t>宝1号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</si>
  <si>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利丰达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</si>
  <si>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</si>
  <si>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冬暖之夜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</si>
  <si>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</si>
  <si>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</si>
  <si>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缦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</si>
  <si>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高文工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</si>
  <si>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伏特加酒;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果酒</t>
    </r>
  </si>
  <si>
    <t>五醇福</t>
  </si>
  <si>
    <r>
      <t>河南奥界酒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</si>
  <si>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</si>
  <si>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厚玖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</si>
  <si>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</si>
  <si>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小星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</si>
  <si>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丽军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</si>
  <si>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</t>
    </r>
  </si>
  <si>
    <t>MEI LI XI GU</t>
  </si>
  <si>
    <r>
      <t>凤庆县</t>
    </r>
    <r>
      <rPr>
        <sz val="11"/>
        <color theme="1"/>
        <rFont val="ＭＳ Ｐゴシック"/>
        <family val="3"/>
        <charset val="128"/>
        <scheme val="minor"/>
      </rPr>
      <t>益民种植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</si>
  <si>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米酒; 水果汽酒;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青梅酒; 甜果酒; 白酒; 梅酒; 高粱酒</t>
    </r>
  </si>
  <si>
    <t>咏渡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</si>
  <si>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开胃酒;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白酒</t>
    </r>
  </si>
  <si>
    <t>HUANG JIN MEN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</si>
  <si>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苹果酒; 米酒; 葡萄酒; 露酒</t>
    </r>
  </si>
  <si>
    <r>
      <t>薄荷酒;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葡萄酒; 果酒; 白酒; 清酒</t>
    </r>
  </si>
  <si>
    <r>
      <t>道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</si>
  <si>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博文</t>
    </r>
  </si>
  <si>
    <r>
      <t>白酒;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</si>
  <si>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YOAJUNG</t>
  </si>
  <si>
    <t>崔正敏</t>
  </si>
  <si>
    <r>
      <t>果酒（含酒精）; 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开胃酒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</si>
  <si>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辕</t>
    </r>
  </si>
  <si>
    <t>胡明荣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</si>
  <si>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利口酒; 白酒; 黄酒; 威士忌</t>
    </r>
  </si>
  <si>
    <r>
      <t>龙凤欢</t>
    </r>
    <r>
      <rPr>
        <sz val="11"/>
        <color theme="1"/>
        <rFont val="ＭＳ Ｐゴシック"/>
        <family val="3"/>
        <charset val="128"/>
        <scheme val="minor"/>
      </rPr>
      <t>金岳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</si>
  <si>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</si>
  <si>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粱千禧</t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</si>
  <si>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</si>
  <si>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威士忌;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</si>
  <si>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空天</t>
    </r>
    <r>
      <rPr>
        <sz val="11"/>
        <color theme="1"/>
        <rFont val="ＭＳ Ｐゴシック"/>
        <family val="3"/>
        <charset val="134"/>
        <scheme val="minor"/>
      </rPr>
      <t>岚蓝</t>
    </r>
    <r>
      <rPr>
        <sz val="11"/>
        <color theme="1"/>
        <rFont val="ＭＳ Ｐゴシック"/>
        <family val="3"/>
        <charset val="128"/>
        <scheme val="minor"/>
      </rPr>
      <t>妹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</si>
  <si>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青梅酒; 青稞酒; 葡萄酒; 米酒; 黄酒; 白酒; 果酒（含酒精）</t>
    </r>
  </si>
  <si>
    <r>
      <t>天渠大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</si>
  <si>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四川天渠酒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</si>
  <si>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果酒; 黄酒; 梨酒; 蜂蜜酒; 白酒;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</si>
  <si>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</si>
  <si>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天瓶（北京）酒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</si>
  <si>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食用酒精; 葡萄酒;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</si>
  <si>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鹿九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</si>
  <si>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春市馨鹿堂鹿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</si>
  <si>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蜂蜜酒;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</si>
  <si>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</si>
  <si>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冬</t>
    </r>
  </si>
  <si>
    <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</si>
  <si>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聚加速</t>
  </si>
  <si>
    <r>
      <t>谢</t>
    </r>
    <r>
      <rPr>
        <sz val="11"/>
        <color theme="1"/>
        <rFont val="ＭＳ Ｐゴシック"/>
        <family val="3"/>
        <charset val="128"/>
        <scheme val="minor"/>
      </rPr>
      <t>小梅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</si>
  <si>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露酒; 白酒; 葡萄酒; 烈酒; 高粱酒</t>
    </r>
  </si>
  <si>
    <t>木真香</t>
  </si>
  <si>
    <r>
      <t>山西善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康养医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</si>
  <si>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青稞酒; 开胃酒; 清酒;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</si>
  <si>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草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目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</si>
  <si>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州久信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</si>
  <si>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</si>
  <si>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赢论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</si>
  <si>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</si>
  <si>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斗家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</si>
  <si>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这</t>
    </r>
    <r>
      <rPr>
        <sz val="11"/>
        <color theme="1"/>
        <rFont val="ＭＳ Ｐゴシック"/>
        <family val="3"/>
        <charset val="128"/>
        <scheme val="minor"/>
      </rPr>
      <t>有堆品牌管理有限公司</t>
    </r>
  </si>
  <si>
    <r>
      <t>米酒; 开胃酒; 葡萄酒; 清酒（日本米酒）; 蒸煮提取物（利口酒和烈酒）; 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</si>
  <si>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定一生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</si>
  <si>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西有堂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</si>
  <si>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伏特加酒; 食用酒精; 葡萄酒; 威士忌; 朗姆酒; 果酒（含酒精）;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</si>
  <si>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德通雅</t>
    </r>
    <r>
      <rPr>
        <sz val="11"/>
        <color theme="1"/>
        <rFont val="ＭＳ Ｐゴシック"/>
        <family val="3"/>
        <charset val="134"/>
        <scheme val="minor"/>
      </rPr>
      <t>乐</t>
    </r>
  </si>
  <si>
    <t>徐沛******************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</si>
  <si>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</si>
  <si>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峥嵘华酝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</si>
  <si>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白干酒（中国白酒）; 葡萄酒; 白酒; 高粱酒; 果酒; 烈酒</t>
    </r>
  </si>
  <si>
    <t>平襄牛谷河</t>
  </si>
  <si>
    <r>
      <t>通渭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</si>
  <si>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黄酒</t>
    </r>
  </si>
  <si>
    <t>凭川</t>
  </si>
  <si>
    <t>陈辽远</t>
  </si>
  <si>
    <r>
      <t>青稞酒; 黄酒;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高粱酒;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</si>
  <si>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止翁坊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</si>
  <si>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</t>
    </r>
  </si>
  <si>
    <r>
      <t>海棠</t>
    </r>
    <r>
      <rPr>
        <sz val="11"/>
        <color theme="1"/>
        <rFont val="ＭＳ Ｐゴシック"/>
        <family val="3"/>
        <charset val="134"/>
        <scheme val="minor"/>
      </rPr>
      <t>风华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</si>
  <si>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州酒博士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</si>
  <si>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餐后酒（利口酒和烈酒）; 白酒;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</si>
  <si>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郑酿郑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</si>
  <si>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米酒</t>
    </r>
  </si>
  <si>
    <t>浩坦塔拉</t>
  </si>
  <si>
    <r>
      <t>单</t>
    </r>
    <r>
      <rPr>
        <sz val="11"/>
        <color theme="1"/>
        <rFont val="ＭＳ Ｐゴシック"/>
        <family val="3"/>
        <charset val="128"/>
        <scheme val="minor"/>
      </rPr>
      <t>冠松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</si>
  <si>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蜂蜜酒; 米酒;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</si>
  <si>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刀渡</t>
  </si>
  <si>
    <t>刘斌</t>
  </si>
  <si>
    <r>
      <t>黄酒; 烈酒; 果酒（含酒精）;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</si>
  <si>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</si>
  <si>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白酒; 食用酒精; 葡萄酒;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</si>
  <si>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礼夫子</t>
  </si>
  <si>
    <r>
      <t>谢</t>
    </r>
    <r>
      <rPr>
        <sz val="11"/>
        <color theme="1"/>
        <rFont val="ＭＳ Ｐゴシック"/>
        <family val="3"/>
        <charset val="128"/>
        <scheme val="minor"/>
      </rPr>
      <t>如意</t>
    </r>
  </si>
  <si>
    <r>
      <t>高粱酒;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果酒; 白干酒（中国白酒）;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</si>
  <si>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巅</t>
    </r>
    <r>
      <rPr>
        <sz val="11"/>
        <color theme="1"/>
        <rFont val="ＭＳ Ｐゴシック"/>
        <family val="3"/>
        <charset val="129"/>
        <scheme val="minor"/>
      </rPr>
      <t>墆</t>
    </r>
  </si>
  <si>
    <r>
      <t>安徽加倍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</si>
  <si>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撮城酒坊</t>
  </si>
  <si>
    <r>
      <t>肥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撮城酒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</si>
  <si>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白干酒（中国白酒）; 高粱酒; 葡萄酒; 米酒; 青稞酒; 果酒（含酒精）; 烈酒</t>
    </r>
  </si>
  <si>
    <t>浩学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</si>
  <si>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高粱酒; 米酒; 露酒</t>
    </r>
  </si>
  <si>
    <r>
      <t>牛一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</si>
  <si>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黄酒; 烈酒;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</si>
  <si>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梵高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</si>
  <si>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省利哆（厦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</si>
  <si>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餐后酒（利口酒和烈酒）;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</si>
  <si>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</si>
  <si>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</t>
    </r>
  </si>
  <si>
    <r>
      <t>曹家季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</si>
  <si>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</si>
  <si>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轻勋</t>
  </si>
  <si>
    <r>
      <t>李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</si>
  <si>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伏特加酒; 威士忌;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</si>
  <si>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得</t>
    </r>
    <r>
      <rPr>
        <sz val="11"/>
        <color theme="1"/>
        <rFont val="ＭＳ Ｐゴシック"/>
        <family val="3"/>
        <charset val="134"/>
        <scheme val="minor"/>
      </rPr>
      <t>闲宽</t>
    </r>
    <r>
      <rPr>
        <sz val="11"/>
        <color theme="1"/>
        <rFont val="ＭＳ Ｐゴシック"/>
        <family val="3"/>
        <charset val="128"/>
        <scheme val="minor"/>
      </rPr>
      <t>窄</t>
    </r>
  </si>
  <si>
    <r>
      <t>熊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</si>
  <si>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>白酒; 米酒;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葡萄酒</t>
    </r>
  </si>
  <si>
    <t>礼迹</t>
  </si>
  <si>
    <r>
      <t>欧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</si>
  <si>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清酒（日本米酒）; 果酒（含酒精）; 白酒; 烈酒;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</si>
  <si>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r>
      <t>朝阳老窖酒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</si>
  <si>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葡萄酒; 蜂蜜酒; 汽酒; 白酒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</si>
  <si>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谈</t>
    </r>
  </si>
  <si>
    <t>储庆华</t>
  </si>
  <si>
    <r>
      <t xml:space="preserve">米酒; 烈酒; 葡萄酒; 白酒;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高粱酒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</si>
  <si>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江南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</si>
  <si>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苏汇</t>
    </r>
    <r>
      <rPr>
        <sz val="11"/>
        <color theme="1"/>
        <rFont val="ＭＳ Ｐゴシック"/>
        <family val="3"/>
        <charset val="128"/>
        <scheme val="minor"/>
      </rPr>
      <t>江南信息科技有限公司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</si>
  <si>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苦味酒; 清酒（日本米酒）;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</si>
  <si>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源培元</t>
  </si>
  <si>
    <r>
      <t>郓</t>
    </r>
    <r>
      <rPr>
        <sz val="11"/>
        <color theme="1"/>
        <rFont val="ＭＳ Ｐゴシック"/>
        <family val="3"/>
        <charset val="128"/>
        <scheme val="minor"/>
      </rPr>
      <t>城雷格商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</si>
  <si>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烈酒; 白酒;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</si>
  <si>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毛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</si>
  <si>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</si>
  <si>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</si>
  <si>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FJJT</t>
  </si>
  <si>
    <r>
      <t>汾阳市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粮白酒批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零售有限公司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</si>
  <si>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高粱酒; 黄酒; 食用酒精; 葡萄酒; 白酒; 开胃酒; 烈酒</t>
    </r>
  </si>
  <si>
    <t>首瀚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</si>
  <si>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高粱酒; 烈酒; 黄酒</t>
    </r>
  </si>
  <si>
    <t>依莓冰雪森林</t>
  </si>
  <si>
    <r>
      <t>大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安岭依莓酒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</si>
  <si>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五加皮酒（中国混合烈酒）;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</si>
  <si>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熏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</si>
  <si>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建生</t>
    </r>
  </si>
  <si>
    <r>
      <t xml:space="preserve">朗姆酒; 威士忌; 白酒; 含酒精的气泡水; 果酒; 葡萄酒; 黄酒; 米酒;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</si>
  <si>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墨客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</si>
  <si>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江五米粮食集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</si>
  <si>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威士忌; 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</si>
  <si>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t>哲瀚</t>
  </si>
  <si>
    <r>
      <t>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高粱酒; 露酒; 白酒; 果酒（含酒精）</t>
    </r>
  </si>
  <si>
    <r>
      <t>泰山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</si>
  <si>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泰安市泰山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事博物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</si>
  <si>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果酒（含酒精）; 杜松子酒; 朗姆酒</t>
    </r>
  </si>
  <si>
    <t>夜生白露</t>
  </si>
  <si>
    <t>李征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</si>
  <si>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烈酒;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</si>
  <si>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将天山</t>
  </si>
  <si>
    <r>
      <t>威士忌;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</si>
  <si>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河岸</t>
    </r>
    <r>
      <rPr>
        <sz val="11"/>
        <color theme="1"/>
        <rFont val="ＭＳ Ｐゴシック"/>
        <family val="3"/>
        <charset val="134"/>
        <scheme val="minor"/>
      </rPr>
      <t>边</t>
    </r>
  </si>
  <si>
    <t>太原衍星科技有限公司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</si>
  <si>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白酒; 开胃酒; 汽酒; 米酒; 伏特加酒; 果酒（含酒精）</t>
    </r>
  </si>
  <si>
    <r>
      <t xml:space="preserve">MTBLU 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斓</t>
    </r>
    <r>
      <rPr>
        <sz val="11"/>
        <color theme="1"/>
        <rFont val="ＭＳ Ｐゴシック"/>
        <family val="3"/>
        <charset val="128"/>
        <scheme val="minor"/>
      </rPr>
      <t>山</t>
    </r>
  </si>
  <si>
    <t>白旭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</si>
  <si>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朗姆酒; 黄酒; 伏特加酒; 威士忌;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</si>
  <si>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骏</t>
    </r>
  </si>
  <si>
    <r>
      <t>四川恒同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</si>
  <si>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蒸煮提取物（利口酒和烈酒）; 薄荷酒;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</si>
  <si>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小曼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</si>
  <si>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门蓝</t>
    </r>
    <r>
      <rPr>
        <sz val="11"/>
        <color theme="1"/>
        <rFont val="ＭＳ Ｐゴシック"/>
        <family val="3"/>
        <charset val="128"/>
        <scheme val="minor"/>
      </rPr>
      <t>曼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</si>
  <si>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高粱酒;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开胃酒; 葡萄酒; 利口酒; 果酒（含酒精）</t>
    </r>
  </si>
  <si>
    <t>妙画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</si>
  <si>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州凡仙酒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</si>
  <si>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汽酒; 草莓酒</t>
    </r>
  </si>
  <si>
    <t>XAM</t>
  </si>
  <si>
    <t>苏凤兰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</si>
  <si>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</si>
  <si>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中福</t>
    </r>
  </si>
  <si>
    <r>
      <t>福建中福永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</si>
  <si>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白酒;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米酒;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</si>
  <si>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中匠</t>
    </r>
  </si>
  <si>
    <t>崔沿森</t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</si>
  <si>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葡萄酒;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</si>
  <si>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词</t>
    </r>
  </si>
  <si>
    <r>
      <t xml:space="preserve">葡萄酒;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草莓酒</t>
    </r>
  </si>
  <si>
    <r>
      <t>晓语</t>
    </r>
    <r>
      <rPr>
        <sz val="11"/>
        <color theme="1"/>
        <rFont val="ＭＳ Ｐゴシック"/>
        <family val="3"/>
        <charset val="128"/>
        <scheme val="minor"/>
      </rPr>
      <t>的店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</si>
  <si>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</si>
  <si>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北方五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</si>
  <si>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</si>
  <si>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得</t>
    </r>
    <r>
      <rPr>
        <sz val="11"/>
        <color theme="1"/>
        <rFont val="ＭＳ Ｐゴシック"/>
        <family val="3"/>
        <charset val="134"/>
        <scheme val="minor"/>
      </rPr>
      <t>蜗</t>
    </r>
  </si>
  <si>
    <t>周晋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</si>
  <si>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</si>
  <si>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米二哥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</si>
  <si>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</si>
  <si>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果酒; 清酒; 米酒;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开胃酒; 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</si>
  <si>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君敬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</si>
  <si>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州宇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</si>
  <si>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</si>
  <si>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曲中惊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</si>
  <si>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</si>
  <si>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MUDANHUA</t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</si>
  <si>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露酒; 甜酒; 清酒; 黄酒; 米酒; 白酒; 果酒</t>
    </r>
  </si>
  <si>
    <t>瑞德云凰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</si>
  <si>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瑞德云凰数字文化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</si>
  <si>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烈酒; 食用酒精;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</si>
  <si>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东艺农农业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</si>
  <si>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</si>
  <si>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飘</t>
    </r>
    <r>
      <rPr>
        <sz val="11"/>
        <color theme="1"/>
        <rFont val="ＭＳ Ｐゴシック"/>
        <family val="3"/>
        <charset val="128"/>
        <scheme val="minor"/>
      </rPr>
      <t>逍遥</t>
    </r>
  </si>
  <si>
    <t>王俊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</si>
  <si>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梅酒; 高粱酒;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</t>
    </r>
  </si>
  <si>
    <r>
      <t>渝</t>
    </r>
    <r>
      <rPr>
        <sz val="11"/>
        <color theme="1"/>
        <rFont val="ＭＳ Ｐゴシック"/>
        <family val="3"/>
        <charset val="134"/>
        <scheme val="minor"/>
      </rPr>
      <t>说</t>
    </r>
  </si>
  <si>
    <t>王星星</t>
  </si>
  <si>
    <r>
      <t>葡萄酒; 黄酒; 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清酒（日本米酒）</t>
    </r>
  </si>
  <si>
    <t>嘉遥</t>
  </si>
  <si>
    <r>
      <t>房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</si>
  <si>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白酒; 威士忌;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</si>
  <si>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法邑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·蟠</t>
    </r>
    <r>
      <rPr>
        <sz val="11"/>
        <color theme="1"/>
        <rFont val="ＭＳ Ｐゴシック"/>
        <family val="3"/>
        <charset val="134"/>
        <scheme val="minor"/>
      </rPr>
      <t>龙跃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</si>
  <si>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乐图诗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</si>
  <si>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</si>
  <si>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粮年</t>
    </r>
  </si>
  <si>
    <t>陈龙龙</t>
  </si>
  <si>
    <r>
      <t xml:space="preserve">伏特加酒;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</si>
  <si>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竞</t>
    </r>
    <r>
      <rPr>
        <sz val="11"/>
        <color theme="1"/>
        <rFont val="ＭＳ Ｐゴシック"/>
        <family val="3"/>
        <charset val="128"/>
        <scheme val="minor"/>
      </rPr>
      <t>征</t>
    </r>
  </si>
  <si>
    <t>岩广</t>
  </si>
  <si>
    <r>
      <t>清酒（日本米酒）; 威士忌; 黄酒; 开胃酒;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</si>
  <si>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踏岳</t>
  </si>
  <si>
    <r>
      <t>宝路七星管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</si>
  <si>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</t>
    </r>
  </si>
  <si>
    <t>故禧</t>
  </si>
  <si>
    <r>
      <t>姚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</si>
  <si>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 xml:space="preserve">葡萄酒; 米酒; 威士忌;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</si>
  <si>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甘来阿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</si>
  <si>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启亮</t>
    </r>
  </si>
  <si>
    <r>
      <t>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</si>
  <si>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老哥石</t>
    </r>
    <r>
      <rPr>
        <sz val="11"/>
        <color theme="1"/>
        <rFont val="ＭＳ Ｐゴシック"/>
        <family val="3"/>
        <charset val="134"/>
        <scheme val="minor"/>
      </rPr>
      <t>峁</t>
    </r>
  </si>
  <si>
    <r>
      <t>神木市鑫科文健康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</si>
  <si>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开胃酒;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</si>
  <si>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利口酒; 米酒; 食用酒精;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</si>
  <si>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茉上</t>
    </r>
    <r>
      <rPr>
        <sz val="11"/>
        <color theme="1"/>
        <rFont val="ＭＳ Ｐゴシック"/>
        <family val="3"/>
        <charset val="134"/>
        <scheme val="minor"/>
      </rPr>
      <t>饮</t>
    </r>
  </si>
  <si>
    <t>胡运佳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</si>
  <si>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餐后酒（利口酒和烈酒）; 果酒; 薄荷酒</t>
    </r>
  </si>
  <si>
    <t>桂湖 香厨</t>
  </si>
  <si>
    <r>
      <t>成都香城桂湖酒文化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</si>
  <si>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米酒; 高粱酒; 葡萄酒; 白干酒（中国白酒）;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</si>
  <si>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冈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</si>
  <si>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国保</t>
    </r>
  </si>
  <si>
    <r>
      <t>果酒（含酒精）; 葡萄酒; 黄酒;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</si>
  <si>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座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</si>
  <si>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座数智物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</si>
  <si>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</si>
  <si>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SANDBAR ESTATE</t>
  </si>
  <si>
    <r>
      <t>国朕投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</si>
  <si>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威士忌; 朗姆酒; 酸酒（低等葡萄酒）; 利口酒;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</si>
  <si>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金酣堡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</si>
  <si>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</si>
  <si>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巴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</si>
  <si>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</si>
  <si>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粮王家</t>
  </si>
  <si>
    <r>
      <t xml:space="preserve">果酒（含酒精）; 葡萄酒; 梨酒;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蜂蜜酒;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</si>
  <si>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t>儒心人家</t>
  </si>
  <si>
    <r>
      <t>贾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</si>
  <si>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</t>
    </r>
  </si>
  <si>
    <r>
      <t>北极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</si>
  <si>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文水</t>
    </r>
    <r>
      <rPr>
        <sz val="11"/>
        <color theme="1"/>
        <rFont val="ＭＳ Ｐゴシック"/>
        <family val="3"/>
        <charset val="134"/>
        <scheme val="minor"/>
      </rPr>
      <t>县创</t>
    </r>
    <r>
      <rPr>
        <sz val="11"/>
        <color theme="1"/>
        <rFont val="ＭＳ Ｐゴシック"/>
        <family val="3"/>
        <charset val="128"/>
        <scheme val="minor"/>
      </rPr>
      <t>佳包装有限公司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</si>
  <si>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果酒（含酒精）</t>
    </r>
  </si>
  <si>
    <r>
      <t>侯鹿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</si>
  <si>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悦山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</si>
  <si>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黄酒; 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</si>
  <si>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WEN SAN XING</t>
  </si>
  <si>
    <r>
      <t>山西八方亮文化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</si>
  <si>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果酒（含酒精）</t>
    </r>
  </si>
  <si>
    <r>
      <t>带领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</si>
  <si>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带领</t>
    </r>
    <r>
      <rPr>
        <sz val="11"/>
        <color theme="1"/>
        <rFont val="ＭＳ Ｐゴシック"/>
        <family val="3"/>
        <charset val="128"/>
        <scheme val="minor"/>
      </rPr>
      <t>者数据平台有限公司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</si>
  <si>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黄酒; 蜂蜜酒; 果酒（含酒精）; 葡萄酒; 白酒</t>
    </r>
  </si>
  <si>
    <r>
      <t>举岁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</si>
  <si>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岛举岁</t>
    </r>
    <r>
      <rPr>
        <sz val="11"/>
        <color theme="1"/>
        <rFont val="ＭＳ Ｐゴシック"/>
        <family val="3"/>
        <charset val="128"/>
        <scheme val="minor"/>
      </rPr>
      <t>宝滋</t>
    </r>
    <r>
      <rPr>
        <sz val="11"/>
        <color theme="1"/>
        <rFont val="ＭＳ Ｐゴシック"/>
        <family val="3"/>
        <charset val="134"/>
        <scheme val="minor"/>
      </rPr>
      <t>补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</si>
  <si>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酸酒（低等葡萄酒）;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</t>
    </r>
  </si>
  <si>
    <t>后海南岸</t>
  </si>
  <si>
    <r>
      <t>北京聚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彤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</si>
  <si>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天然汽酒;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白酒; 起泡白葡萄酒; 蜂蜜酒</t>
    </r>
  </si>
  <si>
    <r>
      <t>春之</t>
    </r>
    <r>
      <rPr>
        <sz val="11"/>
        <color theme="1"/>
        <rFont val="ＭＳ Ｐゴシック"/>
        <family val="3"/>
        <charset val="134"/>
        <scheme val="minor"/>
      </rPr>
      <t>饶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</si>
  <si>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收藏文化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</si>
  <si>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青稞酒;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</si>
  <si>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香万代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</si>
  <si>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继红</t>
    </r>
  </si>
  <si>
    <r>
      <t>开胃酒; 威士忌;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</si>
  <si>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味里窑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</si>
  <si>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常州市遥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青城新材料科技有限公司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</si>
  <si>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</si>
  <si>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史瓮酒</t>
  </si>
  <si>
    <r>
      <t>史金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</si>
  <si>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</t>
    </r>
  </si>
  <si>
    <t>蜂中皇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</si>
  <si>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蜂蜜酒;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</si>
  <si>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t>将之情</t>
  </si>
  <si>
    <r>
      <t>青稞酒; 伏特加酒; 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朗姆酒;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</si>
  <si>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雄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起</t>
    </r>
  </si>
  <si>
    <r>
      <t>岫岩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杏旺泉酒厂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</si>
  <si>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白干酒（中国白酒）</t>
    </r>
  </si>
  <si>
    <t>搭末拉</t>
  </si>
  <si>
    <r>
      <t>林芝市巴宜区搭末拉工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</si>
  <si>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蜂蜜酒; 米酒;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开胃酒</t>
    </r>
  </si>
  <si>
    <r>
      <t>聊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仙狐醉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</si>
  <si>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州醉仲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</si>
  <si>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清酒（日本米酒）; 烈酒; 黄酒; 白酒</t>
    </r>
  </si>
  <si>
    <r>
      <t>曲中游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</si>
  <si>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</si>
  <si>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尊弓</t>
  </si>
  <si>
    <r>
      <t>彭文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</si>
  <si>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 xml:space="preserve">梅酒; 葡萄酒; 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</si>
  <si>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KUDIAN</t>
  </si>
  <si>
    <r>
      <t>昌黎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白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</si>
  <si>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</si>
  <si>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</si>
  <si>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徐海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</si>
  <si>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 xml:space="preserve">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</si>
  <si>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潮巷</t>
  </si>
  <si>
    <t>深圳市索富科技有限公司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</si>
  <si>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</si>
  <si>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明榜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</si>
  <si>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</t>
    </r>
  </si>
  <si>
    <r>
      <t>乡风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</si>
  <si>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镇乡风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</si>
  <si>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</si>
  <si>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飘</t>
    </r>
  </si>
  <si>
    <r>
      <t>葡萄酒; 青稞酒;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烈酒; 高粱酒; 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</si>
  <si>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OSMANTHUS VALLEY</t>
  </si>
  <si>
    <r>
      <t>薄荷酒; 苦味酒; 清酒（日本米酒）; 白酒; 茴香酒（利口酒）;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</si>
  <si>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</si>
  <si>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威士忌</t>
    </r>
  </si>
  <si>
    <t>淡云流水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</si>
  <si>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</si>
  <si>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</si>
  <si>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果酒; 黄酒; 葡萄酒;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</si>
  <si>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宋沁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</si>
  <si>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</si>
  <si>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秘之</t>
    </r>
    <r>
      <rPr>
        <sz val="11"/>
        <color theme="1"/>
        <rFont val="ＭＳ Ｐゴシック"/>
        <family val="3"/>
        <charset val="134"/>
        <scheme val="minor"/>
      </rPr>
      <t>饶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</si>
  <si>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</si>
  <si>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幽北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</si>
  <si>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聚鑫源商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</si>
  <si>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</si>
  <si>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t>蜀道原</t>
  </si>
  <si>
    <r>
      <t>成都牧道酒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</si>
  <si>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</si>
  <si>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威虎</t>
    </r>
  </si>
  <si>
    <r>
      <t>牡丹江炳寅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公壹号智能科技有限公司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</si>
  <si>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</si>
  <si>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成杰裂</t>
    </r>
    <r>
      <rPr>
        <sz val="11"/>
        <color theme="1"/>
        <rFont val="ＭＳ Ｐゴシック"/>
        <family val="3"/>
        <charset val="134"/>
        <scheme val="minor"/>
      </rPr>
      <t>变</t>
    </r>
  </si>
  <si>
    <t>刘成杰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</si>
  <si>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</t>
    </r>
  </si>
  <si>
    <r>
      <t>俄知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</si>
  <si>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郑鹏辉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</si>
  <si>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清酒（日本米酒）;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</si>
  <si>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r>
      <t>食</t>
    </r>
    <r>
      <rPr>
        <sz val="11"/>
        <color theme="1"/>
        <rFont val="ＭＳ Ｐゴシック"/>
        <family val="3"/>
        <charset val="134"/>
        <scheme val="minor"/>
      </rPr>
      <t>锦记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</si>
  <si>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炼</t>
    </r>
  </si>
  <si>
    <r>
      <t>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米酒; 清酒（日本米酒）</t>
    </r>
  </si>
  <si>
    <t>UNCLEHENLRYE 亨利叔叔</t>
  </si>
  <si>
    <r>
      <t>唐山市亨利餐</t>
    </r>
    <r>
      <rPr>
        <sz val="11"/>
        <color theme="1"/>
        <rFont val="ＭＳ Ｐゴシック"/>
        <family val="3"/>
        <charset val="134"/>
        <scheme val="minor"/>
      </rPr>
      <t>饮娱乐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</si>
  <si>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果酒（含酒精）; 白酒; 露酒;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</si>
  <si>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肖桂芳</t>
  </si>
  <si>
    <r>
      <t xml:space="preserve">日本梅子酒;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朗姆酒; 果酒（含酒精）</t>
    </r>
  </si>
  <si>
    <r>
      <t>纵东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</si>
  <si>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张颖</t>
    </r>
    <r>
      <rPr>
        <sz val="11"/>
        <color theme="1"/>
        <rFont val="ＭＳ Ｐゴシック"/>
        <family val="3"/>
        <charset val="128"/>
        <scheme val="minor"/>
      </rPr>
      <t>欣</t>
    </r>
  </si>
  <si>
    <r>
      <t>伏特加酒;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</si>
  <si>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普</t>
    </r>
  </si>
  <si>
    <r>
      <t>赤峰市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</si>
  <si>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果酒（含酒精）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</si>
  <si>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茗匠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</si>
  <si>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远纯</t>
    </r>
  </si>
  <si>
    <r>
      <t xml:space="preserve">葡萄酒; 甜酒; 米酒; 白干酒（中国白酒）; 蜂蜜酒;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</t>
    </r>
  </si>
  <si>
    <r>
      <t>霸王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</si>
  <si>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</t>
    </r>
  </si>
  <si>
    <t>福源皇</t>
  </si>
  <si>
    <r>
      <t>张</t>
    </r>
    <r>
      <rPr>
        <sz val="11"/>
        <color theme="1"/>
        <rFont val="ＭＳ Ｐゴシック"/>
        <family val="3"/>
        <charset val="128"/>
        <scheme val="minor"/>
      </rPr>
      <t>仕巧</t>
    </r>
  </si>
  <si>
    <r>
      <t xml:space="preserve">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</si>
  <si>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九匠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</si>
  <si>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孔</t>
    </r>
    <r>
      <rPr>
        <sz val="11"/>
        <color theme="1"/>
        <rFont val="ＭＳ Ｐゴシック"/>
        <family val="3"/>
        <charset val="134"/>
        <scheme val="minor"/>
      </rPr>
      <t>东东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</si>
  <si>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</si>
  <si>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咂咂</t>
    </r>
    <r>
      <rPr>
        <sz val="11"/>
        <color theme="1"/>
        <rFont val="ＭＳ Ｐゴシック"/>
        <family val="3"/>
        <charset val="128"/>
        <scheme val="minor"/>
      </rPr>
      <t>馨</t>
    </r>
  </si>
  <si>
    <r>
      <t>葡萄酒; 威士忌;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</si>
  <si>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美黔心</t>
    </r>
  </si>
  <si>
    <r>
      <t>李春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</si>
  <si>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威士忌</t>
    </r>
  </si>
  <si>
    <r>
      <t>猎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</si>
  <si>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 xml:space="preserve">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梅酒; 高粱酒; 黄酒</t>
    </r>
  </si>
  <si>
    <t>醉美日落</t>
  </si>
  <si>
    <t>胡新杰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</si>
  <si>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</si>
  <si>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之古</t>
    </r>
  </si>
  <si>
    <t>谷阳阳</t>
  </si>
  <si>
    <r>
      <t>伏特加酒; 米酒; 葡萄酒;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</si>
  <si>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魁宣楼</t>
  </si>
  <si>
    <t>宣宁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</si>
  <si>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</t>
    </r>
  </si>
  <si>
    <r>
      <t>炎黄</t>
    </r>
    <r>
      <rPr>
        <sz val="11"/>
        <color theme="1"/>
        <rFont val="ＭＳ Ｐゴシック"/>
        <family val="3"/>
        <charset val="134"/>
        <scheme val="minor"/>
      </rPr>
      <t>龙凤</t>
    </r>
    <r>
      <rPr>
        <sz val="11"/>
        <color theme="1"/>
        <rFont val="ＭＳ Ｐゴシック"/>
        <family val="3"/>
        <charset val="128"/>
        <scheme val="minor"/>
      </rPr>
      <t>良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</si>
  <si>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威士忌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</si>
  <si>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七公</t>
    </r>
  </si>
  <si>
    <r>
      <t>清酒（日本米酒）;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</si>
  <si>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炎藏</t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</si>
  <si>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清酒（日本米酒）;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</si>
  <si>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酩品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</si>
  <si>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</si>
  <si>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坛龙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</si>
  <si>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</si>
  <si>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乾竹源</t>
  </si>
  <si>
    <r>
      <t>天津乾竹源餐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</si>
  <si>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杜松子酒;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苹果酒</t>
    </r>
  </si>
  <si>
    <t>秋之甘</t>
  </si>
  <si>
    <r>
      <t>果酒（含酒精）; 葡萄酒; 白酒; 朗姆酒;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</si>
  <si>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岳界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</si>
  <si>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高粱酒; 果酒; 白酒;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梅酒; 葡萄酒</t>
    </r>
  </si>
  <si>
    <t>熙之鹿</t>
  </si>
  <si>
    <r>
      <t>侯宇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</si>
  <si>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</si>
  <si>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萝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阁</t>
    </r>
  </si>
  <si>
    <t>阿拉膳品牌管理（上海）有限公司</t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</si>
  <si>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</si>
  <si>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煜王和后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</si>
  <si>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王和后信息科技有限公司</t>
    </r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</si>
  <si>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</si>
  <si>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r>
      <t>嘉州欣</t>
    </r>
    <r>
      <rPr>
        <sz val="11"/>
        <color theme="1"/>
        <rFont val="ＭＳ Ｐゴシック"/>
        <family val="3"/>
        <charset val="134"/>
        <scheme val="minor"/>
      </rPr>
      <t>钰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</si>
  <si>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开胃酒; 蜂蜜酒; 米酒</t>
    </r>
  </si>
  <si>
    <t>BALUOGUBENFU</t>
  </si>
  <si>
    <r>
      <t>陈</t>
    </r>
    <r>
      <rPr>
        <sz val="11"/>
        <color theme="1"/>
        <rFont val="ＭＳ Ｐゴシック"/>
        <family val="3"/>
        <charset val="128"/>
        <scheme val="minor"/>
      </rPr>
      <t>美娟</t>
    </r>
  </si>
  <si>
    <r>
      <t>果酒; 清酒; 高粱酒;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</si>
  <si>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私誉</t>
  </si>
  <si>
    <r>
      <t>四川世晨商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</si>
  <si>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青梅酒; 高粱酒;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</si>
  <si>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灵丹倍力</t>
  </si>
  <si>
    <r>
      <t>安徽万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</si>
  <si>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</si>
  <si>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檀</t>
    </r>
    <r>
      <rPr>
        <sz val="11"/>
        <color theme="1"/>
        <rFont val="ＭＳ Ｐゴシック"/>
        <family val="3"/>
        <charset val="134"/>
        <scheme val="minor"/>
      </rPr>
      <t>鹤</t>
    </r>
  </si>
  <si>
    <t>烟台匠鑫制罐有限公司</t>
  </si>
  <si>
    <r>
      <t xml:space="preserve">麦芽威士忌; 混合威士忌酒;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</si>
  <si>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恒香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</si>
  <si>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恒香酒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</si>
  <si>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白酒;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黄酒</t>
    </r>
  </si>
  <si>
    <r>
      <t>WHISPER OF FATE 命运低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</si>
  <si>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京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景（珠海）文化有限公司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</si>
  <si>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汽酒; 威士忌;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</si>
  <si>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云尚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</si>
  <si>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西信安文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</si>
  <si>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烈酒; 黄酒</t>
    </r>
  </si>
  <si>
    <r>
      <t>建</t>
    </r>
    <r>
      <rPr>
        <sz val="11"/>
        <color theme="1"/>
        <rFont val="ＭＳ Ｐゴシック"/>
        <family val="3"/>
        <charset val="134"/>
        <scheme val="minor"/>
      </rPr>
      <t>咛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</si>
  <si>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福建中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兆荷投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</si>
  <si>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白酒</t>
    </r>
  </si>
  <si>
    <r>
      <t>以</t>
    </r>
    <r>
      <rPr>
        <sz val="11"/>
        <color theme="1"/>
        <rFont val="ＭＳ Ｐゴシック"/>
        <family val="3"/>
        <charset val="134"/>
        <scheme val="minor"/>
      </rPr>
      <t>鉴为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</si>
  <si>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酒城文化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</si>
  <si>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甘蔗制烈酒;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</si>
  <si>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浙味达</t>
  </si>
  <si>
    <t>杭州百荣食品有限公司</t>
  </si>
  <si>
    <r>
      <t>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</si>
  <si>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逍遥典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</si>
  <si>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梅酒; 烈酒;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白酒</t>
    </r>
  </si>
  <si>
    <t>逍遥焰</t>
  </si>
  <si>
    <r>
      <t>葡萄酒;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梅酒; 白酒</t>
    </r>
  </si>
  <si>
    <r>
      <t>石棉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蟹螺堡子集体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</si>
  <si>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白干酒（中国白酒）;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</si>
  <si>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辈兴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</si>
  <si>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海宁</t>
    </r>
  </si>
  <si>
    <r>
      <t xml:space="preserve">白酒;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</si>
  <si>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中原醉炎黄</t>
  </si>
  <si>
    <t>亢源源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</si>
  <si>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</si>
  <si>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</si>
  <si>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沙</t>
    </r>
    <r>
      <rPr>
        <sz val="11"/>
        <color theme="1"/>
        <rFont val="ＭＳ Ｐゴシック"/>
        <family val="3"/>
        <charset val="134"/>
        <scheme val="minor"/>
      </rPr>
      <t>县锦</t>
    </r>
    <r>
      <rPr>
        <sz val="11"/>
        <color theme="1"/>
        <rFont val="ＭＳ Ｐゴシック"/>
        <family val="3"/>
        <charset val="128"/>
        <scheme val="minor"/>
      </rPr>
      <t>膳添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</si>
  <si>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</si>
  <si>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挑喜</t>
  </si>
  <si>
    <r>
      <t>董俊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</si>
  <si>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果酒; 朗姆酒;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</si>
  <si>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筠谷</t>
    </r>
  </si>
  <si>
    <r>
      <t>咸宁隽州篁酒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</si>
  <si>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白酒; 米酒;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</si>
  <si>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开都河</t>
  </si>
  <si>
    <r>
      <t>新疆开都河酒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</si>
  <si>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露酒; 黄酒;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</si>
  <si>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t>玉篁竹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</si>
  <si>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葡萄酒; 果酒（含酒精）</t>
    </r>
  </si>
  <si>
    <r>
      <t>鸾</t>
    </r>
    <r>
      <rPr>
        <sz val="11"/>
        <color theme="1"/>
        <rFont val="ＭＳ Ｐゴシック"/>
        <family val="3"/>
        <charset val="129"/>
        <scheme val="minor"/>
      </rPr>
      <t>翱</t>
    </r>
  </si>
  <si>
    <r>
      <t>四川省岷</t>
    </r>
    <r>
      <rPr>
        <sz val="11"/>
        <color theme="1"/>
        <rFont val="ＭＳ Ｐゴシック"/>
        <family val="3"/>
        <charset val="134"/>
        <scheme val="minor"/>
      </rPr>
      <t>纯农业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</si>
  <si>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</si>
  <si>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FLASH SPACE</t>
  </si>
  <si>
    <r>
      <t>石家庄正旭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保建材有限公司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</si>
  <si>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果酒（含酒精）; 米酒; 伏特加酒</t>
    </r>
  </si>
  <si>
    <t>虹陶玖</t>
  </si>
  <si>
    <t>岳阳千泰建筑工程有限公司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</si>
  <si>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伏特加酒; 青稞酒; 黄酒; 朗姆酒; 白酒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</si>
  <si>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</si>
  <si>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州回</t>
    </r>
    <r>
      <rPr>
        <sz val="11"/>
        <color theme="1"/>
        <rFont val="ＭＳ Ｐゴシック"/>
        <family val="3"/>
        <charset val="134"/>
        <scheme val="minor"/>
      </rPr>
      <t>归赖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</si>
  <si>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</si>
  <si>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雁圣源</t>
  </si>
  <si>
    <r>
      <t>温州雁圣源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皮石斛有限公司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</si>
  <si>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</si>
  <si>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雪炙</t>
  </si>
  <si>
    <r>
      <t xml:space="preserve">威士忌;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米酒</t>
    </r>
  </si>
  <si>
    <t>CHATEAU D'ESPEYRAN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</si>
  <si>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白葡萄酒;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</si>
  <si>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裕荣恒酒</t>
  </si>
  <si>
    <r>
      <t>内蒙古蒙泰集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</si>
  <si>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利口酒;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</si>
  <si>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云壬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</si>
  <si>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</si>
  <si>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利口酒</t>
    </r>
  </si>
  <si>
    <t>春秋醉三十</t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</si>
  <si>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</si>
  <si>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山御景</t>
    </r>
  </si>
  <si>
    <r>
      <t>北京新博雅</t>
    </r>
    <r>
      <rPr>
        <sz val="11"/>
        <color theme="1"/>
        <rFont val="ＭＳ Ｐゴシック"/>
        <family val="3"/>
        <charset val="134"/>
        <scheme val="minor"/>
      </rPr>
      <t>规</t>
    </r>
    <r>
      <rPr>
        <sz val="11"/>
        <color theme="1"/>
        <rFont val="ＭＳ Ｐゴシック"/>
        <family val="3"/>
        <charset val="128"/>
        <scheme val="minor"/>
      </rPr>
      <t>划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院有限公司</t>
    </r>
  </si>
  <si>
    <r>
      <t>食用酒精; 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葡萄酒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</si>
  <si>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堂兄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</si>
  <si>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京杭水运文旅集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</si>
  <si>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果酒（含酒精）</t>
    </r>
  </si>
  <si>
    <t>通达百美</t>
  </si>
  <si>
    <t>西咸新区平泰安悦工程有限公司</t>
  </si>
  <si>
    <r>
      <t xml:space="preserve">果酒（含酒精）; 露酒;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</si>
  <si>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廊坊檀</t>
    </r>
    <r>
      <rPr>
        <sz val="11"/>
        <color theme="1"/>
        <rFont val="ＭＳ Ｐゴシック"/>
        <family val="3"/>
        <charset val="134"/>
        <scheme val="minor"/>
      </rPr>
      <t>锦阁红</t>
    </r>
    <r>
      <rPr>
        <sz val="11"/>
        <color theme="1"/>
        <rFont val="ＭＳ Ｐゴシック"/>
        <family val="3"/>
        <charset val="128"/>
        <scheme val="minor"/>
      </rPr>
      <t>木家具有限公司</t>
    </r>
  </si>
  <si>
    <r>
      <t xml:space="preserve">米酒;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</si>
  <si>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宝丰收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</si>
  <si>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宝丰物</t>
    </r>
    <r>
      <rPr>
        <sz val="11"/>
        <color theme="1"/>
        <rFont val="ＭＳ Ｐゴシック"/>
        <family val="3"/>
        <charset val="134"/>
        <scheme val="minor"/>
      </rPr>
      <t>资贸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</si>
  <si>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</si>
  <si>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武黄穗</t>
  </si>
  <si>
    <r>
      <t>蔡炎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</si>
  <si>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白酒; 开胃酒; 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</si>
  <si>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福寰</t>
  </si>
  <si>
    <t>深圳有拾科技有限公司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</si>
  <si>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烈酒; 米酒; 露酒; 黄酒; 清酒;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</si>
  <si>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峨眉胡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</si>
  <si>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茜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</si>
  <si>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白酒; 果酒（含酒精）;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</si>
  <si>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关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</si>
  <si>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</si>
  <si>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览</t>
    </r>
    <r>
      <rPr>
        <sz val="11"/>
        <color theme="1"/>
        <rFont val="ＭＳ Ｐゴシック"/>
        <family val="3"/>
        <charset val="128"/>
        <scheme val="minor"/>
      </rPr>
      <t>千川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</si>
  <si>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威士忌</t>
    </r>
  </si>
  <si>
    <t>梅湃</t>
  </si>
  <si>
    <r>
      <t>冯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</si>
  <si>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白酒; 黄酒; 食用酒精;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</si>
  <si>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斗於加 DUNOGANG</t>
  </si>
  <si>
    <r>
      <t>伊尼</t>
    </r>
    <r>
      <rPr>
        <sz val="11"/>
        <color theme="1"/>
        <rFont val="ＭＳ Ｐゴシック"/>
        <family val="3"/>
        <charset val="134"/>
        <scheme val="minor"/>
      </rPr>
      <t>鸥</t>
    </r>
    <r>
      <rPr>
        <sz val="11"/>
        <color theme="1"/>
        <rFont val="ＭＳ Ｐゴシック"/>
        <family val="3"/>
        <charset val="128"/>
        <scheme val="minor"/>
      </rPr>
      <t>科技(惠州)有限公司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</si>
  <si>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果酒; 米酒;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</si>
  <si>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辛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</si>
  <si>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清醉商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</si>
  <si>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青梅酒;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</si>
  <si>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极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</si>
  <si>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</si>
  <si>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食用酒精; 高粱酒</t>
    </r>
  </si>
  <si>
    <t>粮曌</t>
  </si>
  <si>
    <r>
      <t>李江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</si>
  <si>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烈酒; 白酒; 食用酒精;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伏特加酒; 露酒;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</si>
  <si>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牛谷河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</si>
  <si>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白酒; 威士忌</t>
    </r>
  </si>
  <si>
    <t>伍肆肆</t>
  </si>
  <si>
    <t>蔡智生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</si>
  <si>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白酒; 黄酒; 汽酒; 清酒;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</si>
  <si>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梦言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</si>
  <si>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威士忌; 米酒;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</si>
  <si>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酷牌酒魂</t>
  </si>
  <si>
    <r>
      <t>马</t>
    </r>
    <r>
      <rPr>
        <sz val="11"/>
        <color theme="1"/>
        <rFont val="ＭＳ Ｐゴシック"/>
        <family val="3"/>
        <charset val="128"/>
        <scheme val="minor"/>
      </rPr>
      <t>百忠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</si>
  <si>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</si>
  <si>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t>福茂源</t>
  </si>
  <si>
    <r>
      <t>天水福茂源商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</si>
  <si>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伏特加酒</t>
    </r>
  </si>
  <si>
    <t>述林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</si>
  <si>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利口酒; 葡萄酒; 食用酒精; 白酒; 果酒（含酒精）; 蒸煮提取物（利口酒和烈酒）</t>
    </r>
  </si>
  <si>
    <t>大智作年迹</t>
  </si>
  <si>
    <r>
      <t>东</t>
    </r>
    <r>
      <rPr>
        <sz val="11"/>
        <color theme="1"/>
        <rFont val="ＭＳ Ｐゴシック"/>
        <family val="3"/>
        <charset val="128"/>
        <scheme val="minor"/>
      </rPr>
      <t>方启元（北京）酒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</si>
  <si>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果酒（含酒精）;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</si>
  <si>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君恒玖</t>
  </si>
  <si>
    <t>广州君恒健康科技有限公司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</si>
  <si>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朗姆酒; 米酒; 果酒（含酒精）; 威士忌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</si>
  <si>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</si>
  <si>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黄柏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</si>
  <si>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</si>
  <si>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聆大拿</t>
  </si>
  <si>
    <r>
      <t>四川唐朝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</si>
  <si>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</si>
  <si>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泓万年</t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</si>
  <si>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清酒（日本米酒）;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</si>
  <si>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r>
      <t>医圣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仲堂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</si>
  <si>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州隆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国方健康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</si>
  <si>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白酒; 米酒; 黄酒; 含酒精的气泡水; 果酒（含酒精）</t>
    </r>
  </si>
  <si>
    <t>HALODALI</t>
  </si>
  <si>
    <t>元祺控股(深圳)有限公司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</si>
  <si>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</si>
  <si>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比来多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</si>
  <si>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柳河山庄葡萄酒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</si>
  <si>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开胃酒; 苹果酒; 果酒（含酒精）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</si>
  <si>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哈特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</si>
  <si>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东玛</t>
    </r>
    <r>
      <rPr>
        <sz val="11"/>
        <color theme="1"/>
        <rFont val="ＭＳ Ｐゴシック"/>
        <family val="3"/>
        <charset val="128"/>
        <scheme val="minor"/>
      </rPr>
      <t>哈特智能装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</si>
  <si>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开胃酒;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</si>
  <si>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欣达小泰迪</t>
  </si>
  <si>
    <r>
      <t>十堰百倍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</si>
  <si>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</si>
  <si>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宏旺达</t>
  </si>
  <si>
    <r>
      <t>抚</t>
    </r>
    <r>
      <rPr>
        <sz val="11"/>
        <color theme="1"/>
        <rFont val="ＭＳ Ｐゴシック"/>
        <family val="3"/>
        <charset val="128"/>
        <scheme val="minor"/>
      </rPr>
      <t>松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宏旺达生物保健有限公司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</si>
  <si>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露酒; 白干酒（中国白酒）; 刺五加酒;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</si>
  <si>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倍莱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</si>
  <si>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</si>
  <si>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禧之基</t>
  </si>
  <si>
    <r>
      <t>朱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</si>
  <si>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伏特加酒;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</si>
  <si>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</si>
  <si>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白酒; 果酒（含酒精）; 葡萄酒; 威士忌</t>
    </r>
  </si>
  <si>
    <r>
      <t>荣盟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</si>
  <si>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杜和平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</si>
  <si>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茴香酒（利口酒）; 葡萄酒; 果酒（含酒精）</t>
    </r>
  </si>
  <si>
    <t>羽之海</t>
  </si>
  <si>
    <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</si>
  <si>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百脉泉金禧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</si>
  <si>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</si>
  <si>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开胃酒;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苹果酒; 酸酒（低等葡萄酒）; 汽酒</t>
    </r>
  </si>
  <si>
    <r>
      <t>百脉泉同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</si>
  <si>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开胃酒; 黄酒; 酸酒（低等葡萄酒）; 汽酒; 苹果酒; 米酒; 葡萄酒</t>
    </r>
  </si>
  <si>
    <t>YEAMOOOMOREPOCHA</t>
  </si>
  <si>
    <t>焦磊</t>
  </si>
  <si>
    <r>
      <t>葡萄酒; 伏特加酒;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</si>
  <si>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凰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</si>
  <si>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好智能科技有限公司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</si>
  <si>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</si>
  <si>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伊雷娜</t>
  </si>
  <si>
    <r>
      <t>常熟市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里特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</si>
  <si>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</si>
  <si>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述月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</si>
  <si>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利口酒; 果酒（含酒精）; 葡萄酒; 白酒; 蒸煮提取物（利口酒和烈酒）; 开胃酒</t>
    </r>
  </si>
  <si>
    <r>
      <t>思邈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</si>
  <si>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志成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</si>
  <si>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</si>
  <si>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t>仙九霄</t>
  </si>
  <si>
    <r>
      <t>烈酒;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白酒; 威士忌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</si>
  <si>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小安</t>
    </r>
  </si>
  <si>
    <r>
      <t>王相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</si>
  <si>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梅酒; 果酒（含酒精）; 清酒（日本米酒）</t>
    </r>
  </si>
  <si>
    <t>蜀百草</t>
  </si>
  <si>
    <t>四川御草香健康科技有限公司</t>
  </si>
  <si>
    <r>
      <t>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</t>
    </r>
  </si>
  <si>
    <r>
      <t>韩凤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</si>
  <si>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 xml:space="preserve">开胃酒;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</si>
  <si>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状元堡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</si>
  <si>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</si>
  <si>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白干酒（中国白酒）; 烈酒; 清酒; 黄酒; 米酒; 葡萄酒</t>
    </r>
  </si>
  <si>
    <t>中原三十</t>
  </si>
  <si>
    <r>
      <t>姜燚</t>
    </r>
    <r>
      <rPr>
        <sz val="11"/>
        <color theme="1"/>
        <rFont val="ＭＳ Ｐゴシック"/>
        <family val="3"/>
        <charset val="134"/>
        <scheme val="minor"/>
      </rPr>
      <t>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</si>
  <si>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</si>
  <si>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t>述川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</si>
  <si>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食用酒精;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</si>
  <si>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成洞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</si>
  <si>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清酒（日本米酒）;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</si>
  <si>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荣敬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</si>
  <si>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餐后酒（利口酒和烈酒）;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果酒（含酒精）;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</si>
  <si>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隽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</si>
  <si>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儒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</si>
  <si>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开胃酒; 餐后酒（利口酒和烈酒）; 果酒（含酒精）; 食用酒精; 葡萄酒; 利口酒;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</si>
  <si>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昌台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</si>
  <si>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丽丽</t>
    </r>
  </si>
  <si>
    <r>
      <t>白酒;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</si>
  <si>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市年酒酒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</si>
  <si>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开胃酒; 清酒（日本米酒）; 黄酒; 葡萄酒</t>
    </r>
  </si>
  <si>
    <r>
      <t>食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</si>
  <si>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>成都海雲杰商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</si>
  <si>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清酒（日本米酒）</t>
    </r>
  </si>
  <si>
    <t>金百利和裕</t>
  </si>
  <si>
    <t>沃族（蓬莱）葡萄酒庄有限公司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</si>
  <si>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</si>
  <si>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篁金年代</t>
  </si>
  <si>
    <r>
      <t>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</si>
  <si>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MEDORSA</t>
  </si>
  <si>
    <r>
      <t>张</t>
    </r>
    <r>
      <rPr>
        <sz val="11"/>
        <color theme="1"/>
        <rFont val="ＭＳ Ｐゴシック"/>
        <family val="3"/>
        <charset val="128"/>
        <scheme val="minor"/>
      </rPr>
      <t>洪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</si>
  <si>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</si>
  <si>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t>HCAT</t>
  </si>
  <si>
    <r>
      <t>张兴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</si>
  <si>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葡萄酒; 白酒; 米酒;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</si>
  <si>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苍乡</t>
  </si>
  <si>
    <r>
      <t>梧州天雁茶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</si>
  <si>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露酒; 葡萄酒; 甜酒; 白酒</t>
    </r>
  </si>
  <si>
    <t>紫篁竹</t>
  </si>
  <si>
    <r>
      <t>露酒;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食用酒精;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</si>
  <si>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王首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</si>
  <si>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州精英酒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</si>
  <si>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葡萄酒; 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</si>
  <si>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龚婶</t>
  </si>
  <si>
    <r>
      <t>昆明朝天</t>
    </r>
    <r>
      <rPr>
        <sz val="11"/>
        <color theme="1"/>
        <rFont val="ＭＳ Ｐゴシック"/>
        <family val="3"/>
        <charset val="134"/>
        <scheme val="minor"/>
      </rPr>
      <t>阙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</si>
  <si>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</si>
  <si>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沃幺玖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</si>
  <si>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谊</t>
    </r>
    <r>
      <rPr>
        <sz val="11"/>
        <color theme="1"/>
        <rFont val="ＭＳ Ｐゴシック"/>
        <family val="3"/>
        <charset val="128"/>
        <scheme val="minor"/>
      </rPr>
      <t>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</si>
  <si>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</si>
  <si>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垂景</t>
  </si>
  <si>
    <t>范平帮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</si>
  <si>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清酒; 果酒;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</si>
  <si>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如其食</t>
    </r>
  </si>
  <si>
    <r>
      <t>北京好成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</si>
  <si>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清酒</t>
    </r>
  </si>
  <si>
    <t>毛楞姐</t>
  </si>
  <si>
    <r>
      <t>吉林省毛楞姐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</si>
  <si>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米酒; 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</si>
  <si>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佳友佳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</si>
  <si>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河南睢卅酒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</si>
  <si>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米酒;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佐餐酒</t>
    </r>
  </si>
  <si>
    <t>蓄芳</t>
  </si>
  <si>
    <r>
      <t>代</t>
    </r>
    <r>
      <rPr>
        <sz val="11"/>
        <color theme="1"/>
        <rFont val="ＭＳ Ｐゴシック"/>
        <family val="3"/>
        <charset val="134"/>
        <scheme val="minor"/>
      </rPr>
      <t>总伟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</si>
  <si>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</si>
  <si>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掌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</si>
  <si>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米酒; 威士忌;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</si>
  <si>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闻舆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</si>
  <si>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加法文化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</si>
  <si>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烈酒; 伏特加酒; 白酒; 黄酒</t>
    </r>
  </si>
  <si>
    <t>攘臂</t>
  </si>
  <si>
    <r>
      <t>张</t>
    </r>
    <r>
      <rPr>
        <sz val="11"/>
        <color theme="1"/>
        <rFont val="ＭＳ Ｐゴシック"/>
        <family val="3"/>
        <charset val="128"/>
        <scheme val="minor"/>
      </rPr>
      <t>亭亭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</si>
  <si>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果酒;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苹果酒; 白酒</t>
    </r>
  </si>
  <si>
    <t>珍酒熊猫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</si>
  <si>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</si>
  <si>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威士忌;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</si>
  <si>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朋友如林</t>
  </si>
  <si>
    <r>
      <t>湖南喜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家食品有限公司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</si>
  <si>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果酒（含酒精）;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</si>
  <si>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邕之道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</si>
  <si>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市宏威酒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</si>
  <si>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米酒;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</si>
  <si>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幺</t>
    </r>
    <r>
      <rPr>
        <sz val="11"/>
        <color theme="1"/>
        <rFont val="ＭＳ Ｐゴシック"/>
        <family val="3"/>
        <charset val="134"/>
        <scheme val="minor"/>
      </rPr>
      <t>华</t>
    </r>
  </si>
  <si>
    <t>康博文</t>
  </si>
  <si>
    <r>
      <t>葡萄酒;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</t>
    </r>
  </si>
  <si>
    <t>墨篁竹</t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</si>
  <si>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米酒; 露酒</t>
    </r>
  </si>
  <si>
    <r>
      <t>瓶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</si>
  <si>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冠德文化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</si>
  <si>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烈性干酒</t>
    </r>
  </si>
  <si>
    <t>聚源朋涛</t>
  </si>
  <si>
    <r>
      <t>高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</si>
  <si>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白酒;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</si>
  <si>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述雨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</si>
  <si>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食用酒精</t>
    </r>
  </si>
  <si>
    <t>滴樽</t>
  </si>
  <si>
    <r>
      <t>李</t>
    </r>
    <r>
      <rPr>
        <sz val="11"/>
        <color theme="1"/>
        <rFont val="ＭＳ Ｐゴシック"/>
        <family val="3"/>
        <charset val="134"/>
        <scheme val="minor"/>
      </rPr>
      <t>晓丽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</si>
  <si>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朗姆酒; 威士忌; 伏特加酒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</si>
  <si>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予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</si>
  <si>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昌市魏都区曼森百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</si>
  <si>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黄酒</t>
    </r>
  </si>
  <si>
    <t>SHANQIN BAY</t>
  </si>
  <si>
    <r>
      <t>深圳市威淳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</si>
  <si>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伏特加酒; 葡萄酒; 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</si>
  <si>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黄金醉三十</t>
  </si>
  <si>
    <r>
      <t xml:space="preserve">葡萄酒; 威士忌; 白酒;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</si>
  <si>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高莱生活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</si>
  <si>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升科技有限公司</t>
    </r>
  </si>
  <si>
    <r>
      <t>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</si>
  <si>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宣富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</si>
  <si>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州能雄酒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</si>
  <si>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</si>
  <si>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自由的魂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</si>
  <si>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葡萄酒; 利口酒; 果酒（含酒精）</t>
    </r>
  </si>
  <si>
    <t>太丰天酒</t>
  </si>
  <si>
    <r>
      <t>珠海宏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太丰商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</si>
  <si>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</si>
  <si>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翱</t>
    </r>
    <r>
      <rPr>
        <sz val="11"/>
        <color theme="1"/>
        <rFont val="ＭＳ Ｐゴシック"/>
        <family val="3"/>
        <charset val="128"/>
        <scheme val="minor"/>
      </rPr>
      <t>翥</t>
    </r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</si>
  <si>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葡萄酒</t>
    </r>
  </si>
  <si>
    <t>梦疆天成</t>
  </si>
  <si>
    <r>
      <t>新疆开疆酒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</si>
  <si>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白酒;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</si>
  <si>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t>竹羊康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</si>
  <si>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味全餐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</si>
  <si>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松叶酒;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米酒; 蜂蜜酒;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</si>
  <si>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 xml:space="preserve">利口酒;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威士忌; 米酒; 葡萄酒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</si>
  <si>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绪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</si>
  <si>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丽丽</t>
    </r>
  </si>
  <si>
    <r>
      <t xml:space="preserve">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</t>
    </r>
  </si>
  <si>
    <t>清花醉山河</t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</si>
  <si>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</si>
  <si>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梦疆云台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</si>
  <si>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米酒; 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</si>
  <si>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悟空弘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</si>
  <si>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西双运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</si>
  <si>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</si>
  <si>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彩</t>
    </r>
    <r>
      <rPr>
        <sz val="11"/>
        <color theme="1"/>
        <rFont val="ＭＳ Ｐゴシック"/>
        <family val="3"/>
        <charset val="134"/>
        <scheme val="minor"/>
      </rPr>
      <t>鸥</t>
    </r>
  </si>
  <si>
    <r>
      <t>湖北省宜昌市伍家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区荣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河酒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</si>
  <si>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开胃酒;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烈酒; 米酒</t>
    </r>
  </si>
  <si>
    <t>雀凉</t>
  </si>
  <si>
    <t>河源邑茂食品有限公司</t>
  </si>
  <si>
    <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烈酒; 白干酒（中国白酒）; 黄酒; 高粱酒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</si>
  <si>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廷天工</t>
    </r>
  </si>
  <si>
    <t>伍建彬</t>
  </si>
  <si>
    <r>
      <t>果酒（含酒精）; 汽酒; 米酒; 梨酒; 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</si>
  <si>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金禧同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</si>
  <si>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果酒（含酒精）; 开胃酒; 葡萄酒; 酸酒（低等葡萄酒）; 汽酒; 黄酒; 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</si>
  <si>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畲小仙</t>
  </si>
  <si>
    <t>黄金霞</t>
  </si>
  <si>
    <r>
      <t>米酒; 葡萄酒; 白酒; 果酒;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高粱酒</t>
    </r>
  </si>
  <si>
    <r>
      <t>泽</t>
    </r>
    <r>
      <rPr>
        <sz val="11"/>
        <color theme="1"/>
        <rFont val="ＭＳ Ｐゴシック"/>
        <family val="3"/>
        <charset val="128"/>
        <scheme val="minor"/>
      </rPr>
      <t>来福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</si>
  <si>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市登台酒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</si>
  <si>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米酒;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</si>
  <si>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紫瑜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翠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</si>
  <si>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小南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</si>
  <si>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果酒; 葡萄酒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</si>
  <si>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篁竹</t>
    </r>
  </si>
  <si>
    <r>
      <t>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高粱酒; 果酒（含酒精）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</si>
  <si>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蒌</t>
    </r>
  </si>
  <si>
    <r>
      <t>葡萄酒; 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果酒; 利口酒; 米酒; 白酒; 烈酒</t>
    </r>
  </si>
  <si>
    <r>
      <t>墨紫丹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</si>
  <si>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炎黄酒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</si>
  <si>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葡萄酒; 伏特加酒; 青稞酒; 黄酒; 高粱酒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</si>
  <si>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派格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</si>
  <si>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必惠商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</si>
  <si>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麦芽威士忌; 混合威士忌酒;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</si>
  <si>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YAWEIHUA</t>
  </si>
  <si>
    <r>
      <t>葡萄酒; 伏特加酒; 烈酒; 白酒; 米酒;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威士忌</t>
    </r>
  </si>
  <si>
    <r>
      <t>荡荡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</si>
  <si>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深圳云匠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</si>
  <si>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高粱酒;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</si>
  <si>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r>
      <t>良</t>
    </r>
    <r>
      <rPr>
        <sz val="11"/>
        <color theme="1"/>
        <rFont val="ＭＳ Ｐゴシック"/>
        <family val="3"/>
        <charset val="134"/>
        <scheme val="minor"/>
      </rPr>
      <t>缘凤</t>
    </r>
    <r>
      <rPr>
        <sz val="11"/>
        <color theme="1"/>
        <rFont val="ＭＳ Ｐゴシック"/>
        <family val="3"/>
        <charset val="128"/>
        <scheme val="minor"/>
      </rPr>
      <t>凰禧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</si>
  <si>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</si>
  <si>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成京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</si>
  <si>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利口酒</t>
    </r>
  </si>
  <si>
    <t>BLE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</si>
  <si>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嘉佰</t>
    </r>
    <r>
      <rPr>
        <sz val="11"/>
        <color theme="1"/>
        <rFont val="ＭＳ Ｐゴシック"/>
        <family val="3"/>
        <charset val="134"/>
        <scheme val="minor"/>
      </rPr>
      <t>伦酿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</si>
  <si>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汽酒;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威士忌; 葡萄酒; 蒸煮提取物（利口酒和烈酒）</t>
    </r>
  </si>
  <si>
    <t>安味特</t>
  </si>
  <si>
    <r>
      <t>贺</t>
    </r>
    <r>
      <rPr>
        <sz val="11"/>
        <color theme="1"/>
        <rFont val="ＭＳ Ｐゴシック"/>
        <family val="3"/>
        <charset val="128"/>
        <scheme val="minor"/>
      </rPr>
      <t>州市八步区天海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</si>
  <si>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威士忌; 黄酒; 果酒; 白酒; 苹果酒;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</si>
  <si>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t>欣于所遇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</si>
  <si>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小十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</si>
  <si>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</si>
  <si>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丙粮</t>
  </si>
  <si>
    <r>
      <t>齐齐</t>
    </r>
    <r>
      <rPr>
        <sz val="11"/>
        <color theme="1"/>
        <rFont val="ＭＳ Ｐゴシック"/>
        <family val="3"/>
        <charset val="128"/>
        <scheme val="minor"/>
      </rPr>
      <t>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甘益康生物科技有限公司</t>
    </r>
  </si>
  <si>
    <r>
      <t>果酒（含酒精）;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伏特加酒;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</si>
  <si>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城冰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</si>
  <si>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春江</t>
    </r>
  </si>
  <si>
    <r>
      <t xml:space="preserve">甜酒; 清酒（日本米酒）; 米酒; 葡萄酒; 烈酒; 白葡萄酒;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</si>
  <si>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城冰</t>
    </r>
  </si>
  <si>
    <r>
      <t xml:space="preserve">葡萄酒; 白葡萄酒; 果酒（含酒精）; 白干酒（中国白酒）;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清酒（日本米酒）; 米酒; 白酒</t>
    </r>
  </si>
  <si>
    <t>已宝</t>
  </si>
  <si>
    <r>
      <t>赖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</si>
  <si>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</si>
  <si>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r>
      <t>述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</si>
  <si>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</si>
  <si>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清花醉金樽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</si>
  <si>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葡萄酒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</si>
  <si>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</si>
  <si>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食用酒精; 开胃酒; 白酒; 利口酒; 葡萄酒</t>
    </r>
  </si>
  <si>
    <t>隽香</t>
  </si>
  <si>
    <r>
      <t xml:space="preserve">葡萄酒; 汽酒; 餐后酒（利口酒和烈酒）; 利口酒; 开胃酒;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</si>
  <si>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夜沐</t>
  </si>
  <si>
    <r>
      <t>白酒; 果酒（含酒精）; 食用酒精;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</si>
  <si>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门顶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</si>
  <si>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威士忌（栖霞）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</si>
  <si>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高粱酒; 麦芽威士忌; 白酒; 混合威士忌酒;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</si>
  <si>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古肉其</t>
  </si>
  <si>
    <r>
      <t>姚世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</si>
  <si>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开胃酒</t>
    </r>
  </si>
  <si>
    <t>祥民濉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</si>
  <si>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米酒</t>
    </r>
  </si>
  <si>
    <t>翡色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</si>
  <si>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利口酒; 白酒; 蒸煮提取物（利口酒和烈酒）; 果酒（含酒精）; 葡萄酒; 食用酒精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</si>
  <si>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咏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</si>
  <si>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白酒; 威士忌;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</si>
  <si>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特</t>
    </r>
  </si>
  <si>
    <t>天津易辰科技有限公司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</si>
  <si>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</si>
  <si>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春丰里</t>
  </si>
  <si>
    <r>
      <t>张</t>
    </r>
    <r>
      <rPr>
        <sz val="11"/>
        <color theme="1"/>
        <rFont val="ＭＳ Ｐゴシック"/>
        <family val="3"/>
        <charset val="128"/>
        <scheme val="minor"/>
      </rPr>
      <t>朋玉</t>
    </r>
  </si>
  <si>
    <r>
      <t>果酒（含酒精）; 开胃酒; 葡萄酒; 威士忌;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</t>
    </r>
  </si>
  <si>
    <t>旭昊神韵</t>
  </si>
  <si>
    <r>
      <t>张</t>
    </r>
    <r>
      <rPr>
        <sz val="11"/>
        <color theme="1"/>
        <rFont val="ＭＳ Ｐゴシック"/>
        <family val="3"/>
        <charset val="128"/>
        <scheme val="minor"/>
      </rPr>
      <t>正勇</t>
    </r>
  </si>
  <si>
    <r>
      <t>黄酒; 蜂蜜酒;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青稞酒; 葡萄酒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</si>
  <si>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</si>
  <si>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</si>
  <si>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宏篁竹</t>
  </si>
  <si>
    <r>
      <t>白酒; 米酒; 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露酒</t>
    </r>
  </si>
  <si>
    <t>八澄</t>
  </si>
  <si>
    <r>
      <t>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果酒</t>
    </r>
  </si>
  <si>
    <t>极瑞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</si>
  <si>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州博尊酒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</si>
  <si>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梨酒; 薄荷酒; 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黄酒; 青稞酒; 白酒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</si>
  <si>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</si>
  <si>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</si>
  <si>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隽妙</t>
  </si>
  <si>
    <r>
      <t xml:space="preserve">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开胃酒; 餐后酒（利口酒和烈酒）; 葡萄酒; 汽酒; 果酒（含酒精）</t>
    </r>
  </si>
  <si>
    <r>
      <t>酝传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</si>
  <si>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州佘氏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</si>
  <si>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露酒; 餐后酒（利口酒和烈酒）; 果酒（含酒精）;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</si>
  <si>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小薯打</t>
  </si>
  <si>
    <t>谢飞</t>
  </si>
  <si>
    <r>
      <t>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白酒;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</si>
  <si>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花冠珍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</si>
  <si>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</si>
  <si>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</si>
  <si>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情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</si>
  <si>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</si>
  <si>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坛赢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</si>
  <si>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</si>
  <si>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旅居九州</t>
  </si>
  <si>
    <r>
      <t>云南中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</si>
  <si>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烈酒; 米酒; 清酒; 白酒;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</si>
  <si>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梁匠大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名</t>
    </r>
  </si>
  <si>
    <t>梁柱山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</si>
  <si>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</si>
  <si>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佰延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</si>
  <si>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</si>
  <si>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</si>
  <si>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HOMANCHI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</si>
  <si>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长鸿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</si>
  <si>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含酒精的气泡水</t>
    </r>
  </si>
  <si>
    <t>幸武襄</t>
  </si>
  <si>
    <r>
      <t>王光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</si>
  <si>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</si>
  <si>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福将至</t>
  </si>
  <si>
    <t>周斌杉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</si>
  <si>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</si>
  <si>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</si>
  <si>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甜酒; 果酒; 青稞酒; 米酒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</si>
  <si>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沟佰</t>
    </r>
  </si>
  <si>
    <r>
      <t>杨锦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</si>
  <si>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</si>
  <si>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篁金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</si>
  <si>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高粱酒;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</si>
  <si>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</si>
  <si>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</si>
  <si>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蒸煮提取物（利口酒和烈酒）; 清酒;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</si>
  <si>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伴九州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</si>
  <si>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</si>
  <si>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冠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</si>
  <si>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嘉包装科技有限公司</t>
    </r>
  </si>
  <si>
    <r>
      <t xml:space="preserve">朗姆酒;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</si>
  <si>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隐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</si>
  <si>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威士忌; 果酒（含酒精）;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</si>
  <si>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喜随春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</si>
  <si>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</si>
  <si>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威士忌; 米酒</t>
    </r>
  </si>
  <si>
    <r>
      <t>伯</t>
    </r>
    <r>
      <rPr>
        <sz val="11"/>
        <color theme="1"/>
        <rFont val="ＭＳ Ｐゴシック"/>
        <family val="3"/>
        <charset val="134"/>
        <scheme val="minor"/>
      </rPr>
      <t>驹</t>
    </r>
    <r>
      <rPr>
        <sz val="11"/>
        <color theme="1"/>
        <rFont val="ＭＳ Ｐゴシック"/>
        <family val="3"/>
        <charset val="128"/>
        <scheme val="minor"/>
      </rPr>
      <t>平复春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</si>
  <si>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花厨味餐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</si>
  <si>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果酒; 食用酒精;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</si>
  <si>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三特北派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</si>
  <si>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朗姆酒; 白酒; 米酒; 含酒精的气泡水; 开胃酒;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</si>
  <si>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云舞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</si>
  <si>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草本型利口酒;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青稞酒; 黄酒; 利口酒; 高粱酒;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</si>
  <si>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</si>
  <si>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</si>
  <si>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露酒;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</si>
  <si>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翎朗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</si>
  <si>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翎朗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</si>
  <si>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清酒（日本米酒）; 开胃酒; 青稞酒; 葡萄酒; 威士忌</t>
    </r>
  </si>
  <si>
    <t>侬发</t>
  </si>
  <si>
    <r>
      <t>宿迁市天</t>
    </r>
    <r>
      <rPr>
        <sz val="11"/>
        <color theme="1"/>
        <rFont val="ＭＳ Ｐゴシック"/>
        <family val="3"/>
        <charset val="134"/>
        <scheme val="minor"/>
      </rPr>
      <t>时农业发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</si>
  <si>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食用酒精; 米酒; 黄酒; 葡萄酒</t>
    </r>
  </si>
  <si>
    <r>
      <t>篁</t>
    </r>
    <r>
      <rPr>
        <sz val="11"/>
        <color theme="1"/>
        <rFont val="ＭＳ Ｐゴシック"/>
        <family val="3"/>
        <charset val="134"/>
        <scheme val="minor"/>
      </rPr>
      <t>亲荟</t>
    </r>
  </si>
  <si>
    <r>
      <t>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</t>
    </r>
  </si>
  <si>
    <t>轻赢</t>
  </si>
  <si>
    <r>
      <t xml:space="preserve">黄酒;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</si>
  <si>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篁竹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</si>
  <si>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高粱酒</t>
    </r>
  </si>
  <si>
    <t>九冽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</si>
  <si>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开胃酒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</si>
  <si>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篁竹</t>
    </r>
  </si>
  <si>
    <r>
      <t>露酒; 高粱酒;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</t>
    </r>
  </si>
  <si>
    <t>凤绩</t>
  </si>
  <si>
    <r>
      <t>张</t>
    </r>
    <r>
      <rPr>
        <sz val="11"/>
        <color theme="1"/>
        <rFont val="ＭＳ Ｐゴシック"/>
        <family val="3"/>
        <charset val="128"/>
        <scheme val="minor"/>
      </rPr>
      <t>彪声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</si>
  <si>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清酒（日本米酒）; 开胃酒; 米酒; 果酒（含酒精）; 葡萄酒; 烈酒</t>
    </r>
  </si>
  <si>
    <t>建曜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</si>
  <si>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市独臻酒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</si>
  <si>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果酒（含酒精）; 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</si>
  <si>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十字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珍酒</t>
    </r>
  </si>
  <si>
    <r>
      <t xml:space="preserve">利口酒; 米酒; 果酒（含酒精）; 白酒; 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</si>
  <si>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LNIEER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</si>
  <si>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市佰年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</si>
  <si>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葡萄酒; 食用酒精; 威士忌; 开胃酒;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</si>
  <si>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喜窖</t>
    </r>
  </si>
  <si>
    <r>
      <t>山西省代</t>
    </r>
    <r>
      <rPr>
        <sz val="11"/>
        <color theme="1"/>
        <rFont val="ＭＳ Ｐゴシック"/>
        <family val="3"/>
        <charset val="134"/>
        <scheme val="minor"/>
      </rPr>
      <t>县贵</t>
    </r>
    <r>
      <rPr>
        <sz val="11"/>
        <color theme="1"/>
        <rFont val="ＭＳ Ｐゴシック"/>
        <family val="3"/>
        <charset val="128"/>
        <scheme val="minor"/>
      </rPr>
      <t>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</si>
  <si>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</si>
  <si>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邑津半</t>
  </si>
  <si>
    <r>
      <t>川灶老窖池(成都)酒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</si>
  <si>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</t>
    </r>
  </si>
  <si>
    <r>
      <t>开胃酒; 葡萄酒; 清酒（日本米酒）;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</si>
  <si>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卺禧</t>
  </si>
  <si>
    <r>
      <t>国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石科技（北京）集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</si>
  <si>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果酒;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</si>
  <si>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真味多公文包</t>
  </si>
  <si>
    <t>黄理丹</t>
  </si>
  <si>
    <r>
      <t>白酒; 食用酒精; 果酒（含酒精）;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</si>
  <si>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佳福</t>
    </r>
  </si>
  <si>
    <t>孙颖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</si>
  <si>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</si>
  <si>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朝歌暮舞</t>
  </si>
  <si>
    <r>
      <t>新疆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拉慕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莱思商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</si>
  <si>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薄荷酒; 黄酒; 葡萄酒</t>
    </r>
  </si>
  <si>
    <r>
      <t>罗涩</t>
    </r>
    <r>
      <rPr>
        <sz val="11"/>
        <color theme="1"/>
        <rFont val="ＭＳ Ｐゴシック"/>
        <family val="3"/>
        <charset val="128"/>
        <scheme val="minor"/>
      </rPr>
      <t>霖庄园</t>
    </r>
  </si>
  <si>
    <r>
      <t>上海穆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堡国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</si>
  <si>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起泡白葡萄酒; 果酒（含酒精）; 白葡萄酒; 葡萄酒</t>
    </r>
  </si>
  <si>
    <t>伏昌台</t>
  </si>
  <si>
    <t>揭文英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</si>
  <si>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</t>
    </r>
  </si>
  <si>
    <t>藤佐野村</t>
  </si>
  <si>
    <r>
      <t>亿</t>
    </r>
    <r>
      <rPr>
        <sz val="11"/>
        <color theme="1"/>
        <rFont val="ＭＳ Ｐゴシック"/>
        <family val="3"/>
        <charset val="128"/>
        <scheme val="minor"/>
      </rPr>
      <t>晟烈酒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（香港）有限公司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</si>
  <si>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朗姆酒; 利口酒;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</si>
  <si>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r>
      <t>多</t>
    </r>
    <r>
      <rPr>
        <sz val="11"/>
        <color theme="1"/>
        <rFont val="ＭＳ Ｐゴシック"/>
        <family val="3"/>
        <charset val="134"/>
        <scheme val="minor"/>
      </rPr>
      <t>尔赛码头</t>
    </r>
  </si>
  <si>
    <r>
      <t>泉州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</si>
  <si>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</si>
  <si>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上</t>
    </r>
    <r>
      <rPr>
        <sz val="11"/>
        <color theme="1"/>
        <rFont val="ＭＳ Ｐゴシック"/>
        <family val="3"/>
        <charset val="134"/>
        <scheme val="minor"/>
      </rPr>
      <t>红烛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</si>
  <si>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蒸煮提取物（利口酒和烈酒）;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</si>
  <si>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听</t>
    </r>
    <r>
      <rPr>
        <sz val="11"/>
        <color theme="1"/>
        <rFont val="ＭＳ Ｐゴシック"/>
        <family val="3"/>
        <charset val="134"/>
        <scheme val="minor"/>
      </rPr>
      <t>诏</t>
    </r>
    <r>
      <rPr>
        <sz val="11"/>
        <color theme="1"/>
        <rFont val="ＭＳ Ｐゴシック"/>
        <family val="3"/>
        <charset val="128"/>
        <scheme val="minor"/>
      </rPr>
      <t xml:space="preserve"> TINSZHAO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</si>
  <si>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心境心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</si>
  <si>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威士忌; 米酒; 黄酒; 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</si>
  <si>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武当养心谷</t>
  </si>
  <si>
    <r>
      <t>十堰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王谷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</si>
  <si>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佐餐酒; 高粱酒; 甜酒; 白酒; 黄酒; 米酒; 果酒</t>
    </r>
  </si>
  <si>
    <r>
      <t>朵</t>
    </r>
    <r>
      <rPr>
        <sz val="11"/>
        <color theme="1"/>
        <rFont val="ＭＳ Ｐゴシック"/>
        <family val="3"/>
        <charset val="128"/>
        <scheme val="minor"/>
      </rPr>
      <t>拉慕</t>
    </r>
    <r>
      <rPr>
        <sz val="11"/>
        <color theme="1"/>
        <rFont val="ＭＳ Ｐゴシック"/>
        <family val="3"/>
        <charset val="134"/>
        <scheme val="minor"/>
      </rPr>
      <t>萨</t>
    </r>
  </si>
  <si>
    <r>
      <t>威士忌; 白酒;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葡萄酒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</si>
  <si>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王道</t>
    </r>
  </si>
  <si>
    <r>
      <t>马艳</t>
    </r>
    <r>
      <rPr>
        <sz val="11"/>
        <color theme="1"/>
        <rFont val="ＭＳ Ｐゴシック"/>
        <family val="3"/>
        <charset val="128"/>
        <scheme val="minor"/>
      </rPr>
      <t>茹</t>
    </r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</si>
  <si>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</si>
  <si>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名香园</t>
  </si>
  <si>
    <t>广西名香园食品有限公司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</si>
  <si>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</si>
  <si>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隆中曾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</si>
  <si>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晓伟</t>
    </r>
  </si>
  <si>
    <r>
      <t>米酒; 开胃酒; 青梅酒;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黄酒; 白酒; 葡萄酒; 苹果酒</t>
    </r>
  </si>
  <si>
    <r>
      <t>梅高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</si>
  <si>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郑蔺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</si>
  <si>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葡萄汽酒; 梅酒;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</t>
    </r>
  </si>
  <si>
    <r>
      <t>箐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亭</t>
    </r>
  </si>
  <si>
    <t>赵凯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</si>
  <si>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白酒; 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</si>
  <si>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涛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</si>
  <si>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涛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</si>
  <si>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葡萄酒; 果酒（含酒精）</t>
    </r>
  </si>
  <si>
    <t>GARUZIS</t>
  </si>
  <si>
    <r>
      <t>马</t>
    </r>
    <r>
      <rPr>
        <sz val="11"/>
        <color theme="1"/>
        <rFont val="ＭＳ Ｐゴシック"/>
        <family val="3"/>
        <charset val="128"/>
        <scheme val="minor"/>
      </rPr>
      <t>莫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科普夫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（私人）有限公司</t>
    </r>
  </si>
  <si>
    <r>
      <t>汽酒;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</t>
    </r>
  </si>
  <si>
    <t>开心序</t>
  </si>
  <si>
    <r>
      <t>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梅酒; 黄酒; 葡萄酒</t>
    </r>
  </si>
  <si>
    <r>
      <t>首皇秘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</si>
  <si>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酒和友（北京）酒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</si>
  <si>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果酒（含酒精）; 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</si>
  <si>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同台</t>
    </r>
  </si>
  <si>
    <r>
      <t>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</si>
  <si>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一米集</t>
    </r>
    <r>
      <rPr>
        <sz val="11"/>
        <color theme="1"/>
        <rFont val="ＭＳ Ｐゴシック"/>
        <family val="3"/>
        <charset val="134"/>
        <scheme val="minor"/>
      </rPr>
      <t>亿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</si>
  <si>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</si>
  <si>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威士忌; 食用酒精; 白酒; 果酒（含酒精）; 米酒</t>
    </r>
  </si>
  <si>
    <r>
      <t>王秉</t>
    </r>
    <r>
      <rPr>
        <sz val="11"/>
        <color theme="1"/>
        <rFont val="ＭＳ Ｐゴシック"/>
        <family val="3"/>
        <charset val="134"/>
        <scheme val="minor"/>
      </rPr>
      <t>钩</t>
    </r>
  </si>
  <si>
    <r>
      <t>汝南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天中山酒行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</si>
  <si>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黄酒; 青稞酒; 白酒; 汽酒; 米酒; 葡萄酒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</si>
  <si>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家极物</t>
    </r>
  </si>
  <si>
    <r>
      <t>浙江云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家智能科技有限公司</t>
    </r>
  </si>
  <si>
    <r>
      <t xml:space="preserve">白酒; 食用酒精; 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</si>
  <si>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柿花堡</t>
  </si>
  <si>
    <r>
      <t>红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区青杠堡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</si>
  <si>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清酒（日本米酒）;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白酒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</si>
  <si>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玄德</t>
    </r>
  </si>
  <si>
    <r>
      <t>四川峨眉山蜀国仙芽茶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</si>
  <si>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青稞酒; 米酒; 汽酒;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</si>
  <si>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中尚三粮三</t>
  </si>
  <si>
    <r>
      <t>温岭中尚商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</si>
  <si>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</si>
  <si>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VITAYOUNG</t>
  </si>
  <si>
    <t>浙江李子园食品股份有限公司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</si>
  <si>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食用酒精; 葡萄酒; 威士忌; 米酒; 白酒</t>
    </r>
  </si>
  <si>
    <t>HERBIZON</t>
  </si>
  <si>
    <t>珠海全信通科技有限公司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</si>
  <si>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</si>
  <si>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喜来樽</t>
  </si>
  <si>
    <t>李志琴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</si>
  <si>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</si>
  <si>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黔将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</si>
  <si>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赤壁市港艮披集百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</si>
  <si>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</si>
  <si>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中尚三粮液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</si>
  <si>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</si>
  <si>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馫牪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</si>
  <si>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康永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</si>
  <si>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食用酒精;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青稞酒; 葡萄酒;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果酒（含酒精）</t>
    </r>
  </si>
  <si>
    <t>TEHKNE</t>
  </si>
  <si>
    <r>
      <t>清酒（日本米酒）; 黄酒;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</si>
  <si>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九渥台</t>
  </si>
  <si>
    <t>深圳市广豪硅胶制品有限公司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</si>
  <si>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</si>
  <si>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嫂</t>
    </r>
  </si>
  <si>
    <r>
      <t>福安市惠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家家政服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</si>
  <si>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</si>
  <si>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万足福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</si>
  <si>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钦贡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</si>
  <si>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梅酒;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</si>
  <si>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桂松鑫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</si>
  <si>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沾益区桂松鑫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酒坊(个体工商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</si>
  <si>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白干酒（中国白酒）; 柑香酒; 杜松子酒; 开胃酒; 利口酒;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白酒</t>
    </r>
  </si>
  <si>
    <r>
      <t>甡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甡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</si>
  <si>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竞赛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</si>
  <si>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葡萄酒;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</si>
  <si>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希妙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</si>
  <si>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</si>
  <si>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坚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</si>
  <si>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家家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（海南）酒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</si>
  <si>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</si>
  <si>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幺妹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</si>
  <si>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尚英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</si>
  <si>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米酒; 开胃酒; 果酒（含酒精）; 葡萄酒; 威士忌</t>
    </r>
  </si>
  <si>
    <t>每添延</t>
  </si>
  <si>
    <t>廖勤英</t>
  </si>
  <si>
    <r>
      <t>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苦味酒; 米酒; 黄酒</t>
    </r>
  </si>
  <si>
    <r>
      <t>开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</si>
  <si>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</si>
  <si>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</t>
    </r>
  </si>
  <si>
    <t>梵辞</t>
  </si>
  <si>
    <r>
      <t>周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</si>
  <si>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高粱酒; 白酒; 威士忌;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</si>
  <si>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堰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</si>
  <si>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荣粉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</si>
  <si>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蜂蜜酒; 米酒; 白酒; 黄酒; 开胃酒</t>
    </r>
  </si>
  <si>
    <r>
      <t>越千</t>
    </r>
    <r>
      <rPr>
        <sz val="11"/>
        <color theme="1"/>
        <rFont val="ＭＳ Ｐゴシック"/>
        <family val="3"/>
        <charset val="134"/>
        <scheme val="minor"/>
      </rPr>
      <t>觞</t>
    </r>
  </si>
  <si>
    <t>刘豪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</si>
  <si>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果酒; 烈酒;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</si>
  <si>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纯颜剑</t>
  </si>
  <si>
    <t>王磊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</si>
  <si>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</si>
  <si>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洛游</t>
    </r>
    <r>
      <rPr>
        <sz val="11"/>
        <color theme="1"/>
        <rFont val="ＭＳ Ｐゴシック"/>
        <family val="3"/>
        <charset val="134"/>
        <scheme val="minor"/>
      </rPr>
      <t>戏</t>
    </r>
    <r>
      <rPr>
        <sz val="11"/>
        <color theme="1"/>
        <rFont val="ＭＳ Ｐゴシック"/>
        <family val="3"/>
        <charset val="128"/>
        <scheme val="minor"/>
      </rPr>
      <t>KURO GAMES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</si>
  <si>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洛科技有限公司</t>
    </r>
  </si>
  <si>
    <r>
      <t>葡萄酒; 利口酒;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</si>
  <si>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PP</t>
  </si>
  <si>
    <r>
      <t>陈贡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</si>
  <si>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 xml:space="preserve">蜂蜜酒; 黄酒; 朗姆酒; 葡萄酒;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伏特加酒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</si>
  <si>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关</t>
    </r>
  </si>
  <si>
    <r>
      <t xml:space="preserve">开胃酒;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威士忌; 清酒（日本米酒）</t>
    </r>
  </si>
  <si>
    <t>子庭坊</t>
  </si>
  <si>
    <r>
      <t>达州市秒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购电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</si>
  <si>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清酒; 清酒（日本米酒）; 米酒; 葡萄酒; 白酒;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</si>
  <si>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谷殿</t>
  </si>
  <si>
    <r>
      <t>满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</si>
  <si>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利口酒; 米酒; 白酒; 白干酒（中国白酒）;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</si>
  <si>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</si>
  <si>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清酒（日本米酒）; 果酒（含酒精）; 餐后酒（利口酒和烈酒）; 朗姆酒;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威士忌</t>
    </r>
  </si>
  <si>
    <r>
      <t>喜三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</si>
  <si>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姜</t>
    </r>
    <r>
      <rPr>
        <sz val="11"/>
        <color theme="1"/>
        <rFont val="ＭＳ Ｐゴシック"/>
        <family val="3"/>
        <charset val="134"/>
        <scheme val="minor"/>
      </rPr>
      <t>晓丽</t>
    </r>
  </si>
  <si>
    <r>
      <t>米酒; 白酒; 葡萄酒; 果酒;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烈酒</t>
    </r>
  </si>
  <si>
    <t>金光醁酒</t>
  </si>
  <si>
    <r>
      <t>西安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秦企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</si>
  <si>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清酒; 葡萄酒; 蜂蜜酒; 威士忌; 黄酒; 果酒（含酒精）</t>
    </r>
  </si>
  <si>
    <t>益杞湃</t>
  </si>
  <si>
    <t>杨帅飞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</si>
  <si>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</si>
  <si>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李杜双曜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</si>
  <si>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东兖</t>
    </r>
    <r>
      <rPr>
        <sz val="11"/>
        <color theme="1"/>
        <rFont val="ＭＳ Ｐゴシック"/>
        <family val="3"/>
        <charset val="128"/>
        <scheme val="minor"/>
      </rPr>
      <t>之有礼文化科技有限公司</t>
    </r>
  </si>
  <si>
    <t>草莓酒; 蜂蜜酒; 白葡萄酒; 梨酒; 葡萄酒; 黄酒; 果酒; 白酒; 清酒; 米酒</t>
  </si>
  <si>
    <t>QUAIDORSAY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</si>
  <si>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</si>
  <si>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樽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</si>
  <si>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樽</t>
    </r>
    <r>
      <rPr>
        <sz val="11"/>
        <color theme="1"/>
        <rFont val="ＭＳ Ｐゴシック"/>
        <family val="3"/>
        <charset val="134"/>
        <scheme val="minor"/>
      </rPr>
      <t>汇贸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</si>
  <si>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加烈葡萄酒; 白酒; 葡萄酒; 葡萄潘趣酒;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</si>
  <si>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戟井</t>
  </si>
  <si>
    <r>
      <t>安徽井名天下酒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</si>
  <si>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利口酒;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葡萄酒</t>
    </r>
  </si>
  <si>
    <r>
      <t>十里清花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</si>
  <si>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苗苗</t>
    </r>
  </si>
  <si>
    <r>
      <t>开胃酒; 食用酒精;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葡萄酒; 汽酒</t>
    </r>
  </si>
  <si>
    <t>全册</t>
  </si>
  <si>
    <r>
      <t>瑞高儿（厦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</si>
  <si>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朗姆酒; 白酒; 葡萄酒</t>
    </r>
  </si>
  <si>
    <t>昱你郝</t>
  </si>
  <si>
    <r>
      <t>南阳豫郝商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</si>
  <si>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</si>
  <si>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t>ERISIN</t>
  </si>
  <si>
    <r>
      <t>浙江恒升供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</si>
  <si>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葡萄潘趣酒; 阿蒙蒂拉多白葡萄酒;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加烈葡萄酒; 酸酒（低等葡萄酒）; 不起泡葡萄酒; 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起泡白葡萄酒; 甜果酒;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甜酒; 佐餐酒; 葡萄汽酒;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</si>
  <si>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天池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牙山</t>
    </r>
  </si>
  <si>
    <t>张刚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</si>
  <si>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露酒;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</si>
  <si>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珠</t>
    </r>
  </si>
  <si>
    <r>
      <t>宁夏塞上名品酒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</si>
  <si>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酸酒(低等葡萄酒);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果酒(含酒精); 白酒</t>
    </r>
  </si>
  <si>
    <t>楠泉康</t>
  </si>
  <si>
    <r>
      <t>温州市</t>
    </r>
    <r>
      <rPr>
        <sz val="11"/>
        <color theme="1"/>
        <rFont val="ＭＳ Ｐゴシック"/>
        <family val="3"/>
        <charset val="134"/>
        <scheme val="minor"/>
      </rPr>
      <t>谢</t>
    </r>
    <r>
      <rPr>
        <sz val="11"/>
        <color theme="1"/>
        <rFont val="ＭＳ Ｐゴシック"/>
        <family val="3"/>
        <charset val="128"/>
        <scheme val="minor"/>
      </rPr>
      <t>志国酒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</si>
  <si>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果酒（含酒精）; 葡萄酒; 食用酒精; 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</si>
  <si>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泰九州</t>
  </si>
  <si>
    <r>
      <t>泰安坤</t>
    </r>
    <r>
      <rPr>
        <sz val="11"/>
        <color theme="1"/>
        <rFont val="ＭＳ Ｐゴシック"/>
        <family val="3"/>
        <charset val="134"/>
        <scheme val="minor"/>
      </rPr>
      <t>纬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</si>
  <si>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</si>
  <si>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味浠坊</t>
  </si>
  <si>
    <r>
      <t>李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</si>
  <si>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果酒（含酒精）; 葡萄酒; 米酒</t>
    </r>
  </si>
  <si>
    <r>
      <t>白山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</si>
  <si>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威士忌; 清酒;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青梅酒; 水果汽酒; 果酒（含酒精）; 伏特加酒</t>
    </r>
  </si>
  <si>
    <t>隽祥</t>
  </si>
  <si>
    <t>田野</t>
  </si>
  <si>
    <r>
      <t>黄酒; 烈酒; 白酒;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</si>
  <si>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蜀国玄德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</si>
  <si>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威士忌; 米酒; 黄酒;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</si>
  <si>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草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被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急</t>
    </r>
    <r>
      <rPr>
        <sz val="11"/>
        <color theme="1"/>
        <rFont val="ＭＳ Ｐゴシック"/>
        <family val="3"/>
        <charset val="134"/>
        <scheme val="minor"/>
      </rPr>
      <t>驿</t>
    </r>
    <r>
      <rPr>
        <sz val="11"/>
        <color theme="1"/>
        <rFont val="ＭＳ Ｐゴシック"/>
        <family val="3"/>
        <charset val="128"/>
        <scheme val="minor"/>
      </rPr>
      <t>站（北京）管理咨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</si>
  <si>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</si>
  <si>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赤三关</t>
  </si>
  <si>
    <r>
      <t xml:space="preserve">开胃酒; 葡萄酒; 威士忌; 烈酒; 果酒（含酒精）; 清酒（日本米酒）;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</si>
  <si>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山前山后</t>
  </si>
  <si>
    <r>
      <t>北京奕名文化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</si>
  <si>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黄酒</t>
    </r>
  </si>
  <si>
    <t>若彩虹</t>
  </si>
  <si>
    <r>
      <t>上海佳目市</t>
    </r>
    <r>
      <rPr>
        <sz val="11"/>
        <color theme="1"/>
        <rFont val="ＭＳ Ｐゴシック"/>
        <family val="3"/>
        <charset val="134"/>
        <scheme val="minor"/>
      </rPr>
      <t>场营销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</si>
  <si>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露酒; 黄酒; 米酒; 烈酒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</si>
  <si>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尼世嘉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</si>
  <si>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市湖里区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谷逸百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</si>
  <si>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汽酒; 清酒（日本米酒）;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</si>
  <si>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溢孟源</t>
  </si>
  <si>
    <r>
      <t>个旧市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街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乍甸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河酒坊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</si>
  <si>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加烈葡萄酒;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</si>
  <si>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触妙</t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</si>
  <si>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果酒（含酒精）; 清酒（日本米酒）;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</si>
  <si>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九五本宗</t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</si>
  <si>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市巨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通信技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</si>
  <si>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葡萄酒; 黄酒; 伏特加酒;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果酒</t>
    </r>
  </si>
  <si>
    <r>
      <t>得</t>
    </r>
    <r>
      <rPr>
        <sz val="11"/>
        <color theme="1"/>
        <rFont val="ＭＳ Ｐゴシック"/>
        <family val="3"/>
        <charset val="134"/>
        <scheme val="minor"/>
      </rPr>
      <t>劲东</t>
    </r>
    <r>
      <rPr>
        <sz val="11"/>
        <color theme="1"/>
        <rFont val="ＭＳ Ｐゴシック"/>
        <family val="3"/>
        <charset val="128"/>
        <scheme val="minor"/>
      </rPr>
      <t>南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</si>
  <si>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江市酒海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</si>
  <si>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葡萄酒</t>
    </r>
  </si>
  <si>
    <t>原坡</t>
  </si>
  <si>
    <r>
      <t>孙选</t>
    </r>
    <r>
      <rPr>
        <sz val="11"/>
        <color theme="1"/>
        <rFont val="ＭＳ Ｐゴシック"/>
        <family val="3"/>
        <charset val="128"/>
        <scheme val="minor"/>
      </rPr>
      <t>峰</t>
    </r>
  </si>
  <si>
    <t>果酒; 黄酒; 汽酒; 清酒; 食用酒精; 开胃酒; 白酒; 米酒; 葡萄酒; 甜酒</t>
  </si>
  <si>
    <t>治略</t>
  </si>
  <si>
    <r>
      <t xml:space="preserve">黄酒; 烈酒; 米酒;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清酒</t>
    </r>
  </si>
  <si>
    <r>
      <t>觞</t>
    </r>
    <r>
      <rPr>
        <sz val="11"/>
        <color theme="1"/>
        <rFont val="ＭＳ Ｐゴシック"/>
        <family val="3"/>
        <charset val="128"/>
        <scheme val="minor"/>
      </rPr>
      <t>亦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</si>
  <si>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米酒; 高粱酒; 果酒;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</si>
  <si>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食神的秘密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</si>
  <si>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竹炉山房茶文化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</si>
  <si>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梅酒; 甜酒; 米酒; 果酒; 清酒; 黄酒; 葡萄酒</t>
    </r>
  </si>
  <si>
    <r>
      <t>吾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冰</t>
    </r>
  </si>
  <si>
    <t>李冠辰</t>
  </si>
  <si>
    <r>
      <t xml:space="preserve">清酒; 烈酒; 甜酒;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</si>
  <si>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樽会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</si>
  <si>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葡萄潘趣酒; 果酒（含酒精）; 葡萄酒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</si>
  <si>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之鹿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</si>
  <si>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</si>
  <si>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 xml:space="preserve">葡萄酒;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黄酒; 餐后酒（利口酒和烈酒）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</si>
  <si>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四季文旅控股有限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</si>
  <si>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</si>
  <si>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神仙志</t>
  </si>
  <si>
    <r>
      <t>文明碎片（北京）文化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</si>
  <si>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</si>
  <si>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麦迪教育科技（深圳）有限公司</t>
  </si>
  <si>
    <r>
      <t xml:space="preserve">葡萄酒; 果酒;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</si>
  <si>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默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清花</t>
    </r>
  </si>
  <si>
    <r>
      <t>汽酒; 食用酒精; 高粱酒; 开胃酒;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</t>
    </r>
  </si>
  <si>
    <t>状元楼本色</t>
  </si>
  <si>
    <t>王清福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</si>
  <si>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</si>
  <si>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自韵</t>
  </si>
  <si>
    <t>周广立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</si>
  <si>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葡萄酒; 白酒; 果酒（含酒精）; 烈酒</t>
    </r>
  </si>
  <si>
    <t>中酹</t>
  </si>
  <si>
    <r>
      <t>米酒; 清酒; 烈酒;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</si>
  <si>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膳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</si>
  <si>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黎官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</si>
  <si>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米酒; 青稞酒;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</si>
  <si>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MR S</t>
  </si>
  <si>
    <r>
      <t>安蒂嘉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酒窖股份公司</t>
    </r>
  </si>
  <si>
    <r>
      <t>店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盟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</si>
  <si>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店盟数字科技有限公司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</si>
  <si>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</si>
  <si>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BEELUSPOWER</t>
  </si>
  <si>
    <r>
      <t>孟</t>
    </r>
    <r>
      <rPr>
        <sz val="11"/>
        <color theme="1"/>
        <rFont val="ＭＳ Ｐゴシック"/>
        <family val="3"/>
        <charset val="134"/>
        <scheme val="minor"/>
      </rPr>
      <t>庆辉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</si>
  <si>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伏特加酒; 白酒; 黄酒</t>
    </r>
  </si>
  <si>
    <t>州府百家</t>
  </si>
  <si>
    <t>史笑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</si>
  <si>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白酒; 清酒（日本米酒）;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</si>
  <si>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众鼠</t>
  </si>
  <si>
    <t>商丘众鼠科技有限公司</t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</si>
  <si>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蜂蜜酒; 葡萄酒; 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米酒</t>
    </r>
  </si>
  <si>
    <r>
      <t>武神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羽</t>
    </r>
  </si>
  <si>
    <r>
      <t>威士忌;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</si>
  <si>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</si>
  <si>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</si>
  <si>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酩湃</t>
  </si>
  <si>
    <r>
      <t>宋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</si>
  <si>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</si>
  <si>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之洲</t>
  </si>
  <si>
    <r>
      <t>李</t>
    </r>
    <r>
      <rPr>
        <sz val="11"/>
        <color theme="1"/>
        <rFont val="ＭＳ Ｐゴシック"/>
        <family val="3"/>
        <charset val="134"/>
        <scheme val="minor"/>
      </rPr>
      <t>庆华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</si>
  <si>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</si>
  <si>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CHATEAU TIAN MU</t>
  </si>
  <si>
    <t>博森食品（上海）有限公司</t>
  </si>
  <si>
    <r>
      <t>葡萄酒;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</t>
    </r>
  </si>
  <si>
    <t>利玖云</t>
  </si>
  <si>
    <t>南京利玖云健康科技有限公司</t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</si>
  <si>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</si>
  <si>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波斯云</t>
  </si>
  <si>
    <r>
      <t>黄志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</si>
  <si>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米酒; 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</si>
  <si>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旺申信</t>
  </si>
  <si>
    <r>
      <t>河南灵山酒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</si>
  <si>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汽酒; 露酒; 白酒; 烈酒;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餐后酒（利口酒和烈酒）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</si>
  <si>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中故事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</si>
  <si>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州酉心酒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</si>
  <si>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威士忌; 青梅酒;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青稞酒; 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</si>
  <si>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月光自由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</si>
  <si>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蜂蜜酒;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</si>
  <si>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悦此生</t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</si>
  <si>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汽酒; 葡萄酒; 黄酒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</si>
  <si>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策御</t>
    </r>
  </si>
  <si>
    <t>滕仙文</t>
  </si>
  <si>
    <r>
      <t>白酒; 葡萄酒; 威士忌;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</si>
  <si>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禹羽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</si>
  <si>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明仕达科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</si>
  <si>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天然汽酒; 青梅酒; 果酒; 白酒;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</si>
  <si>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HAOXIANGLAI</t>
  </si>
  <si>
    <r>
      <t>泰州万好商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</si>
  <si>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威士忌; 白酒;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</t>
    </r>
  </si>
  <si>
    <t>神秘首皇</t>
  </si>
  <si>
    <r>
      <t>葡萄酒;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</si>
  <si>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平果</t>
    </r>
  </si>
  <si>
    <t>秦勇</t>
  </si>
  <si>
    <r>
      <t>米酒; 果酒;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黄酒; 甜酒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</si>
  <si>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庐</t>
    </r>
  </si>
  <si>
    <r>
      <t>程海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</si>
  <si>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果酒; 白酒; 米酒; 黄酒; 露酒; 蜂蜜酒; 甜酒; 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</si>
  <si>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裕祥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</si>
  <si>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驭飞</t>
    </r>
    <r>
      <rPr>
        <sz val="11"/>
        <color theme="1"/>
        <rFont val="ＭＳ Ｐゴシック"/>
        <family val="3"/>
        <charset val="128"/>
        <scheme val="minor"/>
      </rPr>
      <t>金海商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</si>
  <si>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食用酒精; 苹果酒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</si>
  <si>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食用酒精</t>
    </r>
  </si>
  <si>
    <t>沽酒公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</si>
  <si>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龙马</t>
    </r>
    <r>
      <rPr>
        <sz val="11"/>
        <color theme="1"/>
        <rFont val="ＭＳ Ｐゴシック"/>
        <family val="3"/>
        <charset val="128"/>
        <scheme val="minor"/>
      </rPr>
      <t>潭区游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兵工作室（个体工商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</si>
  <si>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日式甜米酒;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</si>
  <si>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秋</t>
    </r>
  </si>
  <si>
    <r>
      <t>九州御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(广西)国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</si>
  <si>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</si>
  <si>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t>眉府宴</t>
  </si>
  <si>
    <r>
      <t xml:space="preserve">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开胃酒; 米酒; 威士忌; 果酒（含酒精）; 葡萄酒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</si>
  <si>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</si>
  <si>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彦宁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</si>
  <si>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威士忌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</si>
  <si>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</si>
  <si>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江小白品牌管理有限公司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</si>
  <si>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威士忌;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</si>
  <si>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r>
      <t>淮</t>
    </r>
    <r>
      <rPr>
        <sz val="11"/>
        <color theme="1"/>
        <rFont val="ＭＳ Ｐゴシック"/>
        <family val="3"/>
        <charset val="134"/>
        <scheme val="minor"/>
      </rPr>
      <t>赢</t>
    </r>
  </si>
  <si>
    <t>农娇娇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</si>
  <si>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</si>
  <si>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昭医扁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</si>
  <si>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深圳喜搭档供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</si>
  <si>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</si>
  <si>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</si>
  <si>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省万众康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</si>
  <si>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伏特加酒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</si>
  <si>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</si>
  <si>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包</t>
    </r>
    <r>
      <rPr>
        <sz val="11"/>
        <color theme="1"/>
        <rFont val="ＭＳ Ｐゴシック"/>
        <family val="3"/>
        <charset val="134"/>
        <scheme val="minor"/>
      </rPr>
      <t>晓乐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</si>
  <si>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</si>
  <si>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r>
      <t>隐</t>
    </r>
    <r>
      <rPr>
        <sz val="11"/>
        <color theme="1"/>
        <rFont val="ＭＳ Ｐゴシック"/>
        <family val="3"/>
        <charset val="128"/>
        <scheme val="minor"/>
      </rPr>
      <t>云醉</t>
    </r>
  </si>
  <si>
    <r>
      <t>南昌福途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</si>
  <si>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甜酒; 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</si>
  <si>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庐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</si>
  <si>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哨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</si>
  <si>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</si>
  <si>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MARQUES DINA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</si>
  <si>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酒客科技信息股份有限公司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</si>
  <si>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</si>
  <si>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秉涛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</si>
  <si>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</si>
  <si>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庭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</si>
  <si>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葡萄酒; 利口酒</t>
    </r>
  </si>
  <si>
    <t>西北侯</t>
  </si>
  <si>
    <r>
      <t>包春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</si>
  <si>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黄酒; 米酒; 葡萄酒; 青稞酒; 高粱酒</t>
    </r>
  </si>
  <si>
    <t>WAMB</t>
  </si>
  <si>
    <r>
      <t>世界旅游城市形象大使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组织</t>
    </r>
    <r>
      <rPr>
        <sz val="11"/>
        <color theme="1"/>
        <rFont val="ＭＳ Ｐゴシック"/>
        <family val="3"/>
        <charset val="128"/>
        <scheme val="minor"/>
      </rPr>
      <t>机构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</si>
  <si>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</si>
  <si>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浼春秋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</si>
  <si>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</si>
  <si>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荣陶盛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</si>
  <si>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荣昌陶香洞藏老酒有限公司</t>
    </r>
  </si>
  <si>
    <r>
      <t>白酒; 米酒;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黄酒; 果酒</t>
    </r>
  </si>
  <si>
    <t>王者崛起</t>
  </si>
  <si>
    <r>
      <t>杭州起爵者王商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</si>
  <si>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</t>
    </r>
  </si>
  <si>
    <t>悦云端</t>
  </si>
  <si>
    <r>
      <t>深圳市云采供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</si>
  <si>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</si>
  <si>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喜莱登御</t>
  </si>
  <si>
    <r>
      <t>宜昌涵阳商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</si>
  <si>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柑香酒; 果酒（含酒精）</t>
    </r>
  </si>
  <si>
    <t>鹿双至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</si>
  <si>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</si>
  <si>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五加皮酒（中国混合烈酒）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</si>
  <si>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品味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</si>
  <si>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</si>
  <si>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混合威士忌酒;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</si>
  <si>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貅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</si>
  <si>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声</t>
    </r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</si>
  <si>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葡萄酒; 烈酒</t>
    </r>
  </si>
  <si>
    <r>
      <t>光耀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程</t>
    </r>
  </si>
  <si>
    <r>
      <t>葡萄酒; 米酒; 青稞酒; 果酒（含酒精）; 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</si>
  <si>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诺图</t>
    </r>
    <r>
      <rPr>
        <sz val="11"/>
        <color theme="1"/>
        <rFont val="ＭＳ Ｐゴシック"/>
        <family val="3"/>
        <charset val="128"/>
        <scheme val="minor"/>
      </rPr>
      <t>格</t>
    </r>
  </si>
  <si>
    <r>
      <t>呼和浩特市思城商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</si>
  <si>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黄酒;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</si>
  <si>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HIGHLAND WONDER</t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</si>
  <si>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之卓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</si>
  <si>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杜松子酒;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</si>
  <si>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施特莱斯</t>
  </si>
  <si>
    <r>
      <t>闵</t>
    </r>
    <r>
      <rPr>
        <sz val="11"/>
        <color theme="1"/>
        <rFont val="ＭＳ Ｐゴシック"/>
        <family val="3"/>
        <charset val="128"/>
        <scheme val="minor"/>
      </rPr>
      <t>珊珊</t>
    </r>
  </si>
  <si>
    <r>
      <t>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伏特加酒;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</si>
  <si>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巴瓦格</t>
  </si>
  <si>
    <r>
      <t>万事好（天津自</t>
    </r>
    <r>
      <rPr>
        <sz val="11"/>
        <color theme="1"/>
        <rFont val="ＭＳ Ｐゴシック"/>
        <family val="3"/>
        <charset val="134"/>
        <scheme val="minor"/>
      </rPr>
      <t>贸试验</t>
    </r>
    <r>
      <rPr>
        <sz val="11"/>
        <color theme="1"/>
        <rFont val="ＭＳ Ｐゴシック"/>
        <family val="3"/>
        <charset val="128"/>
        <scheme val="minor"/>
      </rPr>
      <t>区）国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</si>
  <si>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苦艾酒; 利口酒; 杜松子酒;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苦味酒;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</si>
  <si>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春色序</t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</si>
  <si>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梅酒; 果酒（含酒精）; 清酒（日本米酒）;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</si>
  <si>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古琵琶</t>
  </si>
  <si>
    <r>
      <t>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</si>
  <si>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元气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</si>
  <si>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</si>
  <si>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高粱酒; 蜂蜜酒;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</si>
  <si>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稻醉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</si>
  <si>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</si>
  <si>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辞令清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</si>
  <si>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</si>
  <si>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罡</t>
    </r>
  </si>
  <si>
    <r>
      <t>常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欣</t>
    </r>
  </si>
  <si>
    <r>
      <t>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</si>
  <si>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花朴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</si>
  <si>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</si>
  <si>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瑶池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</si>
  <si>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承娟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</si>
  <si>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</si>
  <si>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禧醉名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</si>
  <si>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果酒（含酒精）; 伏特加酒</t>
    </r>
  </si>
  <si>
    <t>科言雅界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</si>
  <si>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科智能科技有限公司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</si>
  <si>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汽酒; 黄酒; 果酒（含酒精）;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</si>
  <si>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山海松</t>
  </si>
  <si>
    <r>
      <t>西安</t>
    </r>
    <r>
      <rPr>
        <sz val="11"/>
        <color theme="1"/>
        <rFont val="ＭＳ Ｐゴシック"/>
        <family val="3"/>
        <charset val="134"/>
        <scheme val="minor"/>
      </rPr>
      <t>锦泽</t>
    </r>
    <r>
      <rPr>
        <sz val="11"/>
        <color theme="1"/>
        <rFont val="ＭＳ Ｐゴシック"/>
        <family val="3"/>
        <charset val="128"/>
        <scheme val="minor"/>
      </rPr>
      <t>精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</si>
  <si>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白干酒（中国白酒）; 威士忌;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</t>
    </r>
  </si>
  <si>
    <r>
      <t>桃花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</si>
  <si>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米酒;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</si>
  <si>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瑾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</si>
  <si>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浩然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</si>
  <si>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烈酒; 青梅酒; 葡萄酒; 清酒</t>
    </r>
  </si>
  <si>
    <r>
      <t>普西尼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</si>
  <si>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朗姆酒;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</si>
  <si>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懿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名</t>
    </r>
  </si>
  <si>
    <t>张兰兰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</si>
  <si>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</t>
    </r>
  </si>
  <si>
    <t>尊小丫</t>
  </si>
  <si>
    <t>武玉德</t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</si>
  <si>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</t>
    </r>
  </si>
  <si>
    <t>唐食令</t>
  </si>
  <si>
    <r>
      <t>凉山州唐食令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</si>
  <si>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</si>
  <si>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鹿野里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</si>
  <si>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蜂蜜酒;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果酒; 高粱酒; 白酒</t>
    </r>
  </si>
  <si>
    <r>
      <t>四川逛佳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</si>
  <si>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米酒; 薄荷酒; 果酒（含酒精）; 白酒; 葡萄酒</t>
    </r>
  </si>
  <si>
    <t>尚康谷</t>
  </si>
  <si>
    <t>北京有夏科技有限公司</t>
  </si>
  <si>
    <r>
      <t>露酒; 食用酒精; 威士忌; 米酒; 白酒; 黄酒; 葡萄酒;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</si>
  <si>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万燚良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</si>
  <si>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广西地道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</si>
  <si>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白葡萄酒; 甘蔗制烈酒;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薄荷酒; 果酒（含酒精）; 蜂蜜酒; 清酒（日本米酒）</t>
    </r>
  </si>
  <si>
    <r>
      <t>杨润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</si>
  <si>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河北有限公司</t>
    </r>
  </si>
  <si>
    <r>
      <t xml:space="preserve">黄酒; 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高粱酒;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</si>
  <si>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庭梦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</si>
  <si>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</si>
  <si>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七十二小将</t>
  </si>
  <si>
    <r>
      <t>深圳晟睿德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</si>
  <si>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伏特加酒; 威士忌; 黄酒; 白酒; 青稞酒; 米酒; 葡萄酒; 蒸煮提取物（利口酒和烈酒）; 果酒（含酒精）; 清酒</t>
  </si>
  <si>
    <t>霖檀</t>
  </si>
  <si>
    <r>
      <t>方</t>
    </r>
    <r>
      <rPr>
        <sz val="11"/>
        <color theme="1"/>
        <rFont val="ＭＳ Ｐゴシック"/>
        <family val="3"/>
        <charset val="134"/>
        <scheme val="minor"/>
      </rPr>
      <t>阔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</si>
  <si>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葡萄酒;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白干酒（中国白酒）; 果酒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</si>
  <si>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酣</t>
    </r>
  </si>
  <si>
    <r>
      <t>白酒;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开胃酒; 威士忌</t>
    </r>
  </si>
  <si>
    <r>
      <t>意佰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 xml:space="preserve"> YEBAYLEN</t>
    </r>
  </si>
  <si>
    <r>
      <t xml:space="preserve">黄酒; 白酒;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</si>
  <si>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政集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春市分公司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</si>
  <si>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</si>
  <si>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于李春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</si>
  <si>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万皮思食品科技有限公司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</si>
  <si>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</si>
  <si>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琉貂蝉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</si>
  <si>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</si>
  <si>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麒麟湖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</si>
  <si>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青稞酒;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米酒; 黄酒; 白酒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</si>
  <si>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</si>
  <si>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市宋祖酒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</si>
  <si>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葡萄酒; 果酒（含酒精）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</si>
  <si>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卧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</si>
  <si>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</si>
  <si>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黄供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</si>
  <si>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黄山供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</si>
  <si>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果酒（含酒精）; 葡萄酒;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</si>
  <si>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翁迎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</si>
  <si>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</si>
  <si>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醉渡凡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</si>
  <si>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</si>
  <si>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之几</t>
  </si>
  <si>
    <r>
      <t xml:space="preserve">露酒;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青稞酒</t>
    </r>
  </si>
  <si>
    <t>荣陶昌</t>
  </si>
  <si>
    <r>
      <t xml:space="preserve">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开胃酒; 葡萄酒; 清酒;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</si>
  <si>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台</t>
    </r>
  </si>
  <si>
    <t>胡小川</t>
  </si>
  <si>
    <r>
      <t xml:space="preserve">烈酒; 葡萄酒; 黄酒; 威士忌;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</si>
  <si>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菁医扁</t>
    </r>
    <r>
      <rPr>
        <sz val="11"/>
        <color theme="1"/>
        <rFont val="ＭＳ Ｐゴシック"/>
        <family val="3"/>
        <charset val="134"/>
        <scheme val="minor"/>
      </rPr>
      <t>鹊</t>
    </r>
  </si>
  <si>
    <t>深圳喜味大咖食品有限公司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</si>
  <si>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</si>
  <si>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</si>
  <si>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隆回</t>
    </r>
    <r>
      <rPr>
        <sz val="11"/>
        <color theme="1"/>
        <rFont val="ＭＳ Ｐゴシック"/>
        <family val="3"/>
        <charset val="134"/>
        <scheme val="minor"/>
      </rPr>
      <t>县农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纪农业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</si>
  <si>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</si>
  <si>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臣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</si>
  <si>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</si>
  <si>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 xml:space="preserve">开胃酒; 威士忌; 米酒; 白酒; 食用酒精;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</si>
  <si>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</si>
  <si>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彪</t>
    </r>
  </si>
  <si>
    <r>
      <t xml:space="preserve">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清酒（日本米酒）; 威士忌; 葡萄酒</t>
    </r>
  </si>
  <si>
    <t>鞍沙</t>
  </si>
  <si>
    <t>鲁宽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</si>
  <si>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</si>
  <si>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启微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</si>
  <si>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州启域网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</si>
  <si>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青梅酒;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果酒; 高粱酒;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</si>
  <si>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t>君与凰</t>
  </si>
  <si>
    <r>
      <t>果酒; 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</si>
  <si>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相望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</si>
  <si>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</si>
  <si>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之香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</si>
  <si>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米酒; 威士忌; 黄酒; 露酒</t>
    </r>
  </si>
  <si>
    <r>
      <t>壮源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呈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</si>
  <si>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阳市壮源生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</si>
  <si>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柑香酒;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果酒（含酒精）</t>
    </r>
  </si>
  <si>
    <t>万相青谷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</si>
  <si>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州能才人力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</si>
  <si>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白酒; 威士忌; 葡萄酒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</si>
  <si>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盏</t>
    </r>
    <r>
      <rPr>
        <sz val="11"/>
        <color theme="1"/>
        <rFont val="ＭＳ Ｐゴシック"/>
        <family val="3"/>
        <charset val="128"/>
        <scheme val="minor"/>
      </rPr>
      <t>杯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</si>
  <si>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</si>
  <si>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打虎山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</si>
  <si>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果酒（含酒精）;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</si>
  <si>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鼎洪</t>
    </r>
  </si>
  <si>
    <r>
      <t>白酒; 露酒; 青稞酒; 葡萄酒;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</si>
  <si>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HIGHLAND VALOR</t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</si>
  <si>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</si>
  <si>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小胖</t>
    </r>
  </si>
  <si>
    <r>
      <t>蒙城</t>
    </r>
    <r>
      <rPr>
        <sz val="11"/>
        <color theme="1"/>
        <rFont val="ＭＳ Ｐゴシック"/>
        <family val="3"/>
        <charset val="134"/>
        <scheme val="minor"/>
      </rPr>
      <t>县张</t>
    </r>
    <r>
      <rPr>
        <sz val="11"/>
        <color theme="1"/>
        <rFont val="ＭＳ Ｐゴシック"/>
        <family val="3"/>
        <charset val="128"/>
        <scheme val="minor"/>
      </rPr>
      <t>小胖餐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</si>
  <si>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黄酒; 葡萄酒; 果酒; 米酒</t>
    </r>
  </si>
  <si>
    <r>
      <t>甜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一家人</t>
    </r>
  </si>
  <si>
    <t>周田利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</si>
  <si>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蜂蜜酒; 青稞酒;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</si>
  <si>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合德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，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</si>
  <si>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合德</t>
    </r>
    <r>
      <rPr>
        <sz val="11"/>
        <color theme="1"/>
        <rFont val="ＭＳ Ｐゴシック"/>
        <family val="3"/>
        <charset val="134"/>
        <scheme val="minor"/>
      </rPr>
      <t>乐电</t>
    </r>
    <r>
      <rPr>
        <sz val="11"/>
        <color theme="1"/>
        <rFont val="ＭＳ Ｐゴシック"/>
        <family val="3"/>
        <charset val="128"/>
        <scheme val="minor"/>
      </rPr>
      <t>气科技有限公司</t>
    </r>
  </si>
  <si>
    <r>
      <t>茴芹酒（利口酒）; 薄荷酒;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苦味酒; 苹果酒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</si>
  <si>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鸣</t>
    </r>
  </si>
  <si>
    <t>刘博林</t>
  </si>
  <si>
    <r>
      <t>清酒; 白酒;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果酒（含酒精）</t>
    </r>
  </si>
  <si>
    <r>
      <t>问沧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</si>
  <si>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</si>
  <si>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广知己</t>
  </si>
  <si>
    <r>
      <t>北京妙策士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筋骨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法中医研究院</t>
    </r>
  </si>
  <si>
    <r>
      <t xml:space="preserve">葡萄酒; 青稞酒;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餐后酒（利口酒和烈酒）;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</si>
  <si>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青茗入梦</t>
  </si>
  <si>
    <r>
      <t>冉子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</si>
  <si>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果酒（含酒精）;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</si>
  <si>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曲散众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</si>
  <si>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</si>
  <si>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早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考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</si>
  <si>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猗三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良田生物科技有限公司</t>
    </r>
  </si>
  <si>
    <r>
      <t>葡萄酒; 果酒（含酒精）; 米酒;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</si>
  <si>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</si>
  <si>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</si>
  <si>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从心仔</t>
  </si>
  <si>
    <r>
      <t>佛山市悦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</si>
  <si>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蜂蜜酒; 含酒精的气泡水; 朗姆酒; 果酒（含酒精）</t>
    </r>
  </si>
  <si>
    <t>台尼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</si>
  <si>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客人酒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</si>
  <si>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清酒（日本米酒）</t>
    </r>
  </si>
  <si>
    <t>懿瓶名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</si>
  <si>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</si>
  <si>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合言</t>
    </r>
  </si>
  <si>
    <r>
      <t>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葡萄酒; 白酒</t>
    </r>
  </si>
  <si>
    <t>白振</t>
  </si>
  <si>
    <t>蔡均</t>
  </si>
  <si>
    <r>
      <t xml:space="preserve">黄酒;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</si>
  <si>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</si>
  <si>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青梅酒; 清酒; 葡萄酒; 白酒</t>
    </r>
  </si>
  <si>
    <t>古易窖侠 酒</t>
  </si>
  <si>
    <r>
      <t>白酒;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葡萄酒; 果酒（含酒精）; 高粱酒</t>
    </r>
  </si>
  <si>
    <t>高原奇迹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</si>
  <si>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朗姆酒; 威士忌</t>
    </r>
  </si>
  <si>
    <t>高原勇者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</si>
  <si>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杜松子酒; 餐后酒（利口酒和烈酒）;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</si>
  <si>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t>芷淇</t>
  </si>
  <si>
    <r>
      <t>威海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柏企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</si>
  <si>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柑香酒; 蜂蜜酒;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</si>
  <si>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古萃万澧</t>
  </si>
  <si>
    <r>
      <t>古萃（古</t>
    </r>
    <r>
      <rPr>
        <sz val="11"/>
        <color theme="1"/>
        <rFont val="ＭＳ Ｐゴシック"/>
        <family val="3"/>
        <charset val="134"/>
        <scheme val="minor"/>
      </rPr>
      <t>蔺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</si>
  <si>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</t>
    </r>
  </si>
  <si>
    <r>
      <t>邦</t>
    </r>
    <r>
      <rPr>
        <sz val="11"/>
        <color theme="1"/>
        <rFont val="ＭＳ Ｐゴシック"/>
        <family val="3"/>
        <charset val="134"/>
        <scheme val="minor"/>
      </rPr>
      <t>驰</t>
    </r>
  </si>
  <si>
    <r>
      <t>湖南省邦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</si>
  <si>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汽酒; 米酒; 威士忌; 朗姆酒;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</si>
  <si>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天貂</t>
  </si>
  <si>
    <r>
      <t>刘</t>
    </r>
    <r>
      <rPr>
        <sz val="11"/>
        <color theme="1"/>
        <rFont val="ＭＳ Ｐゴシック"/>
        <family val="3"/>
        <charset val="134"/>
        <scheme val="minor"/>
      </rPr>
      <t>贤凤</t>
    </r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</si>
  <si>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葡萄酒;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</si>
  <si>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龙凤鹰</t>
  </si>
  <si>
    <r>
      <t>上海沪穗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</si>
  <si>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食用酒精;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葡萄酒</t>
    </r>
  </si>
  <si>
    <t>如命</t>
  </si>
  <si>
    <r>
      <t xml:space="preserve">米酒; 黄酒; 威士忌; 果酒（含酒精）; 葡萄酒;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</si>
  <si>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厚士</t>
  </si>
  <si>
    <r>
      <t>黄酒; 白酒;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</si>
  <si>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御候</t>
    </r>
    <r>
      <rPr>
        <sz val="11"/>
        <color theme="1"/>
        <rFont val="ＭＳ Ｐゴシック"/>
        <family val="3"/>
        <charset val="134"/>
        <scheme val="minor"/>
      </rPr>
      <t>唤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</si>
  <si>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</si>
  <si>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元气游</t>
  </si>
  <si>
    <t>刘午教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</si>
  <si>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开胃酒;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白酒</t>
    </r>
  </si>
  <si>
    <t>画梅</t>
  </si>
  <si>
    <r>
      <t>果酒（含酒精）; 葡萄酒; 威士忌; 餐后酒（利口酒和烈酒）;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青梅酒;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</si>
  <si>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杞聚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下</t>
    </r>
  </si>
  <si>
    <r>
      <t>青海御杞堂生物科技有限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</si>
  <si>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</si>
  <si>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迎宴卿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</si>
  <si>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</si>
  <si>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贵凤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</si>
  <si>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</si>
  <si>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刘小米</t>
  </si>
  <si>
    <t>刘海燕</t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</si>
  <si>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</si>
  <si>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喜人虎</t>
  </si>
  <si>
    <t>石喜亮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</si>
  <si>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</si>
  <si>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r>
      <t>ZOOVANA 祖瓦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</si>
  <si>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文霞</t>
    </r>
  </si>
  <si>
    <t>無し</t>
  </si>
  <si>
    <r>
      <t>野</t>
    </r>
    <r>
      <rPr>
        <sz val="11"/>
        <color theme="1"/>
        <rFont val="ＭＳ Ｐゴシック"/>
        <family val="3"/>
        <charset val="134"/>
        <scheme val="minor"/>
      </rPr>
      <t>马尘</t>
    </r>
    <r>
      <rPr>
        <sz val="11"/>
        <color theme="1"/>
        <rFont val="ＭＳ Ｐゴシック"/>
        <family val="3"/>
        <charset val="128"/>
        <scheme val="minor"/>
      </rPr>
      <t>埃</t>
    </r>
  </si>
  <si>
    <r>
      <t xml:space="preserve">露酒;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米酒; 果酒（含酒精）; 葡萄酒</t>
    </r>
  </si>
  <si>
    <r>
      <t>智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钰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</si>
  <si>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州智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钰电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</si>
  <si>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</si>
  <si>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山行</t>
    </r>
    <r>
      <rPr>
        <sz val="11"/>
        <color theme="1"/>
        <rFont val="ＭＳ Ｐゴシック"/>
        <family val="3"/>
        <charset val="134"/>
        <scheme val="minor"/>
      </rPr>
      <t>渐</t>
    </r>
  </si>
  <si>
    <r>
      <t>清酒; 水果汽酒; 露酒; 黄酒; 梅酒; 果酒; 青梅酒;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</si>
  <si>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萨师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</si>
  <si>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萨师</t>
    </r>
    <r>
      <rPr>
        <sz val="11"/>
        <color theme="1"/>
        <rFont val="ＭＳ Ｐゴシック"/>
        <family val="3"/>
        <charset val="128"/>
        <scheme val="minor"/>
      </rPr>
      <t>傅食品有限公司</t>
    </r>
  </si>
  <si>
    <r>
      <t>汽酒; 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</si>
  <si>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瑞王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</si>
  <si>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 xml:space="preserve">白酒; 烈酒; 开胃酒;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</si>
  <si>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稻都陶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</si>
  <si>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甜酒; 葡萄酒; 果酒（含酒精）</t>
    </r>
  </si>
  <si>
    <t>平段王</t>
  </si>
  <si>
    <r>
      <t>闫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</si>
  <si>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</si>
  <si>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造养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</si>
  <si>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</si>
  <si>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蜂蜜酒;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白酒</t>
    </r>
  </si>
  <si>
    <t>唐承影</t>
  </si>
  <si>
    <t>王启江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</si>
  <si>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</si>
  <si>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仟宏潭</t>
  </si>
  <si>
    <r>
      <t>河南国臻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</si>
  <si>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食用酒精; 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</si>
  <si>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</si>
  <si>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成都零食有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</si>
  <si>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清酒（日本米酒）; 青稞酒;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</si>
  <si>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逸味老</t>
  </si>
  <si>
    <r>
      <t>雷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</si>
  <si>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米酒; 开胃酒;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</t>
    </r>
  </si>
  <si>
    <t>棠公子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</si>
  <si>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棠公子食品有限公司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</si>
  <si>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梨酒; 米酒; 薄荷酒;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</t>
    </r>
  </si>
  <si>
    <r>
      <t>苦旅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</si>
  <si>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混合威士忌酒;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</si>
  <si>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云脉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</si>
  <si>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州省无量山酒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</si>
  <si>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薄荷酒;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</si>
  <si>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t>石砬子</t>
  </si>
  <si>
    <r>
      <t>孙</t>
    </r>
    <r>
      <rPr>
        <sz val="11"/>
        <color theme="1"/>
        <rFont val="ＭＳ Ｐゴシック"/>
        <family val="3"/>
        <charset val="128"/>
        <scheme val="minor"/>
      </rPr>
      <t>国鑫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</si>
  <si>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白酒</t>
    </r>
  </si>
  <si>
    <t>卓元</t>
  </si>
  <si>
    <r>
      <t>河南卓元航空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力系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</si>
  <si>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高粱酒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</si>
  <si>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少侠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</si>
  <si>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</si>
  <si>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繁山</t>
  </si>
  <si>
    <r>
      <t>露酒;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威士忌; 米酒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</si>
  <si>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初</t>
    </r>
  </si>
  <si>
    <r>
      <t xml:space="preserve">露酒; 青稞酒; 米酒; 葡萄酒; 威士忌; 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</si>
  <si>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9"/>
        <scheme val="minor"/>
      </rPr>
      <t>熵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</si>
  <si>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龙</t>
    </r>
    <r>
      <rPr>
        <sz val="11"/>
        <color theme="1"/>
        <rFont val="ＭＳ Ｐゴシック"/>
        <family val="3"/>
        <charset val="129"/>
        <scheme val="minor"/>
      </rPr>
      <t>熵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元（深圳）文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</si>
  <si>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</si>
  <si>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小森</t>
    </r>
  </si>
  <si>
    <r>
      <t>北京酒</t>
    </r>
    <r>
      <rPr>
        <sz val="11"/>
        <color theme="1"/>
        <rFont val="ＭＳ Ｐゴシック"/>
        <family val="3"/>
        <charset val="134"/>
        <scheme val="minor"/>
      </rPr>
      <t>窝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</si>
  <si>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青稞酒; 葡萄酒</t>
    </r>
  </si>
  <si>
    <t>越山峰</t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</si>
  <si>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</si>
  <si>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焰福馨</t>
  </si>
  <si>
    <r>
      <t>四川省高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燃气研究院有限公司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</si>
  <si>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</si>
  <si>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恋城恋酒</t>
  </si>
  <si>
    <r>
      <t>姚艮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</si>
  <si>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威士忌; 黄酒</t>
    </r>
  </si>
  <si>
    <t>东电</t>
  </si>
  <si>
    <r>
      <t>北京光</t>
    </r>
    <r>
      <rPr>
        <sz val="11"/>
        <color theme="1"/>
        <rFont val="ＭＳ Ｐゴシック"/>
        <family val="3"/>
        <charset val="134"/>
        <scheme val="minor"/>
      </rPr>
      <t>华鸿</t>
    </r>
    <r>
      <rPr>
        <sz val="11"/>
        <color theme="1"/>
        <rFont val="ＭＳ Ｐゴシック"/>
        <family val="3"/>
        <charset val="128"/>
        <scheme val="minor"/>
      </rPr>
      <t>智科技有限公司</t>
    </r>
  </si>
  <si>
    <r>
      <t xml:space="preserve">果酒（含酒精）; 黄酒;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</si>
  <si>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五千集</t>
  </si>
  <si>
    <r>
      <t>四川御医世家科技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</si>
  <si>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青稞酒; 白酒; 薄荷酒;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茴香酒（利口酒）</t>
    </r>
  </si>
  <si>
    <r>
      <t>春秋江山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</si>
  <si>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烈酒; 清酒; 白干酒（中国白酒）;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</si>
  <si>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之老</t>
    </r>
  </si>
  <si>
    <r>
      <t>四川善道明德企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</si>
  <si>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</si>
  <si>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李盅仙</t>
  </si>
  <si>
    <t>田留洋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</si>
  <si>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</si>
  <si>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楚国珍宝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</si>
  <si>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不焦</t>
    </r>
    <r>
      <rPr>
        <sz val="11"/>
        <color theme="1"/>
        <rFont val="ＭＳ Ｐゴシック"/>
        <family val="3"/>
        <charset val="134"/>
        <scheme val="minor"/>
      </rPr>
      <t>虑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</si>
  <si>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</t>
    </r>
  </si>
  <si>
    <r>
      <t>瑰</t>
    </r>
    <r>
      <rPr>
        <sz val="11"/>
        <color theme="1"/>
        <rFont val="ＭＳ Ｐゴシック"/>
        <family val="3"/>
        <charset val="134"/>
        <scheme val="minor"/>
      </rPr>
      <t>迈</t>
    </r>
  </si>
  <si>
    <r>
      <t>四川梵拉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</si>
  <si>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</t>
    </r>
  </si>
  <si>
    <t>YOMOOBOWL</t>
  </si>
  <si>
    <t>刘冲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</si>
  <si>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</si>
  <si>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荷</t>
    </r>
    <r>
      <rPr>
        <sz val="11"/>
        <color theme="1"/>
        <rFont val="ＭＳ Ｐゴシック"/>
        <family val="3"/>
        <charset val="134"/>
        <scheme val="minor"/>
      </rPr>
      <t>员</t>
    </r>
  </si>
  <si>
    <t>丘北味之丘食品有限公司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</si>
  <si>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露酒; 白干酒（中国白酒）; 高粱酒; 米酒; 白酒; 松叶酒; 果酒（含酒精）</t>
    </r>
  </si>
  <si>
    <r>
      <t>FUGGI 芙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琪</t>
    </r>
  </si>
  <si>
    <r>
      <t>上海漾叶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</si>
  <si>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酸酒（低等葡萄酒）; 米酒;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苹果酒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</si>
  <si>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卢顿顿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</si>
  <si>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珍有味品牌管理有限公司</t>
    </r>
  </si>
  <si>
    <r>
      <t xml:space="preserve">朗姆酒; 伏特加酒;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果酒（含酒精）; 米酒;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</si>
  <si>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邓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</si>
  <si>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声彩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</si>
  <si>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米酒; 蜂蜜酒;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葡萄酒</t>
    </r>
  </si>
  <si>
    <r>
      <t>老七家塘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</si>
  <si>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蒋建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</si>
  <si>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汽酒; 米酒; 果酒（含酒精）; 黄酒; 葡萄酒; 食用酒精</t>
    </r>
  </si>
  <si>
    <r>
      <t>豪掌</t>
    </r>
    <r>
      <rPr>
        <sz val="11"/>
        <color theme="1"/>
        <rFont val="ＭＳ Ｐゴシック"/>
        <family val="3"/>
        <charset val="134"/>
        <scheme val="minor"/>
      </rPr>
      <t>门</t>
    </r>
  </si>
  <si>
    <t>崔梦雅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</si>
  <si>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葡萄酒; 黄酒; 威士忌; 开胃酒; 白酒;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</si>
  <si>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山粮淡雅</t>
  </si>
  <si>
    <r>
      <t>新疆山粮糜子酒有限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</si>
  <si>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</si>
  <si>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t>山粮清韵</t>
  </si>
  <si>
    <r>
      <t>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</si>
  <si>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宴嬉亭池</t>
  </si>
  <si>
    <t>董冬冬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</si>
  <si>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烈酒; 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</si>
  <si>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t>小雪大雪</t>
  </si>
  <si>
    <r>
      <t>纶</t>
    </r>
    <r>
      <rPr>
        <sz val="11"/>
        <color theme="1"/>
        <rFont val="ＭＳ Ｐゴシック"/>
        <family val="3"/>
        <charset val="128"/>
        <scheme val="minor"/>
      </rPr>
      <t>昌公司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</si>
  <si>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白酒; 果酒（含酒精）; 伏特加酒; 黄酒; 清酒（日本米酒）; 葡萄酒; 朗姆酒; 米酒</t>
    </r>
  </si>
  <si>
    <t>五父匠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</si>
  <si>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梨酒; 烈酒; 青稞酒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</si>
  <si>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高氏</t>
    </r>
  </si>
  <si>
    <r>
      <t>孟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</si>
  <si>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黄酒; 果酒（含酒精）; 露酒; 伏特加酒; 白酒; 威士忌</t>
    </r>
  </si>
  <si>
    <t>徐小礼</t>
  </si>
  <si>
    <r>
      <t>吉林省福到白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</si>
  <si>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开胃酒; 薄荷酒;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</si>
  <si>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众匠成樽</t>
  </si>
  <si>
    <r>
      <t>苏长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</si>
  <si>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</si>
  <si>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清酒（日本米酒）</t>
    </r>
  </si>
  <si>
    <t>爆火豹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</si>
  <si>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梦一酒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</si>
  <si>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</si>
  <si>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斯盛九天</t>
  </si>
  <si>
    <r>
      <t>香港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泰国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</si>
  <si>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</t>
    </r>
  </si>
  <si>
    <t>天朝今典</t>
  </si>
  <si>
    <r>
      <t>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</si>
  <si>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t>海宴台</t>
  </si>
  <si>
    <t>徐海翔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</si>
  <si>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</si>
  <si>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t>年台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</si>
  <si>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素酒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</si>
  <si>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青稞酒; 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</si>
  <si>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年台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</si>
  <si>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</si>
  <si>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零数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</si>
  <si>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米酒;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</si>
  <si>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维阙</t>
    </r>
    <r>
      <rPr>
        <sz val="11"/>
        <color theme="1"/>
        <rFont val="ＭＳ Ｐゴシック"/>
        <family val="3"/>
        <charset val="128"/>
        <scheme val="minor"/>
      </rPr>
      <t>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</si>
  <si>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清酒（日本米酒）; 葡萄酒;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</si>
  <si>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唐梵登</t>
  </si>
  <si>
    <r>
      <t>杨</t>
    </r>
    <r>
      <rPr>
        <sz val="11"/>
        <color theme="1"/>
        <rFont val="ＭＳ Ｐゴシック"/>
        <family val="3"/>
        <charset val="128"/>
        <scheme val="minor"/>
      </rPr>
      <t>成保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</si>
  <si>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烈酒; 葡萄酒</t>
    </r>
  </si>
  <si>
    <t>金花养知己</t>
  </si>
  <si>
    <r>
      <t>福建金花养酒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</si>
  <si>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苹果酒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</si>
  <si>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岚见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</si>
  <si>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元本心健康科技有限公司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</si>
  <si>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露酒; 汽酒; 葡萄酒; 果酒（含酒精）; 米酒; 高粱酒; 白酒; 蜂蜜酒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</si>
  <si>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鹑</t>
    </r>
    <r>
      <rPr>
        <sz val="11"/>
        <color theme="1"/>
        <rFont val="ＭＳ Ｐゴシック"/>
        <family val="3"/>
        <charset val="128"/>
        <scheme val="minor"/>
      </rPr>
      <t>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</si>
  <si>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</si>
  <si>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牛九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</si>
  <si>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周口市开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区芒果企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询经营</t>
    </r>
    <r>
      <rPr>
        <sz val="11"/>
        <color theme="1"/>
        <rFont val="ＭＳ Ｐゴシック"/>
        <family val="3"/>
        <charset val="128"/>
        <scheme val="minor"/>
      </rPr>
      <t>部(个体工商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</si>
  <si>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</si>
  <si>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t>渊源台</t>
  </si>
  <si>
    <r>
      <t>范</t>
    </r>
    <r>
      <rPr>
        <sz val="11"/>
        <color theme="1"/>
        <rFont val="ＭＳ Ｐゴシック"/>
        <family val="3"/>
        <charset val="134"/>
        <scheme val="minor"/>
      </rPr>
      <t>艳伟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</si>
  <si>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</si>
  <si>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BRITANO</t>
  </si>
  <si>
    <r>
      <t>印度食品和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</si>
  <si>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白酒; 果酒(含酒精); 米酒; 葡萄酒;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</si>
  <si>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臻古福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</si>
  <si>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</si>
  <si>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皓天祥</t>
  </si>
  <si>
    <t>刘皓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</si>
  <si>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白酒; 蜂蜜酒; 米酒; 黄酒; 开胃酒; 葡萄酒</t>
    </r>
  </si>
  <si>
    <t>九千祥印</t>
  </si>
  <si>
    <r>
      <t>张</t>
    </r>
    <r>
      <rPr>
        <sz val="11"/>
        <color theme="1"/>
        <rFont val="ＭＳ Ｐゴシック"/>
        <family val="3"/>
        <charset val="128"/>
        <scheme val="minor"/>
      </rPr>
      <t>星雷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</si>
  <si>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</si>
  <si>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渡半生</t>
  </si>
  <si>
    <r>
      <t>赵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</si>
  <si>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威士忌; 果酒; 白酒</t>
    </r>
  </si>
  <si>
    <t>李稻仙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</si>
  <si>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</si>
  <si>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立鑫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</si>
  <si>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州立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</si>
  <si>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果酒（含酒精）</t>
    </r>
  </si>
  <si>
    <t>小白者</t>
  </si>
  <si>
    <r>
      <t>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</si>
  <si>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林措</t>
    </r>
  </si>
  <si>
    <r>
      <t>杨绍</t>
    </r>
    <r>
      <rPr>
        <sz val="11"/>
        <color theme="1"/>
        <rFont val="ＭＳ Ｐゴシック"/>
        <family val="3"/>
        <charset val="128"/>
        <scheme val="minor"/>
      </rPr>
      <t>彪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</si>
  <si>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</si>
  <si>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两潭一匠</t>
  </si>
  <si>
    <t>余延富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</si>
  <si>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</si>
  <si>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r>
      <t>绿芜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</si>
  <si>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惠州市惠城区裕达金惠源百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</si>
  <si>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</si>
  <si>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内特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</si>
  <si>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麦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</si>
  <si>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 xml:space="preserve">黄酒; 朗姆酒;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伏特加酒</t>
    </r>
  </si>
  <si>
    <t>橄悠</t>
  </si>
  <si>
    <t>云南宝叶科技有限公司</t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</si>
  <si>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米酒</t>
    </r>
  </si>
  <si>
    <t>墨邶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</si>
  <si>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岛凤</t>
    </r>
    <r>
      <rPr>
        <sz val="11"/>
        <color theme="1"/>
        <rFont val="ＭＳ Ｐゴシック"/>
        <family val="3"/>
        <charset val="128"/>
        <scheme val="minor"/>
      </rPr>
      <t>翾珠宝有限公司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</si>
  <si>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苦味酒; 白酒; 米酒; 食用酒精; 青稞酒;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开胃酒</t>
    </r>
  </si>
  <si>
    <t>黄昏作</t>
  </si>
  <si>
    <r>
      <t>葡萄酒; 威士忌;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</si>
  <si>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白隍台</t>
  </si>
  <si>
    <r>
      <t>胡向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</si>
  <si>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</t>
    </r>
  </si>
  <si>
    <t>唯缺九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</si>
  <si>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果酒（含酒精）;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</si>
  <si>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r>
      <t>莹</t>
    </r>
    <r>
      <rPr>
        <sz val="11"/>
        <color theme="1"/>
        <rFont val="ＭＳ Ｐゴシック"/>
        <family val="3"/>
        <charset val="128"/>
        <scheme val="minor"/>
      </rPr>
      <t>毓</t>
    </r>
  </si>
  <si>
    <r>
      <t xml:space="preserve">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汽酒; 青稞酒</t>
    </r>
  </si>
  <si>
    <t>LAOZIDUZUI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</si>
  <si>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州点众文化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</si>
  <si>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烈性干酒; 伏特加酒; 米酒;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白干酒（中国白酒）; 白酒</t>
    </r>
  </si>
  <si>
    <t>台</t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</si>
  <si>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</t>
    </r>
  </si>
  <si>
    <r>
      <t>正阳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</si>
  <si>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食用酒精; 白酒</t>
    </r>
  </si>
  <si>
    <t>搏克兄弟</t>
  </si>
  <si>
    <r>
      <t>刘志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</si>
  <si>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</si>
  <si>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</si>
  <si>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享听</t>
  </si>
  <si>
    <r>
      <t>景金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</si>
  <si>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甜酒; 清酒; 葡萄酒; 米酒; 食用酒精;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汽酒</t>
    </r>
  </si>
  <si>
    <t>八代同堂</t>
  </si>
  <si>
    <r>
      <t>张晓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</si>
  <si>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白酒; 清酒（日本米酒）;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</si>
  <si>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草禾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素</t>
    </r>
  </si>
  <si>
    <r>
      <t>御露堂生物科技(沭阳)有限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</si>
  <si>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蜂蜜酒; 米酒;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</si>
  <si>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韵梦露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</si>
  <si>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爱军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</si>
  <si>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</si>
  <si>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春江夜</t>
  </si>
  <si>
    <t>田浪</t>
  </si>
  <si>
    <r>
      <t>白酒; 米酒;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</si>
  <si>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生命之初</t>
  </si>
  <si>
    <r>
      <t>应</t>
    </r>
    <r>
      <rPr>
        <sz val="11"/>
        <color theme="1"/>
        <rFont val="ＭＳ Ｐゴシック"/>
        <family val="3"/>
        <charset val="128"/>
        <scheme val="minor"/>
      </rPr>
      <t>珠珠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</si>
  <si>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甜酒;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白酒; 米酒; 葡萄酒; 果酒(含酒精);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</si>
  <si>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今滋花海</t>
  </si>
  <si>
    <r>
      <t>上蔡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今泰元健康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</si>
  <si>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烈酒; 果酒;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</si>
  <si>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古唐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</si>
  <si>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</si>
  <si>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邱氏美</t>
  </si>
  <si>
    <r>
      <t>米酒; 汽酒; 白酒; 露酒;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</si>
  <si>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奉天恩邦</t>
  </si>
  <si>
    <r>
      <t>蔡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</si>
  <si>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果酒（含酒精）</t>
    </r>
  </si>
  <si>
    <t>悠倍康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</si>
  <si>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南芯医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</si>
  <si>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薄荷酒;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</si>
  <si>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黔榜圣享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</si>
  <si>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州八百科技有限公司</t>
    </r>
  </si>
  <si>
    <r>
      <t xml:space="preserve">果酒（含酒精）; 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</si>
  <si>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李渡古窖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</si>
  <si>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</si>
  <si>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t>裁物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</si>
  <si>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西宝藏珍多商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</si>
  <si>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汽酒; 清酒;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</si>
  <si>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曼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</si>
  <si>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谌远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</si>
  <si>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清酒;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</si>
  <si>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</si>
  <si>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开封尚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达食品有限公司</t>
    </r>
  </si>
  <si>
    <r>
      <t>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汽酒</t>
    </r>
  </si>
  <si>
    <t>惠梵蒂 FUNHUNTY</t>
  </si>
  <si>
    <r>
      <t>深圳市百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</si>
  <si>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伏特加酒; 黄酒; 葡萄酒;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</si>
  <si>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英勇者</t>
  </si>
  <si>
    <r>
      <t>果酒（含酒精）;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</si>
  <si>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葡萄酒;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</si>
  <si>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今醉匠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</si>
  <si>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米酒; 葡萄酒</t>
    </r>
  </si>
  <si>
    <t>花芝喜物</t>
  </si>
  <si>
    <r>
      <t>佛山市禅城区启园装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材料商行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</si>
  <si>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米酒; 朗姆酒; 威士忌</t>
    </r>
  </si>
  <si>
    <t>葛森新谷</t>
  </si>
  <si>
    <r>
      <t>北京葛森新谷生物科技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</si>
  <si>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</si>
  <si>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</si>
  <si>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宏博</t>
    </r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</si>
  <si>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果酒</t>
    </r>
  </si>
  <si>
    <t>京王二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</si>
  <si>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甜酒;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高粱酒; 葡萄酒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</si>
  <si>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岳淳</t>
    </r>
  </si>
  <si>
    <r>
      <t>王明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</si>
  <si>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</si>
  <si>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首昆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</si>
  <si>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高粱酒; 甜酒; 果酒（含酒精）; 果酒; 食用酒精; 葡萄酒</t>
    </r>
  </si>
  <si>
    <r>
      <t>拾光半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</si>
  <si>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四川故山</t>
    </r>
    <r>
      <rPr>
        <sz val="11"/>
        <color theme="1"/>
        <rFont val="ＭＳ Ｐゴシック"/>
        <family val="3"/>
        <charset val="134"/>
        <scheme val="minor"/>
      </rPr>
      <t>谣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</si>
  <si>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果酒（含酒精）; 苹果酒;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</si>
  <si>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嘉米鹿 JIAMI DEER</t>
  </si>
  <si>
    <t>陈刚</t>
  </si>
  <si>
    <r>
      <t xml:space="preserve">水果汽酒; 食用酒精;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葡萄酒; 果酒（含酒精）;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</si>
  <si>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十二堂</t>
    </r>
  </si>
  <si>
    <r>
      <t>杭州十二堂企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</si>
  <si>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食用酒精; 黄酒;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</si>
  <si>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雄泱酒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</si>
  <si>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白酒; 威士忌;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</si>
  <si>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中原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</si>
  <si>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秀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</si>
  <si>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</si>
  <si>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江峻花山</t>
  </si>
  <si>
    <t>楚石秀</t>
  </si>
  <si>
    <r>
      <t>食用酒精;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杜松子酒; 果酒; 葡萄酒</t>
    </r>
  </si>
  <si>
    <r>
      <t>岳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淳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</si>
  <si>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米酒;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</si>
  <si>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星漾</t>
  </si>
  <si>
    <r>
      <t>衡水初一商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</si>
  <si>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葡萄酒;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威士忌</t>
    </r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</si>
  <si>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石企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</si>
  <si>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</si>
  <si>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蒙村秀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</si>
  <si>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州肆山文化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</si>
  <si>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果酒（含酒精）; 梅酒; 高粱酒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</si>
  <si>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</si>
  <si>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 xml:space="preserve">果酒（含酒精）; 白酒; 葡萄酒; 清酒（日本米酒）; 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汽酒; 米酒</t>
    </r>
  </si>
  <si>
    <t>梦半生</t>
  </si>
  <si>
    <r>
      <t xml:space="preserve">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</si>
  <si>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骑罗剑</t>
  </si>
  <si>
    <r>
      <t>杨</t>
    </r>
    <r>
      <rPr>
        <sz val="11"/>
        <color theme="1"/>
        <rFont val="ＭＳ Ｐゴシック"/>
        <family val="3"/>
        <charset val="128"/>
        <scheme val="minor"/>
      </rPr>
      <t>毅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</si>
  <si>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</si>
  <si>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百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</si>
  <si>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秀生</t>
    </r>
  </si>
  <si>
    <r>
      <t xml:space="preserve">白酒; 开胃酒; 葡萄酒; 果酒（含酒精）; 高粱酒; 青稞酒;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</si>
  <si>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空醉山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</si>
  <si>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</si>
  <si>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善鹿</t>
  </si>
  <si>
    <r>
      <t>马</t>
    </r>
    <r>
      <rPr>
        <sz val="11"/>
        <color theme="1"/>
        <rFont val="ＭＳ Ｐゴシック"/>
        <family val="3"/>
        <charset val="128"/>
        <scheme val="minor"/>
      </rPr>
      <t>国涛</t>
    </r>
  </si>
  <si>
    <r>
      <t>米酒; 白酒;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葡萄酒; 果酒; 清酒; 汽酒</t>
    </r>
  </si>
  <si>
    <r>
      <t>跨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</si>
  <si>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湖北零柒幺零商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</si>
  <si>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米酒; 烈酒; 青稞酒;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</si>
  <si>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戏</t>
    </r>
    <r>
      <rPr>
        <sz val="11"/>
        <color theme="1"/>
        <rFont val="ＭＳ Ｐゴシック"/>
        <family val="3"/>
        <charset val="128"/>
        <scheme val="minor"/>
      </rPr>
      <t>坡洋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</si>
  <si>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米酒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</si>
  <si>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房</t>
    </r>
  </si>
  <si>
    <t>程会娟******************</t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</si>
  <si>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果酒（含酒精）; 烈酒;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</si>
  <si>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雪梅客稼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</si>
  <si>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州百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</si>
  <si>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清酒（日本米酒）; 甜酒</t>
    </r>
  </si>
  <si>
    <r>
      <t>圣斐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一</t>
    </r>
  </si>
  <si>
    <r>
      <t>沈阳圣斐</t>
    </r>
    <r>
      <rPr>
        <sz val="11"/>
        <color theme="1"/>
        <rFont val="ＭＳ Ｐゴシック"/>
        <family val="3"/>
        <charset val="134"/>
        <scheme val="minor"/>
      </rPr>
      <t>丝饮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</si>
  <si>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</si>
  <si>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泰安市号奇商</t>
    </r>
    <r>
      <rPr>
        <sz val="11"/>
        <color theme="1"/>
        <rFont val="ＭＳ Ｐゴシック"/>
        <family val="3"/>
        <charset val="134"/>
        <scheme val="minor"/>
      </rPr>
      <t>贸经销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</si>
  <si>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果酒; 苹果酒; 白酒; 清酒;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五加皮酒（中国混合烈酒）</t>
    </r>
  </si>
  <si>
    <t>ASAS CO</t>
  </si>
  <si>
    <r>
      <t>哈桑达伍德</t>
    </r>
    <r>
      <rPr>
        <sz val="11"/>
        <color theme="1"/>
        <rFont val="ＭＳ Ｐゴシック"/>
        <family val="3"/>
        <charset val="134"/>
        <scheme val="minor"/>
      </rPr>
      <t>纳赛尔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</si>
  <si>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食用酒精; 米酒; 白酒; 薄荷酒; 威士忌</t>
    </r>
  </si>
  <si>
    <t>玉芳芬</t>
  </si>
  <si>
    <t>李文朴</t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</si>
  <si>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甜酒</t>
    </r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</si>
  <si>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天池</t>
    </r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</si>
  <si>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市天池酒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</si>
  <si>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</si>
  <si>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卡普沃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</si>
  <si>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斯拓森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</si>
  <si>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清酒; 米酒; 白干酒（中国白酒）;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</si>
  <si>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酌情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</si>
  <si>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</si>
  <si>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高粱酒;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</si>
  <si>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茗露</t>
    </r>
    <r>
      <rPr>
        <sz val="11"/>
        <color theme="1"/>
        <rFont val="ＭＳ Ｐゴシック"/>
        <family val="3"/>
        <charset val="134"/>
        <scheme val="minor"/>
      </rPr>
      <t>绀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</si>
  <si>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白酒; 苹果酒;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</si>
  <si>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</si>
  <si>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葡萄酒; 餐后酒（利口酒和烈酒）;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</si>
  <si>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云璟台</t>
  </si>
  <si>
    <r>
      <t>米酒; 餐后酒（利口酒和烈酒）; 白酒; 葡萄酒; 苹果酒;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</si>
  <si>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黔酺酒庄</t>
  </si>
  <si>
    <r>
      <t>钟</t>
    </r>
    <r>
      <rPr>
        <sz val="11"/>
        <color theme="1"/>
        <rFont val="ＭＳ Ｐゴシック"/>
        <family val="3"/>
        <charset val="128"/>
        <scheme val="minor"/>
      </rPr>
      <t>方毅</t>
    </r>
  </si>
  <si>
    <r>
      <t xml:space="preserve">清酒（日本米酒）;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</t>
    </r>
  </si>
  <si>
    <t>DIORHHA</t>
  </si>
  <si>
    <r>
      <t>绥</t>
    </r>
    <r>
      <rPr>
        <sz val="11"/>
        <color theme="1"/>
        <rFont val="ＭＳ Ｐゴシック"/>
        <family val="3"/>
        <charset val="128"/>
        <scheme val="minor"/>
      </rPr>
      <t>芬河市明都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</si>
  <si>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朗姆酒; 伏特加酒;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</si>
  <si>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渡西洲</t>
  </si>
  <si>
    <r>
      <t xml:space="preserve">白酒; 烈酒; 果酒（含酒精）; 黄酒;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</si>
  <si>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渠</t>
    </r>
  </si>
  <si>
    <r>
      <t>果酒（含酒精）;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威士忌;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</si>
  <si>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灵</t>
    </r>
    <r>
      <rPr>
        <sz val="11"/>
        <color theme="1"/>
        <rFont val="ＭＳ Ｐゴシック"/>
        <family val="3"/>
        <charset val="134"/>
        <scheme val="minor"/>
      </rPr>
      <t>动创</t>
    </r>
    <r>
      <rPr>
        <sz val="11"/>
        <color theme="1"/>
        <rFont val="ＭＳ Ｐゴシック"/>
        <family val="3"/>
        <charset val="128"/>
        <scheme val="minor"/>
      </rPr>
      <t>想食玩</t>
    </r>
  </si>
  <si>
    <r>
      <t>广州灵</t>
    </r>
    <r>
      <rPr>
        <sz val="11"/>
        <color theme="1"/>
        <rFont val="ＭＳ Ｐゴシック"/>
        <family val="3"/>
        <charset val="134"/>
        <scheme val="minor"/>
      </rPr>
      <t>动创</t>
    </r>
    <r>
      <rPr>
        <sz val="11"/>
        <color theme="1"/>
        <rFont val="ＭＳ Ｐゴシック"/>
        <family val="3"/>
        <charset val="128"/>
        <scheme val="minor"/>
      </rPr>
      <t>想文化科技有限公司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</si>
  <si>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利口酒; 米酒</t>
    </r>
  </si>
  <si>
    <t>有十二堂</t>
  </si>
  <si>
    <r>
      <t>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米酒;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</si>
  <si>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阜星</t>
    </r>
  </si>
  <si>
    <t>敬立新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</si>
  <si>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苦味酒;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</si>
  <si>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鑫稻丰</t>
  </si>
  <si>
    <r>
      <t xml:space="preserve">果酒（含酒精）; 米酒;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</si>
  <si>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抚顺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泽锋</t>
    </r>
    <r>
      <rPr>
        <sz val="11"/>
        <color theme="1"/>
        <rFont val="ＭＳ Ｐゴシック"/>
        <family val="3"/>
        <charset val="128"/>
        <scheme val="minor"/>
      </rPr>
      <t>蜜</t>
    </r>
    <r>
      <rPr>
        <sz val="11"/>
        <color theme="1"/>
        <rFont val="ＭＳ Ｐゴシック"/>
        <family val="3"/>
        <charset val="134"/>
        <scheme val="minor"/>
      </rPr>
      <t>业东</t>
    </r>
    <r>
      <rPr>
        <sz val="11"/>
        <color theme="1"/>
        <rFont val="ＭＳ Ｐゴシック"/>
        <family val="3"/>
        <charset val="128"/>
        <scheme val="minor"/>
      </rPr>
      <t>北土特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</si>
  <si>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黄酒; 米酒; 蜂蜜酒</t>
    </r>
  </si>
  <si>
    <t>瓶中酣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</si>
  <si>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甜酒; 葡萄酒; 果酒(含酒精); 米酒; 威士忌</t>
    </r>
  </si>
  <si>
    <t>南理</t>
  </si>
  <si>
    <t>南京理工大学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</si>
  <si>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</si>
  <si>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铸</t>
    </r>
    <r>
      <rPr>
        <sz val="11"/>
        <color theme="1"/>
        <rFont val="ＭＳ Ｐゴシック"/>
        <family val="3"/>
        <charset val="128"/>
        <scheme val="minor"/>
      </rPr>
      <t>王台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</si>
  <si>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璐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</si>
  <si>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高粱酒;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</si>
  <si>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那花</t>
    </r>
    <r>
      <rPr>
        <sz val="11"/>
        <color theme="1"/>
        <rFont val="ＭＳ Ｐゴシック"/>
        <family val="3"/>
        <charset val="134"/>
        <scheme val="minor"/>
      </rPr>
      <t>岛</t>
    </r>
  </si>
  <si>
    <t>曾厚里</t>
  </si>
  <si>
    <r>
      <t>果酒（含酒精）; 汽酒; 黄酒;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</si>
  <si>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鎏名一方</t>
  </si>
  <si>
    <r>
      <t>清酒（日本米酒）; 黄酒; 白酒; 威士忌;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</si>
  <si>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隐龙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</si>
  <si>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隐龙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色食品开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</si>
  <si>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蜂蜜酒;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</si>
  <si>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空</t>
    </r>
  </si>
  <si>
    <r>
      <t>郭朝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</si>
  <si>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</si>
  <si>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</si>
  <si>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石梁集</t>
    </r>
    <r>
      <rPr>
        <sz val="11"/>
        <color theme="1"/>
        <rFont val="ＭＳ Ｐゴシック"/>
        <family val="3"/>
        <charset val="134"/>
        <scheme val="minor"/>
      </rPr>
      <t>团济</t>
    </r>
    <r>
      <rPr>
        <sz val="11"/>
        <color theme="1"/>
        <rFont val="ＭＳ Ｐゴシック"/>
        <family val="3"/>
        <charset val="128"/>
        <scheme val="minor"/>
      </rPr>
      <t>公家酒坊有限公司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</si>
  <si>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</si>
  <si>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唐承</t>
    </r>
  </si>
  <si>
    <t>夏洪亮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</si>
  <si>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</si>
  <si>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王台</t>
    </r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</si>
  <si>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白酒; 果酒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</si>
  <si>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老八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</si>
  <si>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力市佳新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稻谷物种植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</si>
  <si>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米酒; 葡萄酒; 蜂蜜酒;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刺五加酒; 高粱酒</t>
    </r>
  </si>
  <si>
    <t>九探花</t>
  </si>
  <si>
    <r>
      <t>黄酒;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</si>
  <si>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t>隆虎潭</t>
  </si>
  <si>
    <r>
      <t>开胃酒;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</si>
  <si>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珍年</t>
    </r>
  </si>
  <si>
    <r>
      <t>蜂蜜酒;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</si>
  <si>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汉邓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</si>
  <si>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葡萄酒; 米酒; 青稞酒; 白酒; 蜂蜜酒;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</si>
  <si>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南窖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</si>
  <si>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天祥</t>
    </r>
  </si>
  <si>
    <r>
      <t>刺五加酒;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高粱酒;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</si>
  <si>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确臻</t>
  </si>
  <si>
    <r>
      <t>九一文化投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</si>
  <si>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果酒; 柑香酒;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</si>
  <si>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源台</t>
    </r>
  </si>
  <si>
    <t>陈锐</t>
  </si>
  <si>
    <r>
      <t xml:space="preserve">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</si>
  <si>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州魁茅酒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</si>
  <si>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苹果酒; 黄酒;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</si>
  <si>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山黔有酩</t>
  </si>
  <si>
    <r>
      <t>陈</t>
    </r>
    <r>
      <rPr>
        <sz val="11"/>
        <color theme="1"/>
        <rFont val="ＭＳ Ｐゴシック"/>
        <family val="3"/>
        <charset val="128"/>
        <scheme val="minor"/>
      </rPr>
      <t>建宇</t>
    </r>
  </si>
  <si>
    <r>
      <t>黄酒; 白酒; 清酒（日本米酒）;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</si>
  <si>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零杜</t>
  </si>
  <si>
    <t>刘伯化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</si>
  <si>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果酒（含酒精）; 米酒; 葡萄酒; 含酒精的气泡水;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</si>
  <si>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CARGL</t>
  </si>
  <si>
    <r>
      <t>卢</t>
    </r>
    <r>
      <rPr>
        <sz val="11"/>
        <color theme="1"/>
        <rFont val="ＭＳ Ｐゴシック"/>
        <family val="3"/>
        <charset val="128"/>
        <scheme val="minor"/>
      </rPr>
      <t>勇全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</si>
  <si>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</si>
  <si>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求</t>
    </r>
    <r>
      <rPr>
        <sz val="11"/>
        <color theme="1"/>
        <rFont val="ＭＳ Ｐゴシック"/>
        <family val="3"/>
        <charset val="134"/>
        <scheme val="minor"/>
      </rPr>
      <t>陈贵宾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</si>
  <si>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州官醅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</si>
  <si>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</si>
  <si>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鹰</t>
    </r>
    <r>
      <rPr>
        <sz val="11"/>
        <color theme="1"/>
        <rFont val="ＭＳ Ｐゴシック"/>
        <family val="3"/>
        <charset val="128"/>
        <scheme val="minor"/>
      </rPr>
      <t>美年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</si>
  <si>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然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</si>
  <si>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威士忌; 烈酒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</si>
  <si>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</si>
  <si>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</si>
  <si>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健森</t>
    </r>
    <r>
      <rPr>
        <sz val="11"/>
        <color theme="1"/>
        <rFont val="ＭＳ Ｐゴシック"/>
        <family val="3"/>
        <charset val="134"/>
        <scheme val="minor"/>
      </rPr>
      <t>态</t>
    </r>
  </si>
  <si>
    <t>张晓卫</t>
  </si>
  <si>
    <r>
      <t>甜酒; 米酒; 黄酒; 果酒; 白酒;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清酒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</si>
  <si>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春庭</t>
    </r>
  </si>
  <si>
    <t>方健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</si>
  <si>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米酒; 威士忌;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</si>
  <si>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山河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</si>
  <si>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</si>
  <si>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约诗</t>
    </r>
    <r>
      <rPr>
        <sz val="11"/>
        <color theme="1"/>
        <rFont val="ＭＳ Ｐゴシック"/>
        <family val="3"/>
        <charset val="128"/>
        <scheme val="minor"/>
      </rPr>
      <t>蒂</t>
    </r>
  </si>
  <si>
    <t>易武生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</si>
  <si>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</si>
  <si>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GROW FANDOR</t>
  </si>
  <si>
    <r>
      <t>成</t>
    </r>
    <r>
      <rPr>
        <sz val="11"/>
        <color theme="1"/>
        <rFont val="ＭＳ Ｐゴシック"/>
        <family val="3"/>
        <charset val="134"/>
        <scheme val="minor"/>
      </rPr>
      <t>长奋</t>
    </r>
    <r>
      <rPr>
        <sz val="11"/>
        <color theme="1"/>
        <rFont val="ＭＳ Ｐゴシック"/>
        <family val="3"/>
        <charset val="128"/>
        <scheme val="minor"/>
      </rPr>
      <t>斗者网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科技（北京）有限公司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</si>
  <si>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葡萄酒; 杜松子酒;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</t>
    </r>
  </si>
  <si>
    <t>穆十七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</si>
  <si>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宁依依生物科技有限公司</t>
    </r>
  </si>
  <si>
    <r>
      <t>葡萄酒; 薄荷酒;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朗姆酒; 果酒（含酒精）</t>
    </r>
  </si>
  <si>
    <r>
      <t>洵江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</si>
  <si>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葡萄酒; 果酒（含酒精）; 清酒（日本米酒）; 白酒; 威士忌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</si>
  <si>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君香</t>
    </r>
  </si>
  <si>
    <r>
      <t>保定戊己坊酒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</si>
  <si>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汽酒; 米酒; 清酒; 高粱酒; 果酒; 黄酒; 露酒;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</si>
  <si>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每益健</t>
  </si>
  <si>
    <r>
      <t>李小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</si>
  <si>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</si>
  <si>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愿谷</t>
    </r>
  </si>
  <si>
    <t>李皓宇</t>
  </si>
  <si>
    <r>
      <t>白酒; 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</t>
    </r>
  </si>
  <si>
    <t>杏奏</t>
  </si>
  <si>
    <r>
      <t>郭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</si>
  <si>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黄酒; 白酒; 开胃酒; 蒸煮提取物（利口酒和烈酒）</t>
    </r>
  </si>
  <si>
    <t>李国芳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</si>
  <si>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米酒; 果酒（含酒精）;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</si>
  <si>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夫 SHAUNRANFU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</si>
  <si>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</si>
  <si>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</si>
  <si>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淦达投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</si>
  <si>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清酒（日本米酒）;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</si>
  <si>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隆林峪</t>
  </si>
  <si>
    <t>朱大春（******************）</t>
  </si>
  <si>
    <r>
      <t>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</si>
  <si>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掌柜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</si>
  <si>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晴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</si>
  <si>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</si>
  <si>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世福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</si>
  <si>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黄酒; 果酒（含酒精）</t>
    </r>
  </si>
  <si>
    <t>德盛佑</t>
  </si>
  <si>
    <t>刘利霞</t>
  </si>
  <si>
    <r>
      <t>葡萄酒; 米酒; 五加皮酒（中国混合烈酒）;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柑香酒;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</si>
  <si>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酿浔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</si>
  <si>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 xml:space="preserve">清酒（日本米酒）; 威士忌; 黄酒;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</t>
    </r>
  </si>
  <si>
    <t>山川奇迹</t>
  </si>
  <si>
    <t>祁世旺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</si>
  <si>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</si>
  <si>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醉亭御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</si>
  <si>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州醉亭御酒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</si>
  <si>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高粱酒</t>
    </r>
  </si>
  <si>
    <r>
      <t>意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食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</si>
  <si>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</si>
  <si>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果酒（含酒精）; 米酒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</si>
  <si>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淦达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</si>
  <si>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</si>
  <si>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椿棠嘉年</t>
  </si>
  <si>
    <t>成都梵莫雷健康科技有限公司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</si>
  <si>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食用酒精; 清酒（日本米酒）; 青稞酒; 葡萄酒</t>
    </r>
  </si>
  <si>
    <t>豫健本草</t>
  </si>
  <si>
    <t>黄子珊</t>
  </si>
  <si>
    <r>
      <t>开胃酒;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</si>
  <si>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晨</t>
    </r>
    <r>
      <rPr>
        <sz val="11"/>
        <color theme="1"/>
        <rFont val="ＭＳ Ｐゴシック"/>
        <family val="3"/>
        <charset val="134"/>
        <scheme val="minor"/>
      </rPr>
      <t>领</t>
    </r>
  </si>
  <si>
    <r>
      <t>湖南晨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</si>
  <si>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</si>
  <si>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思情酌</t>
  </si>
  <si>
    <r>
      <t>施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</si>
  <si>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白酒; 果酒（含酒精）</t>
    </r>
  </si>
  <si>
    <t>欲放</t>
  </si>
  <si>
    <r>
      <t>时</t>
    </r>
    <r>
      <rPr>
        <sz val="11"/>
        <color theme="1"/>
        <rFont val="ＭＳ Ｐゴシック"/>
        <family val="3"/>
        <charset val="128"/>
        <scheme val="minor"/>
      </rPr>
      <t>月光</t>
    </r>
  </si>
  <si>
    <r>
      <t>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水果汽酒; 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白葡萄酒; 米酒</t>
    </r>
  </si>
  <si>
    <t>成洪亮</t>
  </si>
  <si>
    <t>深圳市成氏控股有限公司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</si>
  <si>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</t>
    </r>
  </si>
  <si>
    <r>
      <t>可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熊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</si>
  <si>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志有</t>
    </r>
  </si>
  <si>
    <r>
      <t>食用酒精; 果酒; 日式甜米酒;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</t>
    </r>
  </si>
  <si>
    <t>PROUD MARY</t>
  </si>
  <si>
    <r>
      <t>万季（杭州千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湖）威士忌酒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</si>
  <si>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</si>
  <si>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</si>
  <si>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</si>
  <si>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品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</si>
  <si>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州品</t>
    </r>
    <r>
      <rPr>
        <sz val="11"/>
        <color theme="1"/>
        <rFont val="ＭＳ Ｐゴシック"/>
        <family val="3"/>
        <charset val="134"/>
        <scheme val="minor"/>
      </rPr>
      <t>择酿</t>
    </r>
    <r>
      <rPr>
        <sz val="11"/>
        <color theme="1"/>
        <rFont val="ＭＳ Ｐゴシック"/>
        <family val="3"/>
        <charset val="128"/>
        <scheme val="minor"/>
      </rPr>
      <t>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</si>
  <si>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</t>
    </r>
  </si>
  <si>
    <t>酌小四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</si>
  <si>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高粱酒;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</si>
  <si>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禄寿双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</si>
  <si>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矿业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</si>
  <si>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</si>
  <si>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豆芽日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</si>
  <si>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泉州市浮云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</si>
  <si>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</si>
  <si>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三爵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</si>
  <si>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果酒（含酒精）; 汽酒; 甜果酒; 白酒; 葡萄酒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</si>
  <si>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涓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</si>
  <si>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米酒; 苹果酒; 果酒</t>
    </r>
  </si>
  <si>
    <t>久久双将</t>
  </si>
  <si>
    <r>
      <t>上海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久科技有限公司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</si>
  <si>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清酒（日本米酒）; 威士忌</t>
    </r>
  </si>
  <si>
    <r>
      <t>正心聚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</si>
  <si>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娅飞</t>
    </r>
  </si>
  <si>
    <r>
      <t xml:space="preserve">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苹果酒; 烈酒; 葡萄酒; 开胃酒; 白酒</t>
    </r>
  </si>
  <si>
    <r>
      <t>中酉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</si>
  <si>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果酒（含酒精）; 葡萄酒; 黄酒; 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</si>
  <si>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一品天下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</si>
  <si>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严钢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</si>
  <si>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米酒; 果酒;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葡萄酒; 白酒</t>
    </r>
  </si>
  <si>
    <r>
      <t>悦黔</t>
    </r>
    <r>
      <rPr>
        <sz val="11"/>
        <color theme="1"/>
        <rFont val="ＭＳ Ｐゴシック"/>
        <family val="3"/>
        <charset val="134"/>
        <scheme val="minor"/>
      </rPr>
      <t>罗</t>
    </r>
  </si>
  <si>
    <t>范姣</t>
  </si>
  <si>
    <r>
      <t>白酒;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黄酒</t>
    </r>
  </si>
  <si>
    <t>酣友佬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</si>
  <si>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市赤中酒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</si>
  <si>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烈酒; 清酒;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</si>
  <si>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春盾</t>
  </si>
  <si>
    <r>
      <t>中商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</si>
  <si>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烈性干酒;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</t>
    </r>
  </si>
  <si>
    <t>TXSH</t>
  </si>
  <si>
    <r>
      <t>福建方便之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</si>
  <si>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</si>
  <si>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尊御皇家</t>
  </si>
  <si>
    <t>戴楠欣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</si>
  <si>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含酒精的气泡水;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</si>
  <si>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岛爱</t>
    </r>
    <r>
      <rPr>
        <sz val="11"/>
        <color theme="1"/>
        <rFont val="ＭＳ Ｐゴシック"/>
        <family val="3"/>
        <charset val="128"/>
        <scheme val="minor"/>
      </rPr>
      <t>力因中医康养有限公司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</si>
  <si>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</si>
  <si>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竹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清梅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</si>
  <si>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清梅生物科技有限公司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</si>
  <si>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米酒;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</si>
  <si>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全谷王</t>
  </si>
  <si>
    <r>
      <t>亳州淮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</si>
  <si>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蒸煮提取物(利口酒和烈酒); 威士忌; 果酒(含酒精); 朗姆酒(酒精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食用酒精;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</t>
    </r>
  </si>
  <si>
    <r>
      <t>宜春市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</si>
  <si>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葡萄酒; 果酒; 清酒;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米酒</t>
    </r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</si>
  <si>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德区清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园博物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</si>
  <si>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葡萄酒;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含酒精的气泡水</t>
    </r>
  </si>
  <si>
    <t>臻蓉壮</t>
  </si>
  <si>
    <r>
      <t>内蒙古胡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姐妹科技研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</si>
  <si>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白酒; 高粱酒;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露酒; 清酒; 米酒</t>
    </r>
  </si>
  <si>
    <t>北江韶粮液</t>
  </si>
  <si>
    <t>廖恒求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</si>
  <si>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</t>
    </r>
  </si>
  <si>
    <t>北漠雪</t>
  </si>
  <si>
    <r>
      <t>赵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</si>
  <si>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开胃酒; 清酒（日本米酒）; 威士忌; 黄酒</t>
    </r>
  </si>
  <si>
    <r>
      <t>卧</t>
    </r>
    <r>
      <rPr>
        <sz val="11"/>
        <color theme="1"/>
        <rFont val="ＭＳ Ｐゴシック"/>
        <family val="3"/>
        <charset val="134"/>
        <scheme val="minor"/>
      </rPr>
      <t>泷</t>
    </r>
    <r>
      <rPr>
        <sz val="11"/>
        <color theme="1"/>
        <rFont val="ＭＳ Ｐゴシック"/>
        <family val="3"/>
        <charset val="128"/>
        <scheme val="minor"/>
      </rPr>
      <t>渊</t>
    </r>
  </si>
  <si>
    <r>
      <t>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</si>
  <si>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两湘水</t>
  </si>
  <si>
    <r>
      <t>清酒（日本米酒）; 果酒; 白酒;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</si>
  <si>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小梅笑</t>
  </si>
  <si>
    <r>
      <t>谢选</t>
    </r>
    <r>
      <rPr>
        <sz val="11"/>
        <color theme="1"/>
        <rFont val="ＭＳ Ｐゴシック"/>
        <family val="3"/>
        <charset val="128"/>
        <scheme val="minor"/>
      </rPr>
      <t>朝</t>
    </r>
  </si>
  <si>
    <r>
      <t xml:space="preserve">黄酒; 清酒（日本米酒）; 威士忌; 米酒; 果酒（含酒精）; 白酒;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</si>
  <si>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相会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</si>
  <si>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葡萄酒; 甜果酒;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</si>
  <si>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京启航</t>
  </si>
  <si>
    <r>
      <t>北京德沁源商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</si>
  <si>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甜果酒; 麦芽威士忌; 米酒; 白酒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</si>
  <si>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无双</t>
    </r>
  </si>
  <si>
    <t>李可童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</si>
  <si>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清酒（日本米酒）; 威士忌; 果酒; 黄酒</t>
    </r>
  </si>
  <si>
    <t>宗彦公</t>
  </si>
  <si>
    <r>
      <t>湖南秦窖酒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</si>
  <si>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清酒（日本米酒）;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</si>
  <si>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福里</t>
    </r>
  </si>
  <si>
    <t>周建涛</t>
  </si>
  <si>
    <r>
      <t>黄酒; 露酒;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</si>
  <si>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鋂可旺</t>
  </si>
  <si>
    <r>
      <t>禹城融科生物</t>
    </r>
    <r>
      <rPr>
        <sz val="11"/>
        <color theme="1"/>
        <rFont val="ＭＳ Ｐゴシック"/>
        <family val="3"/>
        <charset val="134"/>
        <scheme val="minor"/>
      </rPr>
      <t>酶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</si>
  <si>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</si>
  <si>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KPACOTA N APOMAT</t>
  </si>
  <si>
    <t>易梦祥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</si>
  <si>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</si>
  <si>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十二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辰</t>
    </r>
  </si>
  <si>
    <r>
      <t>刘美</t>
    </r>
    <r>
      <rPr>
        <sz val="11"/>
        <color theme="1"/>
        <rFont val="ＭＳ Ｐゴシック"/>
        <family val="3"/>
        <charset val="134"/>
        <scheme val="minor"/>
      </rPr>
      <t>红</t>
    </r>
  </si>
  <si>
    <t>开胃酒; 葡萄酒; 黄酒; 白酒; 清酒; 甜酒; 米酒; 食用酒精; 果酒; 汽酒</t>
  </si>
  <si>
    <r>
      <t>怀</t>
    </r>
    <r>
      <rPr>
        <sz val="11"/>
        <color theme="1"/>
        <rFont val="ＭＳ Ｐゴシック"/>
        <family val="3"/>
        <charset val="134"/>
        <scheme val="minor"/>
      </rPr>
      <t>责</t>
    </r>
  </si>
  <si>
    <r>
      <t>高粱酒;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烈酒; 露酒; 青稞酒; 白酒; 果酒</t>
    </r>
  </si>
  <si>
    <t>福洞酒海</t>
  </si>
  <si>
    <t>王照柱</t>
  </si>
  <si>
    <r>
      <t xml:space="preserve">米酒; 白酒; 汽酒;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</t>
    </r>
  </si>
  <si>
    <r>
      <t>寅</t>
    </r>
    <r>
      <rPr>
        <sz val="11"/>
        <color theme="1"/>
        <rFont val="ＭＳ Ｐゴシック"/>
        <family val="3"/>
        <charset val="134"/>
        <scheme val="minor"/>
      </rPr>
      <t>酿纪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</si>
  <si>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黄酒</t>
    </r>
  </si>
  <si>
    <t>S. OSVALDO</t>
  </si>
  <si>
    <r>
      <t>蒙特</t>
    </r>
    <r>
      <rPr>
        <sz val="11"/>
        <color theme="1"/>
        <rFont val="ＭＳ Ｐゴシック"/>
        <family val="3"/>
        <charset val="134"/>
        <scheme val="minor"/>
      </rPr>
      <t>尔维</t>
    </r>
    <r>
      <rPr>
        <sz val="11"/>
        <color theme="1"/>
        <rFont val="ＭＳ Ｐゴシック"/>
        <family val="3"/>
        <charset val="128"/>
        <scheme val="minor"/>
      </rPr>
      <t>尼有限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</si>
  <si>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起泡白葡萄酒; 烈酒;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</si>
  <si>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仙王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</si>
  <si>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江添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</si>
  <si>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葡萄酒;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</si>
  <si>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久久山川</t>
  </si>
  <si>
    <r>
      <t>薄荷酒; 威士忌; 黄酒; 食用酒精;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</si>
  <si>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桂爸</t>
  </si>
  <si>
    <r>
      <t>钦</t>
    </r>
    <r>
      <rPr>
        <sz val="11"/>
        <color theme="1"/>
        <rFont val="ＭＳ Ｐゴシック"/>
        <family val="3"/>
        <charset val="128"/>
        <scheme val="minor"/>
      </rPr>
      <t>州市梨花</t>
    </r>
    <r>
      <rPr>
        <sz val="11"/>
        <color theme="1"/>
        <rFont val="ＭＳ Ｐゴシック"/>
        <family val="3"/>
        <charset val="134"/>
        <scheme val="minor"/>
      </rPr>
      <t>赞农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</si>
  <si>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</si>
  <si>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象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</si>
  <si>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</si>
  <si>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开胃酒; 葡萄酒; 白酒</t>
    </r>
  </si>
  <si>
    <t>云世洲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</si>
  <si>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州本心台酒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</si>
  <si>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伏特加酒;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</si>
  <si>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瓦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卡</t>
    </r>
  </si>
  <si>
    <r>
      <t>上海雅斯</t>
    </r>
    <r>
      <rPr>
        <sz val="11"/>
        <color theme="1"/>
        <rFont val="ＭＳ Ｐゴシック"/>
        <family val="3"/>
        <charset val="134"/>
        <scheme val="minor"/>
      </rPr>
      <t>顿贸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</si>
  <si>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</si>
  <si>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福佑霖</t>
  </si>
  <si>
    <r>
      <t>谢</t>
    </r>
    <r>
      <rPr>
        <sz val="11"/>
        <color theme="1"/>
        <rFont val="ＭＳ Ｐゴシック"/>
        <family val="3"/>
        <charset val="128"/>
        <scheme val="minor"/>
      </rPr>
      <t>昌林</t>
    </r>
  </si>
  <si>
    <r>
      <t>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五加皮酒（中国混合烈酒）</t>
    </r>
  </si>
  <si>
    <r>
      <t>赵铁</t>
    </r>
    <r>
      <rPr>
        <sz val="11"/>
        <color theme="1"/>
        <rFont val="ＭＳ Ｐゴシック"/>
        <family val="3"/>
        <charset val="128"/>
        <scheme val="minor"/>
      </rPr>
      <t>岩</t>
    </r>
  </si>
  <si>
    <r>
      <t xml:space="preserve">高粱酒;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</si>
  <si>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行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育德</t>
    </r>
  </si>
  <si>
    <r>
      <t xml:space="preserve">白酒; 米酒; 苹果酒; 蒸煮提取物（利口酒和烈酒）; 清酒（日本米酒）; 黄酒;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</si>
  <si>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 xml:space="preserve">清酒（日本米酒）;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苹果酒; 葡萄酒; 开胃酒; 蒸煮提取物（利口酒和烈酒）</t>
    </r>
  </si>
  <si>
    <t>忘情歌</t>
  </si>
  <si>
    <r>
      <t>春和茂（黑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</si>
  <si>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露酒; 伏特加酒; 黄酒; 威士忌; 米酒; 葡萄酒</t>
    </r>
  </si>
  <si>
    <r>
      <t>明</t>
    </r>
    <r>
      <rPr>
        <sz val="11"/>
        <color theme="1"/>
        <rFont val="ＭＳ Ｐゴシック"/>
        <family val="3"/>
        <charset val="134"/>
        <scheme val="minor"/>
      </rPr>
      <t>峥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</si>
  <si>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白酒; 蜂蜜酒</t>
    </r>
  </si>
  <si>
    <t>华剧</t>
  </si>
  <si>
    <r>
      <t>休宁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糕</t>
    </r>
    <r>
      <rPr>
        <sz val="11"/>
        <color theme="1"/>
        <rFont val="ＭＳ Ｐゴシック"/>
        <family val="3"/>
        <charset val="134"/>
        <scheme val="minor"/>
      </rPr>
      <t>饼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</si>
  <si>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 xml:space="preserve">果酒; 葡萄酒;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</si>
  <si>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村者</t>
  </si>
  <si>
    <r>
      <t>六枝特区黔山种养殖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</si>
  <si>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</si>
  <si>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墨水河 墨泉香坊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</si>
  <si>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泰臻酒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</si>
  <si>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白干酒（中国白酒）</t>
    </r>
  </si>
  <si>
    <t>久久路途道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</si>
  <si>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白酒; 清酒（日本米酒）; 薄荷酒</t>
    </r>
  </si>
  <si>
    <r>
      <t>厂集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</si>
  <si>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楼林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</si>
  <si>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高粱酒; 含酒精蛋奶酒; 葡萄酒;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</si>
  <si>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质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</si>
  <si>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</si>
  <si>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t>柳大好物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</si>
  <si>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正林服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</si>
  <si>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</si>
  <si>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逢君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</si>
  <si>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艳华</t>
    </r>
  </si>
  <si>
    <r>
      <t>米酒; 果酒（含酒精）; 葡萄酒;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白酒</t>
    </r>
  </si>
  <si>
    <r>
      <t xml:space="preserve">BABYBOX 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博氏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</si>
  <si>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博氏母</t>
    </r>
    <r>
      <rPr>
        <sz val="11"/>
        <color theme="1"/>
        <rFont val="ＭＳ Ｐゴシック"/>
        <family val="3"/>
        <charset val="134"/>
        <scheme val="minor"/>
      </rPr>
      <t>婴</t>
    </r>
    <r>
      <rPr>
        <sz val="11"/>
        <color theme="1"/>
        <rFont val="ＭＳ Ｐゴシック"/>
        <family val="3"/>
        <charset val="128"/>
        <scheme val="minor"/>
      </rPr>
      <t>用品有限公司</t>
    </r>
  </si>
  <si>
    <r>
      <t>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利口酒; 白酒</t>
    </r>
  </si>
  <si>
    <r>
      <t>法蒂</t>
    </r>
    <r>
      <rPr>
        <sz val="11"/>
        <color theme="1"/>
        <rFont val="ＭＳ Ｐゴシック"/>
        <family val="3"/>
        <charset val="134"/>
        <scheme val="minor"/>
      </rPr>
      <t>萨</t>
    </r>
  </si>
  <si>
    <r>
      <t>白酒; 威士忌;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清酒; 葡萄酒; 伏特加酒</t>
    </r>
  </si>
  <si>
    <r>
      <t>浙江康嘉医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</si>
  <si>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含酒精蛋奶酒;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蒸煮提取物（利口酒和烈酒）;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</si>
  <si>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熹行天下</t>
  </si>
  <si>
    <r>
      <t>武夷山市五夫朱子生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</si>
  <si>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黄酒</t>
    </r>
  </si>
  <si>
    <r>
      <t>韬</t>
    </r>
    <r>
      <rPr>
        <sz val="11"/>
        <color theme="1"/>
        <rFont val="ＭＳ Ｐゴシック"/>
        <family val="3"/>
        <charset val="128"/>
        <scheme val="minor"/>
      </rPr>
      <t>合</t>
    </r>
  </si>
  <si>
    <r>
      <t>黄酒; 烈酒;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果酒; 高粱酒; 白酒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</si>
  <si>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西域</t>
    </r>
  </si>
  <si>
    <t>孙丽</t>
  </si>
  <si>
    <r>
      <t>朗姆酒; 米酒; 葡萄酒;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食用酒精; 果酒（含酒精）</t>
    </r>
  </si>
  <si>
    <t>濉汐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</si>
  <si>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利口酒;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</si>
  <si>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叶家水榭</t>
  </si>
  <si>
    <r>
      <t>上海松叶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</si>
  <si>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黄酒; 白酒; 食用酒精</t>
    </r>
  </si>
  <si>
    <t>全谷宴</t>
  </si>
  <si>
    <r>
      <t xml:space="preserve">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威士忌; 朗姆酒(酒精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蒸煮提取物(利口酒和烈酒); 白酒; 果酒(含酒精)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</si>
  <si>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</si>
  <si>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</si>
  <si>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露酒;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</si>
  <si>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宁波城建投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</si>
  <si>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梨酒; 蒸煮提取物（利口酒和烈酒）; 黄酒; 苦味酒; 柑香酒; 清酒; 开胃酒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</si>
  <si>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君典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</si>
  <si>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果酒（含酒精）; 葡萄酒</t>
    </r>
  </si>
  <si>
    <t>醉月谷</t>
  </si>
  <si>
    <r>
      <t>陈</t>
    </r>
    <r>
      <rPr>
        <sz val="11"/>
        <color theme="1"/>
        <rFont val="ＭＳ Ｐゴシック"/>
        <family val="3"/>
        <charset val="128"/>
        <scheme val="minor"/>
      </rPr>
      <t>海潮</t>
    </r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</si>
  <si>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葡萄酒; 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</si>
  <si>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GEFION 吉菲昂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</si>
  <si>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西鑫鑫德食品科技有限公司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</si>
  <si>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</si>
  <si>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r>
      <t>虎</t>
    </r>
    <r>
      <rPr>
        <sz val="11"/>
        <color theme="1"/>
        <rFont val="ＭＳ Ｐゴシック"/>
        <family val="3"/>
        <charset val="129"/>
        <scheme val="minor"/>
      </rPr>
      <t>滘</t>
    </r>
  </si>
  <si>
    <r>
      <t>叶文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</si>
  <si>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白酒; 果酒（含酒精）; 威士忌</t>
    </r>
  </si>
  <si>
    <t>仙王道</t>
  </si>
  <si>
    <r>
      <t>果酒（含酒精）;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</si>
  <si>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</si>
  <si>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白酒;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</t>
    </r>
  </si>
  <si>
    <t>破城街</t>
  </si>
  <si>
    <t>刘叶敏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</si>
  <si>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梨酒; 白酒; 青稞酒;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</t>
    </r>
  </si>
  <si>
    <r>
      <t>拳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</si>
  <si>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州手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</si>
  <si>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葡萄酒; 餐后酒（利口酒和烈酒）;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</si>
  <si>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渊梵</t>
  </si>
  <si>
    <t>李永婷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</si>
  <si>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葡萄酒;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开胃酒; 利口酒;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薄荷酒; 苹果酒</t>
    </r>
  </si>
  <si>
    <t>MPMT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</si>
  <si>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州唐朝品牌管理有限公司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</si>
  <si>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苦味酒; 茴芹酒（利口酒）; 薄荷酒; 果酒（含酒精）; 茴香酒（利口酒）</t>
    </r>
  </si>
  <si>
    <t>FTMP</t>
  </si>
  <si>
    <r>
      <t xml:space="preserve">果酒（含酒精）; 薄荷酒; 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茴芹酒（利口酒）; 开胃酒; 茴香酒（利口酒）</t>
    </r>
  </si>
  <si>
    <t>派示台 酒</t>
  </si>
  <si>
    <r>
      <t>张</t>
    </r>
    <r>
      <rPr>
        <sz val="11"/>
        <color theme="1"/>
        <rFont val="ＭＳ Ｐゴシック"/>
        <family val="3"/>
        <charset val="128"/>
        <scheme val="minor"/>
      </rPr>
      <t>千年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</si>
  <si>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白酒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</si>
  <si>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苹果酒;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清酒（日本米酒）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</si>
  <si>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彝</t>
    </r>
  </si>
  <si>
    <r>
      <t>熊万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</si>
  <si>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葡萄酒; 清酒; 果酒; 青稞酒; 高粱酒;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</si>
  <si>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骡</t>
    </r>
    <r>
      <rPr>
        <sz val="11"/>
        <color theme="1"/>
        <rFont val="ＭＳ Ｐゴシック"/>
        <family val="3"/>
        <charset val="128"/>
        <scheme val="minor"/>
      </rPr>
      <t>子坡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</si>
  <si>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</si>
  <si>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天慈多吉</t>
  </si>
  <si>
    <r>
      <t>雅安云禾山茶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</si>
  <si>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清酒（日本米酒）;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</si>
  <si>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锄</t>
    </r>
    <r>
      <rPr>
        <sz val="11"/>
        <color theme="1"/>
        <rFont val="ＭＳ Ｐゴシック"/>
        <family val="3"/>
        <charset val="128"/>
        <scheme val="minor"/>
      </rPr>
      <t>禾古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</si>
  <si>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辰梵洲（厦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</si>
  <si>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</si>
  <si>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知志</t>
    </r>
    <r>
      <rPr>
        <sz val="11"/>
        <color theme="1"/>
        <rFont val="ＭＳ Ｐゴシック"/>
        <family val="3"/>
        <charset val="134"/>
        <scheme val="minor"/>
      </rPr>
      <t>壶觞</t>
    </r>
  </si>
  <si>
    <t>高明鑫</t>
  </si>
  <si>
    <r>
      <t>果酒（含酒精）; 梅酒;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清酒; 白葡萄酒</t>
    </r>
  </si>
  <si>
    <t>净颜实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</si>
  <si>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东净颜</t>
    </r>
    <r>
      <rPr>
        <sz val="11"/>
        <color theme="1"/>
        <rFont val="ＭＳ Ｐゴシック"/>
        <family val="3"/>
        <charset val="128"/>
        <scheme val="minor"/>
      </rPr>
      <t>社品牌管理有限公司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</si>
  <si>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果酒（含酒精）</t>
    </r>
  </si>
  <si>
    <t>豸山森野</t>
  </si>
  <si>
    <r>
      <t>陈</t>
    </r>
    <r>
      <rPr>
        <sz val="11"/>
        <color theme="1"/>
        <rFont val="ＭＳ Ｐゴシック"/>
        <family val="3"/>
        <charset val="128"/>
        <scheme val="minor"/>
      </rPr>
      <t>佳豪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</si>
  <si>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露酒; 甜酒</t>
    </r>
  </si>
  <si>
    <r>
      <t>申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</si>
  <si>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>黄俊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</si>
  <si>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</si>
  <si>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伯弗尼 BEFOVANY</t>
  </si>
  <si>
    <r>
      <t>勐海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松章鄙百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</si>
  <si>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黄酒; 梅酒; 伏特加酒; 白酒;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</si>
  <si>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王天工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</si>
  <si>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栓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</si>
  <si>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清酒（日本米酒）; 柑香酒</t>
    </r>
  </si>
  <si>
    <t>阿西利客</t>
  </si>
  <si>
    <t>杜猛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</si>
  <si>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露酒; 黄酒; 白酒; 葡萄酒; 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</si>
  <si>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筑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</si>
  <si>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江西浅</t>
    </r>
    <r>
      <rPr>
        <sz val="11"/>
        <color theme="1"/>
        <rFont val="ＭＳ Ｐゴシック"/>
        <family val="3"/>
        <charset val="134"/>
        <scheme val="minor"/>
      </rPr>
      <t>馋贸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</si>
  <si>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青稞酒; 食用酒精;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</si>
  <si>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仙</t>
    </r>
  </si>
  <si>
    <t>田一斌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</si>
  <si>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开胃酒; 米酒</t>
    </r>
  </si>
  <si>
    <r>
      <t>莹</t>
    </r>
    <r>
      <rPr>
        <sz val="11"/>
        <color theme="1"/>
        <rFont val="ＭＳ Ｐゴシック"/>
        <family val="3"/>
        <charset val="128"/>
        <scheme val="minor"/>
      </rPr>
      <t>达星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</si>
  <si>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东莹</t>
    </r>
    <r>
      <rPr>
        <sz val="11"/>
        <color theme="1"/>
        <rFont val="ＭＳ Ｐゴシック"/>
        <family val="3"/>
        <charset val="128"/>
        <scheme val="minor"/>
      </rPr>
      <t>达星耀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</si>
  <si>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朗姆酒; 露酒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</si>
  <si>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力格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</si>
  <si>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平市金翔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</si>
  <si>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</si>
  <si>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力威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</si>
  <si>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</si>
  <si>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蜀酒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</si>
  <si>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清酒（日本米酒）; 白酒; 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</si>
  <si>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翰墨云集</t>
  </si>
  <si>
    <r>
      <t>刘</t>
    </r>
    <r>
      <rPr>
        <sz val="11"/>
        <color theme="1"/>
        <rFont val="ＭＳ Ｐゴシック"/>
        <family val="3"/>
        <charset val="134"/>
        <scheme val="minor"/>
      </rPr>
      <t>传飞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</si>
  <si>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清酒（日本米酒）</t>
    </r>
  </si>
  <si>
    <r>
      <t>湖北土家妹酒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</si>
  <si>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朗姆酒</t>
    </r>
  </si>
  <si>
    <r>
      <t>艳</t>
    </r>
    <r>
      <rPr>
        <sz val="11"/>
        <color theme="1"/>
        <rFont val="ＭＳ Ｐゴシック"/>
        <family val="3"/>
        <charset val="128"/>
        <scheme val="minor"/>
      </rPr>
      <t>耀侗音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</si>
  <si>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州金成隆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</si>
  <si>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</si>
  <si>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舜帝石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</si>
  <si>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29"/>
        <scheme val="minor"/>
      </rPr>
      <t>崀</t>
    </r>
    <r>
      <rPr>
        <sz val="11"/>
        <color theme="1"/>
        <rFont val="ＭＳ Ｐゴシック"/>
        <family val="3"/>
        <charset val="128"/>
        <scheme val="minor"/>
      </rPr>
      <t>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</si>
  <si>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威士忌; 食用酒精; 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</si>
  <si>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筋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</si>
  <si>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莆田市宝晟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厨房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</si>
  <si>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汽酒</t>
    </r>
  </si>
  <si>
    <r>
      <t>金瑞</t>
    </r>
    <r>
      <rPr>
        <sz val="11"/>
        <color theme="1"/>
        <rFont val="ＭＳ Ｐゴシック"/>
        <family val="3"/>
        <charset val="134"/>
        <scheme val="minor"/>
      </rPr>
      <t>齐</t>
    </r>
  </si>
  <si>
    <t>祁金瑞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</si>
  <si>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</si>
  <si>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r>
      <t>汩</t>
    </r>
    <r>
      <rPr>
        <sz val="11"/>
        <color theme="1"/>
        <rFont val="ＭＳ Ｐゴシック"/>
        <family val="3"/>
        <charset val="128"/>
        <scheme val="minor"/>
      </rPr>
      <t>都</t>
    </r>
  </si>
  <si>
    <r>
      <t>葡萄酒; 清酒（日本米酒）; 白酒; 开胃酒; 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</si>
  <si>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白酒; 高粱酒;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米酒; 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</si>
  <si>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相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</si>
  <si>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 xml:space="preserve">米酒; 黄酒; 开胃酒; 果酒（含酒精）; 白酒; 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</si>
  <si>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河姆冬</t>
  </si>
  <si>
    <r>
      <t>河姆古泉（宁波）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泉水有限公司</t>
    </r>
  </si>
  <si>
    <r>
      <t>黄酒; 米酒; 白酒; 开胃酒; 清酒;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</t>
    </r>
  </si>
  <si>
    <t>RAINING CHANGAN</t>
  </si>
  <si>
    <r>
      <t>游牧族投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(深圳)有限公司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</si>
  <si>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</si>
  <si>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晋佰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</si>
  <si>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>晋中凌云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</si>
  <si>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威士忌;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</si>
  <si>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德到得到</t>
  </si>
  <si>
    <r>
      <t>诏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</si>
  <si>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水果汽酒;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青梅酒; 果酒</t>
    </r>
  </si>
  <si>
    <r>
      <t>宝福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</si>
  <si>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遂平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月月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</si>
  <si>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果酒（含酒精）; 开胃酒; 黄酒; 白酒;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</si>
  <si>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HIYTLIK</t>
  </si>
  <si>
    <r>
      <t>乌鲁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席面商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</si>
  <si>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果酒（含酒精）; 葡萄酒; 杜松子酒; 利口酒; 威士忌; 薄荷酒; 青稞酒; 黄酒; 咖啡利口酒; 天然汽酒</t>
  </si>
  <si>
    <r>
      <t>泸</t>
    </r>
    <r>
      <rPr>
        <sz val="11"/>
        <color theme="1"/>
        <rFont val="ＭＳ Ｐゴシック"/>
        <family val="3"/>
        <charset val="128"/>
        <scheme val="minor"/>
      </rPr>
      <t>酩匠</t>
    </r>
  </si>
  <si>
    <r>
      <t>胡家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</si>
  <si>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 xml:space="preserve">白酒; 开胃酒; 黄酒;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</si>
  <si>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拿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</si>
  <si>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餐后酒（利口酒和烈酒）; 米酒; 果酒（含酒精）; 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</si>
  <si>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煌金木</t>
  </si>
  <si>
    <t>梁启有</t>
  </si>
  <si>
    <r>
      <t>果酒（含酒精）;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</si>
  <si>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r>
      <t>壬禾</t>
    </r>
    <r>
      <rPr>
        <sz val="11"/>
        <color theme="1"/>
        <rFont val="ＭＳ Ｐゴシック"/>
        <family val="3"/>
        <charset val="134"/>
        <scheme val="minor"/>
      </rPr>
      <t>沣</t>
    </r>
  </si>
  <si>
    <r>
      <t>昆山壬禾商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</si>
  <si>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甜酒;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</si>
  <si>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慈寿集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</si>
  <si>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森健康科技有限公司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</si>
  <si>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利口酒; 苹果酒; 白酒;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</si>
  <si>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沙漠格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</si>
  <si>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朱家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</si>
  <si>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果酒（含酒精）; 威士忌; 黄酒; 食用酒精</t>
    </r>
  </si>
  <si>
    <r>
      <t>萃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升</t>
    </r>
  </si>
  <si>
    <r>
      <t>萃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升（上海）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</si>
  <si>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利口酒; 食用酒精; 白干酒（中国白酒）; 不起泡葡萄酒;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蒸煮提取物（利口酒和烈酒）; 草莓酒; 清酒（日本米酒）</t>
    </r>
  </si>
  <si>
    <t>珍从容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</si>
  <si>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酒客信息科技有限公司</t>
    </r>
  </si>
  <si>
    <r>
      <t>利口酒;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</si>
  <si>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百浪启醴</t>
  </si>
  <si>
    <t>德拉格茨有限公司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</si>
  <si>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白葡萄酒;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</si>
  <si>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雷守仁</t>
  </si>
  <si>
    <r>
      <t>内蒙古久酒香酒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</si>
  <si>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白酒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</si>
  <si>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武当</t>
    </r>
  </si>
  <si>
    <r>
      <t>葡萄酒; 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</si>
  <si>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永珍林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</si>
  <si>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中山永珍林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</si>
  <si>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葡萄酒; 黄酒</t>
    </r>
  </si>
  <si>
    <t>客都云</t>
  </si>
  <si>
    <t>曾智杰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</si>
  <si>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</si>
  <si>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咏君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</si>
  <si>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州盛世安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</si>
  <si>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果酒（含酒精）</t>
    </r>
  </si>
  <si>
    <r>
      <t>巡味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芳</t>
    </r>
  </si>
  <si>
    <t>刘超</t>
  </si>
  <si>
    <t>烈酒; 汽酒; 食用酒精; 白酒; 葡萄酒; 米酒; 黄酒; 果酒; 甜酒; 清酒</t>
  </si>
  <si>
    <t>GOYOUNGWAY</t>
  </si>
  <si>
    <r>
      <t>福建省故园味文化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</si>
  <si>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清酒（日本米酒）;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威士忌; 果酒（含酒精）</t>
    </r>
  </si>
  <si>
    <t>青山友</t>
  </si>
  <si>
    <r>
      <t>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果酒（含酒精）</t>
    </r>
  </si>
  <si>
    <t>濉曦</t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</si>
  <si>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利口酒;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</t>
    </r>
  </si>
  <si>
    <t>双甲山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</si>
  <si>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</t>
    </r>
    <r>
      <rPr>
        <sz val="11"/>
        <color theme="1"/>
        <rFont val="ＭＳ Ｐゴシック"/>
        <family val="3"/>
        <charset val="134"/>
        <scheme val="minor"/>
      </rPr>
      <t>环农饲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</si>
  <si>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黄酒; 白酒; 米酒; 清酒（日本米酒）; 果酒; 含奶油利口酒</t>
    </r>
  </si>
  <si>
    <r>
      <t>盱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嘉</t>
    </r>
  </si>
  <si>
    <r>
      <t>明光市老酒酒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</si>
  <si>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米酒; 清酒（日本米酒）;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白干酒（中国白酒）</t>
    </r>
  </si>
  <si>
    <t>医九洲</t>
  </si>
  <si>
    <r>
      <t>刘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</si>
  <si>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清酒（日本米酒）; 食用酒精</t>
    </r>
  </si>
  <si>
    <r>
      <t>巡蜜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</si>
  <si>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t>郭蕊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</si>
  <si>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</si>
  <si>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北印秋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</si>
  <si>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蛙点好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（北京）科技有限公司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</si>
  <si>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黄酒; 青稞酒; 白酒; 米酒; 食用酒精; 葡萄酒; 果酒（含酒精）</t>
    </r>
  </si>
  <si>
    <t>蝉潭</t>
  </si>
  <si>
    <r>
      <t>常耘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</si>
  <si>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高粱酒</t>
    </r>
  </si>
  <si>
    <t>双船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</si>
  <si>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</t>
    </r>
  </si>
  <si>
    <t>朋来外婆香</t>
  </si>
  <si>
    <r>
      <t>龚</t>
    </r>
    <r>
      <rPr>
        <sz val="11"/>
        <color theme="1"/>
        <rFont val="ＭＳ Ｐゴシック"/>
        <family val="3"/>
        <charset val="128"/>
        <scheme val="minor"/>
      </rPr>
      <t>秋林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</si>
  <si>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甘蔗制烈酒; 果酒（含酒精）</t>
    </r>
  </si>
  <si>
    <t>玉江廷</t>
  </si>
  <si>
    <r>
      <t>成都三叔商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</si>
  <si>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</si>
  <si>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麟梦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</si>
  <si>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河南酒人甲酒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</si>
  <si>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利口酒; 烈酒; 白酒; 食用酒精; 黄酒;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</si>
  <si>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福来福</t>
    </r>
  </si>
  <si>
    <r>
      <t>马绍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</si>
  <si>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利口酒; 果酒（含酒精）; 葡萄酒; 蜂蜜酒;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</si>
  <si>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文瑾</t>
  </si>
  <si>
    <r>
      <t>株洲文瑾酒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</si>
  <si>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草莓酒; 青梅酒</t>
    </r>
  </si>
  <si>
    <t>珍藏共福</t>
  </si>
  <si>
    <r>
      <t>米酒; 果酒（含酒精）;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白酒; 黄酒; 露酒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</si>
  <si>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</si>
  <si>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州富健隆健康科技有限公司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</si>
  <si>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梅酒; 清酒; 威士忌; 甜酒; 果酒; 蜂蜜酒; 天然汽酒</t>
    </r>
  </si>
  <si>
    <t>CULINORA</t>
  </si>
  <si>
    <r>
      <t>浙江厨厨味</t>
    </r>
    <r>
      <rPr>
        <sz val="11"/>
        <color theme="1"/>
        <rFont val="ＭＳ Ｐゴシック"/>
        <family val="3"/>
        <charset val="134"/>
        <scheme val="minor"/>
      </rPr>
      <t>睐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</si>
  <si>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</si>
  <si>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 xml:space="preserve">KAISM 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世曼</t>
    </r>
  </si>
  <si>
    <r>
      <t xml:space="preserve">米酒;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</si>
  <si>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嘚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</si>
  <si>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清酒; 米酒;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</si>
  <si>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洛瑜</t>
    </r>
  </si>
  <si>
    <r>
      <t>安徽省徽甄堂茶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</si>
  <si>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烈性干酒; 果酒（含酒精）; 苦味酒; 威士忌</t>
    </r>
  </si>
  <si>
    <t>宋辰</t>
  </si>
  <si>
    <t>邓晓兰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</si>
  <si>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威士忌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</si>
  <si>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省广新控股集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</si>
  <si>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</si>
  <si>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堆韵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</si>
  <si>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威士忌; 高粱酒; 白酒; 黄酒; 果酒; 白干酒（中国白酒）; 米酒; 麦芽威士忌</t>
    </r>
  </si>
  <si>
    <r>
      <t>魂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</si>
  <si>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食用酒精; 果酒（含酒精）; 葡萄酒; 米酒</t>
    </r>
  </si>
  <si>
    <t>蓬松狗 FUZZYPUPPY</t>
  </si>
  <si>
    <r>
      <t>朱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</si>
  <si>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白酒; 朗姆酒; 黄酒; 威士忌; 果酒（含酒精）;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</si>
  <si>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森弟</t>
  </si>
  <si>
    <r>
      <t>一念（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</si>
  <si>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利口酒;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</si>
  <si>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何小巫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</si>
  <si>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何航鞋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</si>
  <si>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梅酒;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</si>
  <si>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波</t>
    </r>
    <r>
      <rPr>
        <sz val="11"/>
        <color theme="1"/>
        <rFont val="ＭＳ Ｐゴシック"/>
        <family val="3"/>
        <charset val="134"/>
        <scheme val="minor"/>
      </rPr>
      <t>尔罗</t>
    </r>
    <r>
      <rPr>
        <sz val="11"/>
        <color theme="1"/>
        <rFont val="ＭＳ Ｐゴシック"/>
        <family val="3"/>
        <charset val="128"/>
        <scheme val="minor"/>
      </rPr>
      <t xml:space="preserve"> POHLROWE</t>
    </r>
  </si>
  <si>
    <r>
      <t xml:space="preserve">茴香酒; 威士忌;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米酒; 白酒; 果酒（含酒精）</t>
    </r>
  </si>
  <si>
    <r>
      <t>蓝乐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</si>
  <si>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培</t>
    </r>
    <r>
      <rPr>
        <sz val="11"/>
        <color theme="1"/>
        <rFont val="ＭＳ Ｐゴシック"/>
        <family val="3"/>
        <charset val="134"/>
        <scheme val="minor"/>
      </rPr>
      <t>训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</si>
  <si>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米酒; 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</si>
  <si>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葚老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</si>
  <si>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广西邕州</t>
    </r>
    <r>
      <rPr>
        <sz val="11"/>
        <color theme="1"/>
        <rFont val="ＭＳ Ｐゴシック"/>
        <family val="3"/>
        <charset val="134"/>
        <scheme val="minor"/>
      </rPr>
      <t>轩纳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</si>
  <si>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</si>
  <si>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季日新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</si>
  <si>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州品味坊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</si>
  <si>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苹果酒;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</si>
  <si>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牧校柒拾</t>
  </si>
  <si>
    <r>
      <t>朱良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</si>
  <si>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</si>
  <si>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千渊</t>
  </si>
  <si>
    <r>
      <t>赵</t>
    </r>
    <r>
      <rPr>
        <sz val="11"/>
        <color theme="1"/>
        <rFont val="ＭＳ Ｐゴシック"/>
        <family val="3"/>
        <charset val="128"/>
        <scheme val="minor"/>
      </rPr>
      <t>双英</t>
    </r>
  </si>
  <si>
    <r>
      <t xml:space="preserve">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</t>
    </r>
  </si>
  <si>
    <r>
      <t>山姆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</si>
  <si>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向量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</si>
  <si>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清酒; 黄酒; 青梅酒;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甜酒; 果酒（含酒精）; 米酒; 白酒</t>
    </r>
  </si>
  <si>
    <r>
      <t>獭</t>
    </r>
    <r>
      <rPr>
        <sz val="11"/>
        <color theme="1"/>
        <rFont val="ＭＳ Ｐゴシック"/>
        <family val="3"/>
        <charset val="128"/>
        <scheme val="minor"/>
      </rPr>
      <t>祀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</si>
  <si>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尉</t>
    </r>
  </si>
  <si>
    <r>
      <t>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</si>
  <si>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祝椿</t>
  </si>
  <si>
    <r>
      <t>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</t>
    </r>
  </si>
  <si>
    <r>
      <t>孟富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</si>
  <si>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北京孟富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和他的朋友</t>
    </r>
    <r>
      <rPr>
        <sz val="11"/>
        <color theme="1"/>
        <rFont val="ＭＳ Ｐゴシック"/>
        <family val="3"/>
        <charset val="134"/>
        <scheme val="minor"/>
      </rPr>
      <t>们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</si>
  <si>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白酒; 苹果酒</t>
    </r>
  </si>
  <si>
    <t>丹婆哩</t>
  </si>
  <si>
    <r>
      <t>谢东</t>
    </r>
    <r>
      <rPr>
        <sz val="11"/>
        <color theme="1"/>
        <rFont val="ＭＳ Ｐゴシック"/>
        <family val="3"/>
        <charset val="128"/>
        <scheme val="minor"/>
      </rPr>
      <t>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</si>
  <si>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</si>
  <si>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山海文渊</t>
  </si>
  <si>
    <r>
      <t>华传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播(天津)有限公司</t>
    </r>
  </si>
  <si>
    <r>
      <t>蜂蜜酒;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葡萄酒; 含酒精蛋奶酒</t>
    </r>
  </si>
  <si>
    <r>
      <t>董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</si>
  <si>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岩新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区一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癫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</si>
  <si>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米酒;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</si>
  <si>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滇山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</si>
  <si>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上海泓</t>
    </r>
    <r>
      <rPr>
        <sz val="11"/>
        <color theme="1"/>
        <rFont val="ＭＳ Ｐゴシック"/>
        <family val="3"/>
        <charset val="134"/>
        <scheme val="minor"/>
      </rPr>
      <t>馔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</si>
  <si>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利口酒;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食用酒精;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</si>
  <si>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恒冕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</si>
  <si>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</si>
  <si>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 xml:space="preserve">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</si>
  <si>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</si>
  <si>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</si>
  <si>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</si>
  <si>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本</t>
    </r>
  </si>
  <si>
    <r>
      <t xml:space="preserve">果酒（含酒精）; 米酒; 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威士忌</t>
    </r>
  </si>
  <si>
    <r>
      <t>明香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</si>
  <si>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佛山市高明区明南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</si>
  <si>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朗姆酒; 葡萄酒;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</si>
  <si>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拂苓春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</si>
  <si>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>北京青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士其文化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</si>
  <si>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露酒; 草本型利口酒;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</si>
  <si>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元初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</si>
  <si>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广州元初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</si>
  <si>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</si>
  <si>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恒蒙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</si>
  <si>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董建忠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</si>
  <si>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餐后酒（利口酒和烈酒）; 白酒;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</si>
  <si>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</si>
  <si>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</si>
  <si>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果酒（含酒精）; 葡萄酒;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米酒</t>
    </r>
  </si>
  <si>
    <t>吉宬珍坊</t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</si>
  <si>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吉宬珍坊商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</si>
  <si>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烈酒;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</si>
  <si>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</si>
  <si>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</si>
  <si>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</si>
  <si>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螺</t>
    </r>
    <r>
      <rPr>
        <sz val="11"/>
        <color theme="1"/>
        <rFont val="ＭＳ Ｐゴシック"/>
        <family val="3"/>
        <charset val="134"/>
        <scheme val="minor"/>
      </rPr>
      <t>专</t>
    </r>
    <r>
      <rPr>
        <sz val="11"/>
        <color theme="1"/>
        <rFont val="ＭＳ Ｐゴシック"/>
        <family val="3"/>
        <charset val="128"/>
        <scheme val="minor"/>
      </rPr>
      <t>甲</t>
    </r>
  </si>
  <si>
    <t>张艳齐</t>
  </si>
  <si>
    <r>
      <t xml:space="preserve">利口酒; 蜂蜜酒; 米酒; 开胃酒; 黄酒; 蒸煮提取物（利口酒和烈酒）;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</si>
  <si>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月半文文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</si>
  <si>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千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</si>
  <si>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伏特加酒</t>
    </r>
  </si>
  <si>
    <t>嘉有善田</t>
  </si>
  <si>
    <r>
      <t>上海先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加生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</si>
  <si>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高粱酒;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葡萄酒; 白酒; 蜂蜜酒; 米酒; 威士忌; 果酒（含酒精）</t>
    </r>
  </si>
  <si>
    <r>
      <t>壮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</si>
  <si>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广西盛宏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</si>
  <si>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</si>
  <si>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滇山悦海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</si>
  <si>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利口酒; 威士忌;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开胃酒; 白酒; 果酒（含酒精）</t>
    </r>
  </si>
  <si>
    <t>子阳老白干</t>
  </si>
  <si>
    <r>
      <t>李振</t>
    </r>
    <r>
      <rPr>
        <sz val="11"/>
        <color theme="1"/>
        <rFont val="ＭＳ Ｐゴシック"/>
        <family val="3"/>
        <charset val="134"/>
        <scheme val="minor"/>
      </rPr>
      <t>兴</t>
    </r>
  </si>
  <si>
    <t>白干酒（中国白酒）</t>
  </si>
  <si>
    <t>鼎元福</t>
  </si>
  <si>
    <t>陆尧</t>
  </si>
  <si>
    <r>
      <t xml:space="preserve">黄酒; 米酒; 伏特加酒;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</si>
  <si>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旻王台</t>
  </si>
  <si>
    <r>
      <t xml:space="preserve">白酒;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利口酒; 米酒</t>
    </r>
  </si>
  <si>
    <t>拓丞 TORSCENT</t>
  </si>
  <si>
    <t>广州中用信息科技有限公司</t>
  </si>
  <si>
    <r>
      <t xml:space="preserve">梅酒; 甜酒; 威士忌; 食用酒精;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</si>
  <si>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春阳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</si>
  <si>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</si>
  <si>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米酒; 利口酒</t>
    </r>
  </si>
  <si>
    <t>勇无双</t>
  </si>
  <si>
    <r>
      <t>龙见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</si>
  <si>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伏特加酒; 威士忌</t>
    </r>
  </si>
  <si>
    <r>
      <t>匠契天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</si>
  <si>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罗兰</t>
    </r>
    <r>
      <rPr>
        <sz val="11"/>
        <color theme="1"/>
        <rFont val="ＭＳ Ｐゴシック"/>
        <family val="3"/>
        <charset val="128"/>
        <scheme val="minor"/>
      </rPr>
      <t>多水晶制品有限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</si>
  <si>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</si>
  <si>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轻涟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</si>
  <si>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</si>
  <si>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德古老仁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</si>
  <si>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市德古酒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</si>
  <si>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</t>
    </r>
  </si>
  <si>
    <r>
      <t>玄</t>
    </r>
    <r>
      <rPr>
        <sz val="11"/>
        <color theme="1"/>
        <rFont val="ＭＳ Ｐゴシック"/>
        <family val="3"/>
        <charset val="134"/>
        <scheme val="minor"/>
      </rPr>
      <t>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</si>
  <si>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汽酒;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</si>
  <si>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</si>
  <si>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载满农业发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</si>
  <si>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蒸煮提取物（利口酒和烈酒）; 利口酒; 餐后酒（利口酒和烈酒）; 高粱酒;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</si>
  <si>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谷王侯</t>
  </si>
  <si>
    <r>
      <t>曾俊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</si>
  <si>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</si>
  <si>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撰匠天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</si>
  <si>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</si>
  <si>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ATP DASH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</si>
  <si>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市德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</si>
  <si>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</si>
  <si>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雍宴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</si>
  <si>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</si>
  <si>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飒妈妈</t>
  </si>
  <si>
    <t>王坤明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</si>
  <si>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</si>
  <si>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MKESSTON</t>
  </si>
  <si>
    <r>
      <t>蓬莱澳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</si>
  <si>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威士忌; 葡萄酒; 白酒; 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</si>
  <si>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恒窖天下</t>
  </si>
  <si>
    <r>
      <t xml:space="preserve">黄酒; 白干酒（中国白酒）;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烈酒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</si>
  <si>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仙洞玄青</t>
    </r>
  </si>
  <si>
    <r>
      <t>真唯道酒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（宁波）有限公司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</si>
  <si>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食用酒精; 高粱酒;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</si>
  <si>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唐司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</si>
  <si>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市江君</t>
    </r>
    <r>
      <rPr>
        <sz val="11"/>
        <color theme="1"/>
        <rFont val="ＭＳ Ｐゴシック"/>
        <family val="3"/>
        <charset val="134"/>
        <scheme val="minor"/>
      </rPr>
      <t>诗马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</si>
  <si>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果酒; 葡萄酒; 清酒（日本米酒）;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</si>
  <si>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粱焱</t>
  </si>
  <si>
    <r>
      <t>山西海</t>
    </r>
    <r>
      <rPr>
        <sz val="11"/>
        <color theme="1"/>
        <rFont val="ＭＳ Ｐゴシック"/>
        <family val="3"/>
        <charset val="134"/>
        <scheme val="minor"/>
      </rPr>
      <t>红树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</si>
  <si>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白酒; 开胃酒; 果酒;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</si>
  <si>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桃李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</si>
  <si>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顿</t>
    </r>
    <r>
      <rPr>
        <sz val="11"/>
        <color theme="1"/>
        <rFont val="ＭＳ Ｐゴシック"/>
        <family val="3"/>
        <charset val="128"/>
        <scheme val="minor"/>
      </rPr>
      <t>思念</t>
    </r>
  </si>
  <si>
    <r>
      <t>黄酒; 果酒;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</si>
  <si>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美之健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</si>
  <si>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美之健医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</si>
  <si>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果酒; 黄酒;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</si>
  <si>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三沽两关西北角</t>
  </si>
  <si>
    <r>
      <t>印象直沽（天津）酒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</si>
  <si>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</si>
  <si>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零壹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</si>
  <si>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佳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</si>
  <si>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</si>
  <si>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瑞寸年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</si>
  <si>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白酒; 朗姆酒; 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</si>
  <si>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醉美臧原花</t>
  </si>
  <si>
    <r>
      <t>通化市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池葡萄酒有限公司</t>
    </r>
  </si>
  <si>
    <r>
      <t>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甜酒</t>
    </r>
  </si>
  <si>
    <t>豫令</t>
  </si>
  <si>
    <t>刘佯佯</t>
  </si>
  <si>
    <r>
      <t>果酒（含酒精）; 清酒（日本米酒）; 烈酒; 开胃酒;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</si>
  <si>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舜醉翁</t>
    </r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</si>
  <si>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市牡丹区百泉高粱酒坊有限公司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</si>
  <si>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</si>
  <si>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r>
      <t>头</t>
    </r>
    <r>
      <rPr>
        <sz val="11"/>
        <color theme="1"/>
        <rFont val="ＭＳ Ｐゴシック"/>
        <family val="3"/>
        <charset val="128"/>
        <scheme val="minor"/>
      </rPr>
      <t>粹</t>
    </r>
  </si>
  <si>
    <r>
      <t xml:space="preserve">米酒; 威士忌;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</si>
  <si>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楚江福</t>
  </si>
  <si>
    <t>董兆舜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</si>
  <si>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</si>
  <si>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</si>
  <si>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惠民</t>
    </r>
    <r>
      <rPr>
        <sz val="11"/>
        <color theme="1"/>
        <rFont val="ＭＳ Ｐゴシック"/>
        <family val="3"/>
        <charset val="134"/>
        <scheme val="minor"/>
      </rPr>
      <t>县书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</si>
  <si>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</si>
  <si>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卯粮</t>
  </si>
  <si>
    <r>
      <t>黄酒; 白酒; 开胃酒;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</si>
  <si>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云小</t>
    </r>
    <r>
      <rPr>
        <sz val="11"/>
        <color theme="1"/>
        <rFont val="ＭＳ Ｐゴシック"/>
        <family val="3"/>
        <charset val="134"/>
        <scheme val="minor"/>
      </rPr>
      <t>犟</t>
    </r>
  </si>
  <si>
    <r>
      <t>北京国</t>
    </r>
    <r>
      <rPr>
        <sz val="11"/>
        <color theme="1"/>
        <rFont val="ＭＳ Ｐゴシック"/>
        <family val="3"/>
        <charset val="134"/>
        <scheme val="minor"/>
      </rPr>
      <t>发闽</t>
    </r>
    <r>
      <rPr>
        <sz val="11"/>
        <color theme="1"/>
        <rFont val="ＭＳ Ｐゴシック"/>
        <family val="3"/>
        <charset val="128"/>
        <scheme val="minor"/>
      </rPr>
      <t>江源食品有限公司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</si>
  <si>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朗姆酒; 苹果酒; 葡萄酒; 利口酒; 蜂蜜酒; 冰酒</t>
    </r>
  </si>
  <si>
    <t>阜恒丰</t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</si>
  <si>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</si>
  <si>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强</t>
    </r>
    <r>
      <rPr>
        <sz val="11"/>
        <color theme="1"/>
        <rFont val="ＭＳ Ｐゴシック"/>
        <family val="3"/>
        <charset val="128"/>
        <scheme val="minor"/>
      </rPr>
      <t>慷</t>
    </r>
  </si>
  <si>
    <r>
      <t>开胃酒; 清酒（日本米酒）;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</si>
  <si>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大宋光禄</t>
  </si>
  <si>
    <r>
      <t>开封汴春坊酒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</si>
  <si>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黄酒; 葡萄酒; 利口酒;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</si>
  <si>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秀荣焱</t>
  </si>
  <si>
    <r>
      <t>白酒; 黄酒;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米酒; 开胃酒;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</si>
  <si>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恒大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</si>
  <si>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阜阳市金鼎吉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味食品厂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</si>
  <si>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开胃酒; 葡萄酒; 高粱酒; 黄酒; 白酒; 食用酒精;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</si>
  <si>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迄匠天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</si>
  <si>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</si>
  <si>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雯欣醇</t>
  </si>
  <si>
    <r>
      <t>张</t>
    </r>
    <r>
      <rPr>
        <sz val="11"/>
        <color theme="1"/>
        <rFont val="ＭＳ Ｐゴシック"/>
        <family val="3"/>
        <charset val="128"/>
        <scheme val="minor"/>
      </rPr>
      <t>建明</t>
    </r>
  </si>
  <si>
    <r>
      <t>蜂蜜酒; 米酒; 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果酒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</si>
  <si>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漾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</si>
  <si>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</si>
  <si>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</si>
  <si>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蟾猫膳</t>
    </r>
    <r>
      <rPr>
        <sz val="11"/>
        <color theme="1"/>
        <rFont val="ＭＳ Ｐゴシック"/>
        <family val="3"/>
        <charset val="134"/>
        <scheme val="minor"/>
      </rPr>
      <t>录记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</si>
  <si>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冰玉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</si>
  <si>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</si>
  <si>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康慈</t>
  </si>
  <si>
    <r>
      <t>葡萄酒;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</t>
    </r>
  </si>
  <si>
    <t>芙上天</t>
  </si>
  <si>
    <r>
      <t>广州天梓商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</si>
  <si>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米酒; 葡萄酒; 梨酒; 果酒（含酒精）;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甜果酒;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</si>
  <si>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敕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</si>
  <si>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州真格品牌管理有限公司</t>
    </r>
  </si>
  <si>
    <r>
      <t>果酒（含酒精）;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米酒; 葡萄酒</t>
    </r>
  </si>
  <si>
    <t>橙献</t>
  </si>
  <si>
    <r>
      <t>赣</t>
    </r>
    <r>
      <rPr>
        <sz val="11"/>
        <color theme="1"/>
        <rFont val="ＭＳ Ｐゴシック"/>
        <family val="3"/>
        <charset val="128"/>
        <scheme val="minor"/>
      </rPr>
      <t>州市蕾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</si>
  <si>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甜果酒</t>
    </r>
  </si>
  <si>
    <t>沙塔古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</si>
  <si>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潮科技有限公司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</si>
  <si>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</si>
  <si>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储</t>
    </r>
    <r>
      <rPr>
        <sz val="11"/>
        <color theme="1"/>
        <rFont val="ＭＳ Ｐゴシック"/>
        <family val="3"/>
        <charset val="128"/>
        <scheme val="minor"/>
      </rPr>
      <t>如金</t>
    </r>
  </si>
  <si>
    <r>
      <t>深圳市富盛酒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</si>
  <si>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开胃酒; 米酒; 汽酒; 清酒; 果酒;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</t>
    </r>
  </si>
  <si>
    <r>
      <t>恒歆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</si>
  <si>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米酒; 利口酒; 葡萄酒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</si>
  <si>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录烧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</si>
  <si>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利口酒; 葡萄酒;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</si>
  <si>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王侯</t>
    </r>
  </si>
  <si>
    <r>
      <t>曾喜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</si>
  <si>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</si>
  <si>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辽贺</t>
  </si>
  <si>
    <r>
      <t>沈阳市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口企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商会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</si>
  <si>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</t>
    </r>
  </si>
  <si>
    <r>
      <t>杯</t>
    </r>
    <r>
      <rPr>
        <sz val="11"/>
        <color theme="1"/>
        <rFont val="ＭＳ Ｐゴシック"/>
        <family val="3"/>
        <charset val="134"/>
        <scheme val="minor"/>
      </rPr>
      <t>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</si>
  <si>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州琦品包装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</si>
  <si>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食用酒精; 白酒; 清酒（日本米酒）;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利口酒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</si>
  <si>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</si>
  <si>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清酒（日本米酒）</t>
    </r>
  </si>
  <si>
    <t>青山有野</t>
  </si>
  <si>
    <r>
      <t>山</t>
    </r>
    <r>
      <rPr>
        <sz val="11"/>
        <color theme="1"/>
        <rFont val="ＭＳ Ｐゴシック"/>
        <family val="3"/>
        <charset val="134"/>
        <scheme val="minor"/>
      </rPr>
      <t>觅觅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</si>
  <si>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黄酒; 葡萄酒</t>
    </r>
  </si>
  <si>
    <t>中核四0四有限公司</t>
  </si>
  <si>
    <t>极霆</t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</si>
  <si>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</si>
  <si>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牧果人</t>
  </si>
  <si>
    <r>
      <t>绩</t>
    </r>
    <r>
      <rPr>
        <sz val="11"/>
        <color theme="1"/>
        <rFont val="ＭＳ Ｐゴシック"/>
        <family val="3"/>
        <charset val="128"/>
        <scheme val="minor"/>
      </rPr>
      <t>溪徽味堂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</si>
  <si>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黄酒; 白酒;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</si>
  <si>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壮湃</t>
  </si>
  <si>
    <t>李福仙</t>
  </si>
  <si>
    <r>
      <t>白酒;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</si>
  <si>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梨想生活</t>
  </si>
  <si>
    <r>
      <t>石家庄市</t>
    </r>
    <r>
      <rPr>
        <sz val="11"/>
        <color theme="1"/>
        <rFont val="ＭＳ Ｐゴシック"/>
        <family val="3"/>
        <charset val="134"/>
        <scheme val="minor"/>
      </rPr>
      <t>赵龙</t>
    </r>
    <r>
      <rPr>
        <sz val="11"/>
        <color theme="1"/>
        <rFont val="ＭＳ Ｐゴシック"/>
        <family val="3"/>
        <charset val="128"/>
        <scheme val="minor"/>
      </rPr>
      <t>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</si>
  <si>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梨酒;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蜂蜜酒; 果酒（含酒精）; 清酒（日本米酒）;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</si>
  <si>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粮匠</t>
    </r>
  </si>
  <si>
    <r>
      <t>赖发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</si>
  <si>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 xml:space="preserve">果酒（含酒精）; 高粱酒; 利口酒; 葡萄酒;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</si>
  <si>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德力宝</t>
  </si>
  <si>
    <r>
      <t>杨</t>
    </r>
    <r>
      <rPr>
        <sz val="11"/>
        <color theme="1"/>
        <rFont val="ＭＳ Ｐゴシック"/>
        <family val="3"/>
        <charset val="128"/>
        <scheme val="minor"/>
      </rPr>
      <t>炳荣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</si>
  <si>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</t>
    </r>
  </si>
  <si>
    <r>
      <t>恒思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</si>
  <si>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葡萄酒; 米酒; 青稞酒;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</si>
  <si>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杏王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</si>
  <si>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 xml:space="preserve">威士忌; 白干酒（中国白酒）;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黄酒; 高粱酒; 蜂蜜酒; 白酒</t>
    </r>
  </si>
  <si>
    <t>小北的朋友</t>
  </si>
  <si>
    <r>
      <t>大家之路（北京）文化旅游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</si>
  <si>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</si>
  <si>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咏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</si>
  <si>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</si>
  <si>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望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</si>
  <si>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</si>
  <si>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</si>
  <si>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老豫祥 黄酒</t>
  </si>
  <si>
    <r>
      <t>深圳市豫仕达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</si>
  <si>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黄酒</t>
  </si>
  <si>
    <t>万彪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</si>
  <si>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白酒;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</si>
  <si>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体力士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</si>
  <si>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</si>
  <si>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莞璞号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</si>
  <si>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</si>
  <si>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果酒（含酒精）</t>
    </r>
  </si>
  <si>
    <t>芳山月林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</si>
  <si>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伯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</si>
  <si>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</si>
  <si>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零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</si>
  <si>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超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宇宙（重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车业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</si>
  <si>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</si>
  <si>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</si>
  <si>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州海博</t>
    </r>
    <r>
      <rPr>
        <sz val="11"/>
        <color theme="1"/>
        <rFont val="ＭＳ Ｐゴシック"/>
        <family val="3"/>
        <charset val="134"/>
        <scheme val="minor"/>
      </rPr>
      <t>视觉设计</t>
    </r>
    <r>
      <rPr>
        <sz val="11"/>
        <color theme="1"/>
        <rFont val="ＭＳ Ｐゴシック"/>
        <family val="3"/>
        <charset val="128"/>
        <scheme val="minor"/>
      </rPr>
      <t>制作有限公司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</si>
  <si>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青稞酒; 黄酒; 烈酒; 果酒（含酒精）; 葡萄酒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</si>
  <si>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翠福</t>
    </r>
  </si>
  <si>
    <t>郁波</t>
  </si>
  <si>
    <r>
      <t>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</si>
  <si>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牧萄</t>
  </si>
  <si>
    <r>
      <t>广西威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瑞奇文化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</si>
  <si>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开胃酒; 威士忌; 果酒（含酒精）; 伏特加酒; 朗姆酒</t>
    </r>
  </si>
  <si>
    <r>
      <t>视</t>
    </r>
    <r>
      <rPr>
        <sz val="11"/>
        <color theme="1"/>
        <rFont val="ＭＳ Ｐゴシック"/>
        <family val="3"/>
        <charset val="128"/>
        <scheme val="minor"/>
      </rPr>
      <t>可星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</si>
  <si>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</si>
  <si>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</si>
  <si>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曦送</t>
  </si>
  <si>
    <t>李双双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</si>
  <si>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葡萄酒; 黄酒</t>
    </r>
  </si>
  <si>
    <t>京世良品</t>
  </si>
  <si>
    <r>
      <t>保定市丰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</si>
  <si>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</si>
  <si>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霍君</t>
  </si>
  <si>
    <t>祝川宁</t>
  </si>
  <si>
    <r>
      <t>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葡萄酒</t>
    </r>
  </si>
  <si>
    <r>
      <t>临风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</si>
  <si>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黄酒</t>
    </r>
  </si>
  <si>
    <t>如澳</t>
  </si>
  <si>
    <r>
      <t xml:space="preserve">果酒（含酒精）;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威士忌; 米酒</t>
    </r>
  </si>
  <si>
    <t>耀熠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</si>
  <si>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果酒（含酒精）; 开胃酒; 汽酒;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</si>
  <si>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造养森林</t>
  </si>
  <si>
    <r>
      <t>邓</t>
    </r>
    <r>
      <rPr>
        <sz val="11"/>
        <color theme="1"/>
        <rFont val="ＭＳ Ｐゴシック"/>
        <family val="3"/>
        <charset val="128"/>
        <scheme val="minor"/>
      </rPr>
      <t>向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</si>
  <si>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果酒（含酒精）;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开胃酒</t>
    </r>
  </si>
  <si>
    <r>
      <t>连缘</t>
    </r>
    <r>
      <rPr>
        <sz val="11"/>
        <color theme="1"/>
        <rFont val="ＭＳ Ｐゴシック"/>
        <family val="3"/>
        <charset val="128"/>
        <scheme val="minor"/>
      </rPr>
      <t>友名堂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</si>
  <si>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州折耳根文化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</si>
  <si>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威士忌</t>
    </r>
  </si>
  <si>
    <r>
      <t>仕</t>
    </r>
    <r>
      <rPr>
        <sz val="11"/>
        <color theme="1"/>
        <rFont val="ＭＳ Ｐゴシック"/>
        <family val="3"/>
        <charset val="134"/>
        <scheme val="minor"/>
      </rPr>
      <t>诶</t>
    </r>
    <r>
      <rPr>
        <sz val="11"/>
        <color theme="1"/>
        <rFont val="ＭＳ Ｐゴシック"/>
        <family val="3"/>
        <charset val="129"/>
        <scheme val="minor"/>
      </rPr>
      <t>翱</t>
    </r>
  </si>
  <si>
    <r>
      <t xml:space="preserve">果酒（含酒精）;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</si>
  <si>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乃哥</t>
    </r>
  </si>
  <si>
    <r>
      <t>莆田市非乃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</si>
  <si>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白酒;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</si>
  <si>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鼎元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</si>
  <si>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白酒; 果酒（含酒精）; 葡萄酒;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</si>
  <si>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玄芸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</si>
  <si>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市芸宁家居用品有限公司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</si>
  <si>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果酒（含酒精）;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</t>
    </r>
  </si>
  <si>
    <r>
      <t>哈依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</si>
  <si>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克山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加</t>
    </r>
    <r>
      <rPr>
        <sz val="11"/>
        <color theme="1"/>
        <rFont val="ＭＳ Ｐゴシック"/>
        <family val="3"/>
        <charset val="134"/>
        <scheme val="minor"/>
      </rPr>
      <t>兴农业发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</si>
  <si>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高粱酒;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</si>
  <si>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</si>
  <si>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州伍拾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玖坊品牌管理有限公司</t>
    </r>
  </si>
  <si>
    <r>
      <t xml:space="preserve">果酒（含酒精）;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高粱酒; 汽酒; 食用酒精; 白酒; 开胃酒; 葡萄酒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</si>
  <si>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烨烧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</si>
  <si>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果酒（含酒精）; 黄酒;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</si>
  <si>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尝</t>
    </r>
    <r>
      <rPr>
        <sz val="11"/>
        <color theme="1"/>
        <rFont val="ＭＳ Ｐゴシック"/>
        <family val="3"/>
        <charset val="128"/>
        <scheme val="minor"/>
      </rPr>
      <t>晋</t>
    </r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</si>
  <si>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</si>
  <si>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极魂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</si>
  <si>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黄酒; 米酒</t>
    </r>
  </si>
  <si>
    <t>丰真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</si>
  <si>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</t>
    </r>
  </si>
  <si>
    <t>知养味</t>
  </si>
  <si>
    <r>
      <t xml:space="preserve">甜酒; 高粱酒; 葡萄酒;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果酒</t>
    </r>
  </si>
  <si>
    <t>香靖</t>
  </si>
  <si>
    <r>
      <t>肖向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</si>
  <si>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</si>
  <si>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t>中天君廷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</si>
  <si>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西中天臻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</si>
  <si>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</si>
  <si>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馥田丰</t>
  </si>
  <si>
    <r>
      <t>山西馥田肥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</si>
  <si>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</t>
    </r>
  </si>
  <si>
    <r>
      <t>国中（深圳）数字研究集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</si>
  <si>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</si>
  <si>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超美冠</t>
  </si>
  <si>
    <r>
      <t>王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</si>
  <si>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蒸煮提取物（利口酒和烈酒）; 利口酒;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果酒（含酒精）; 米酒; 开胃酒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</si>
  <si>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之五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</si>
  <si>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</si>
  <si>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当圣宝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</si>
  <si>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精研包装制品有限公司</t>
    </r>
  </si>
  <si>
    <r>
      <t xml:space="preserve">米酒; 烈酒; 白酒; 清酒;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</si>
  <si>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必吉姆</t>
  </si>
  <si>
    <r>
      <t>必吉美（湖北）健康生物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</si>
  <si>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</si>
  <si>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凯</t>
    </r>
    <r>
      <rPr>
        <sz val="11"/>
        <color theme="1"/>
        <rFont val="ＭＳ Ｐゴシック"/>
        <family val="3"/>
        <charset val="128"/>
        <scheme val="minor"/>
      </rPr>
      <t>旋雅邑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</si>
  <si>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黄酒; 烈酒; 伏特加酒;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</si>
  <si>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谷道嘉</t>
  </si>
  <si>
    <r>
      <t>内蒙古谷道嘉酒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</si>
  <si>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薄荷酒;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葡萄酒; 黄酒</t>
    </r>
  </si>
  <si>
    <t>循本</t>
  </si>
  <si>
    <r>
      <t>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威士忌; 果酒（含酒精）</t>
    </r>
  </si>
  <si>
    <t>BEANHOMESELECTED</t>
  </si>
  <si>
    <r>
      <t>汪</t>
    </r>
    <r>
      <rPr>
        <sz val="11"/>
        <color theme="1"/>
        <rFont val="ＭＳ Ｐゴシック"/>
        <family val="3"/>
        <charset val="134"/>
        <scheme val="minor"/>
      </rPr>
      <t>杨凯</t>
    </r>
  </si>
  <si>
    <r>
      <t>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食用酒精; 高粱酒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</si>
  <si>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</si>
  <si>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 xml:space="preserve">果酒（含酒精）; 白酒; 米酒;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</t>
    </r>
  </si>
  <si>
    <r>
      <t>恒炬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</si>
  <si>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</t>
    </r>
  </si>
  <si>
    <r>
      <t>汩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</si>
  <si>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果酒; 清酒（日本米酒）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</si>
  <si>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立方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</si>
  <si>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夏新地（北京）科技文化有限公司</t>
    </r>
  </si>
  <si>
    <r>
      <t xml:space="preserve">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</si>
  <si>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津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</si>
  <si>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海魂精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</si>
  <si>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食用酒精; 葡萄酒; 蒸煮提取物（利口酒和烈酒）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</si>
  <si>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致奔</t>
    </r>
    <r>
      <rPr>
        <sz val="11"/>
        <color theme="1"/>
        <rFont val="ＭＳ Ｐゴシック"/>
        <family val="3"/>
        <charset val="134"/>
        <scheme val="minor"/>
      </rPr>
      <t>驰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</si>
  <si>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</si>
  <si>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蒸煮提取物（利口酒和烈酒）;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</si>
  <si>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酒后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</si>
  <si>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伟</t>
    </r>
    <r>
      <rPr>
        <sz val="11"/>
        <color theme="1"/>
        <rFont val="ＭＳ Ｐゴシック"/>
        <family val="3"/>
        <charset val="128"/>
        <scheme val="minor"/>
      </rPr>
      <t>清公司</t>
    </r>
  </si>
  <si>
    <r>
      <t xml:space="preserve">汽酒; 果酒（含酒精）; 朗姆酒;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清酒（日本米酒）; 黄酒</t>
    </r>
  </si>
  <si>
    <r>
      <t>恒武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</si>
  <si>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葡萄酒; 白酒; 青稞酒;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</si>
  <si>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恩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</si>
  <si>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昌恩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</si>
  <si>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餐后酒（利口酒和烈酒）; 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</si>
  <si>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明珠鼎上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</si>
  <si>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岛华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和文化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</si>
  <si>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威士忌; 薄荷酒;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烈酒; 苹果酒;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</si>
  <si>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赐赵</t>
    </r>
    <r>
      <rPr>
        <sz val="11"/>
        <color theme="1"/>
        <rFont val="ＭＳ Ｐゴシック"/>
        <family val="3"/>
        <charset val="128"/>
        <scheme val="minor"/>
      </rPr>
      <t>王酒</t>
    </r>
  </si>
  <si>
    <r>
      <t>赵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</si>
  <si>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</t>
    </r>
  </si>
  <si>
    <r>
      <t>叙茗</t>
    </r>
    <r>
      <rPr>
        <sz val="11"/>
        <color theme="1"/>
        <rFont val="ＭＳ Ｐゴシック"/>
        <family val="3"/>
        <charset val="134"/>
        <scheme val="minor"/>
      </rPr>
      <t>缘</t>
    </r>
  </si>
  <si>
    <t>郭怡楷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</si>
  <si>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</si>
  <si>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笙</t>
    </r>
    <r>
      <rPr>
        <sz val="11"/>
        <color theme="1"/>
        <rFont val="ＭＳ Ｐゴシック"/>
        <family val="3"/>
        <charset val="134"/>
        <scheme val="minor"/>
      </rPr>
      <t>龄语</t>
    </r>
    <r>
      <rPr>
        <sz val="11"/>
        <color theme="1"/>
        <rFont val="ＭＳ Ｐゴシック"/>
        <family val="3"/>
        <charset val="128"/>
        <scheme val="minor"/>
      </rPr>
      <t>兮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</si>
  <si>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龄语</t>
    </r>
    <r>
      <rPr>
        <sz val="11"/>
        <color theme="1"/>
        <rFont val="ＭＳ Ｐゴシック"/>
        <family val="3"/>
        <charset val="128"/>
        <scheme val="minor"/>
      </rPr>
      <t>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</si>
  <si>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高粱酒</t>
    </r>
  </si>
  <si>
    <t>上山悦山</t>
  </si>
  <si>
    <t>朱月娥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</si>
  <si>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清酒; 白酒; 米酒; 果酒; 葡萄酒</t>
    </r>
  </si>
  <si>
    <t>辰和世家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</si>
  <si>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</si>
  <si>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苦味酒;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</si>
  <si>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梵草堂</t>
  </si>
  <si>
    <r>
      <t>云南梵草堂养生服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</si>
  <si>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刺五加酒; 草本型利口酒; 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</si>
  <si>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古雷音</t>
  </si>
  <si>
    <r>
      <t>安阳市明欣网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</si>
  <si>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</si>
  <si>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萌</t>
    </r>
    <r>
      <rPr>
        <sz val="11"/>
        <color theme="1"/>
        <rFont val="ＭＳ Ｐゴシック"/>
        <family val="3"/>
        <charset val="134"/>
        <scheme val="minor"/>
      </rPr>
      <t>头头</t>
    </r>
  </si>
  <si>
    <r>
      <t>深圳云舟投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</si>
  <si>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</si>
  <si>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等宴</t>
  </si>
  <si>
    <t>闫勋</t>
  </si>
  <si>
    <r>
      <t xml:space="preserve">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</si>
  <si>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花侯</t>
    </r>
    <r>
      <rPr>
        <sz val="11"/>
        <color theme="1"/>
        <rFont val="ＭＳ Ｐゴシック"/>
        <family val="3"/>
        <charset val="134"/>
        <scheme val="minor"/>
      </rPr>
      <t>爷</t>
    </r>
  </si>
  <si>
    <t>王姣阳</t>
  </si>
  <si>
    <r>
      <t xml:space="preserve">清酒（日本米酒）; 葡萄酒;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白酒; 开胃酒</t>
    </r>
  </si>
  <si>
    <t>光欣</t>
  </si>
  <si>
    <t>山西百年坊酒厂有限公司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</si>
  <si>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</si>
  <si>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晋一碗</t>
  </si>
  <si>
    <r>
      <t>陈</t>
    </r>
    <r>
      <rPr>
        <sz val="11"/>
        <color theme="1"/>
        <rFont val="ＭＳ Ｐゴシック"/>
        <family val="3"/>
        <charset val="128"/>
        <scheme val="minor"/>
      </rPr>
      <t>善川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</si>
  <si>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</si>
  <si>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崔先生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</si>
  <si>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省阳光</t>
    </r>
    <r>
      <rPr>
        <sz val="11"/>
        <color theme="1"/>
        <rFont val="ＭＳ Ｐゴシック"/>
        <family val="3"/>
        <charset val="134"/>
        <scheme val="minor"/>
      </rPr>
      <t>诗词书</t>
    </r>
    <r>
      <rPr>
        <sz val="11"/>
        <color theme="1"/>
        <rFont val="ＭＳ Ｐゴシック"/>
        <family val="3"/>
        <charset val="128"/>
        <scheme val="minor"/>
      </rPr>
      <t>画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</si>
  <si>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清酒（日本米酒）;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</si>
  <si>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棣</t>
    </r>
  </si>
  <si>
    <r>
      <t>候汝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</si>
  <si>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开胃酒; 黄酒; 威士忌; 白酒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</si>
  <si>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曲匠</t>
    </r>
  </si>
  <si>
    <r>
      <t>弋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</si>
  <si>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清酒（日本米酒）; 黄酒</t>
    </r>
  </si>
  <si>
    <t>林施福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</si>
  <si>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傅帮忙信息科技有限公司</t>
    </r>
  </si>
  <si>
    <r>
      <t>米酒; 果酒（含酒精）; 苹果酒;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白干酒（中国白酒）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</si>
  <si>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明芳</t>
    </r>
  </si>
  <si>
    <r>
      <t>葡萄酒;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</si>
  <si>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别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</si>
  <si>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米酒;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</si>
  <si>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廷咏 GONTIYOR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</si>
  <si>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</si>
  <si>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</si>
  <si>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汶池王</t>
  </si>
  <si>
    <r>
      <t>张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</si>
  <si>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青稞酒; 高粱酒; 黄酒; 威士忌; 汽酒</t>
    </r>
  </si>
  <si>
    <t>扶将</t>
  </si>
  <si>
    <t>扶余市玖日食品厂</t>
  </si>
  <si>
    <r>
      <t>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</si>
  <si>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喜悦薛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</si>
  <si>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生啦上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</si>
  <si>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白酒; 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</si>
  <si>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丰成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</si>
  <si>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甘蔗制烈酒;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</si>
  <si>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堤夏荷</t>
    </r>
  </si>
  <si>
    <r>
      <t>米酒; 利口酒; 烈酒;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</si>
  <si>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好利福</t>
  </si>
  <si>
    <r>
      <t>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白干酒（中国白酒）;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</si>
  <si>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美櫑</t>
  </si>
  <si>
    <r>
      <t>广西壮医天阴阳医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</si>
  <si>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</si>
  <si>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盈</t>
    </r>
    <r>
      <rPr>
        <sz val="11"/>
        <color theme="1"/>
        <rFont val="ＭＳ Ｐゴシック"/>
        <family val="3"/>
        <charset val="129"/>
        <scheme val="minor"/>
      </rPr>
      <t>馫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</si>
  <si>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西比盈商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</si>
  <si>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</si>
  <si>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粮博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</si>
  <si>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白酒; 黄酒; 青稞酒; 果酒; 果酒（含酒精）; 米酒</t>
    </r>
  </si>
  <si>
    <r>
      <t>天中玖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</si>
  <si>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店新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</si>
  <si>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</si>
  <si>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李少匠</t>
  </si>
  <si>
    <r>
      <t>程迎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</si>
  <si>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青稞酒; 开胃酒; 白酒; 黄酒; 果酒（含酒精）; 清酒（日本米酒）; 葡萄酒; 威士忌</t>
    </r>
  </si>
  <si>
    <t>INCROYA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</si>
  <si>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东颜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</si>
  <si>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米酒; 开胃酒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</si>
  <si>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堤秋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</si>
  <si>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</si>
  <si>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望要</t>
  </si>
  <si>
    <r>
      <t xml:space="preserve">白酒;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开胃酒; 果酒（含酒精）; 高粱酒; 烈酒</t>
    </r>
  </si>
  <si>
    <t>都市姐姐</t>
  </si>
  <si>
    <r>
      <t>潮州市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卡家居用品有限公司</t>
    </r>
  </si>
  <si>
    <r>
      <t>威士忌;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</si>
  <si>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悠康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</si>
  <si>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梨酒; 白酒; 米酒; 果酒（含酒精）; 薄荷酒;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</si>
  <si>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天青瓷</t>
  </si>
  <si>
    <t>山西青花国酒厂股份有限公司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</si>
  <si>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</si>
  <si>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GOLD TURTLE</t>
  </si>
  <si>
    <r>
      <t>乔</t>
    </r>
    <r>
      <rPr>
        <sz val="11"/>
        <color theme="1"/>
        <rFont val="ＭＳ Ｐゴシック"/>
        <family val="3"/>
        <charset val="128"/>
        <scheme val="minor"/>
      </rPr>
      <t>小兔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</si>
  <si>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</si>
  <si>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</si>
  <si>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r>
      <t>食</t>
    </r>
    <r>
      <rPr>
        <sz val="11"/>
        <color theme="1"/>
        <rFont val="ＭＳ Ｐゴシック"/>
        <family val="3"/>
        <charset val="134"/>
        <scheme val="minor"/>
      </rPr>
      <t>劲团</t>
    </r>
  </si>
  <si>
    <t>谷立峰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</si>
  <si>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</si>
  <si>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劳伦</t>
    </r>
    <r>
      <rPr>
        <sz val="11"/>
        <color theme="1"/>
        <rFont val="ＭＳ Ｐゴシック"/>
        <family val="3"/>
        <charset val="128"/>
        <scheme val="minor"/>
      </rPr>
      <t>奔</t>
    </r>
    <r>
      <rPr>
        <sz val="11"/>
        <color theme="1"/>
        <rFont val="ＭＳ Ｐゴシック"/>
        <family val="3"/>
        <charset val="134"/>
        <scheme val="minor"/>
      </rPr>
      <t>驰</t>
    </r>
  </si>
  <si>
    <r>
      <t xml:space="preserve">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</si>
  <si>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斯城堡</t>
    </r>
  </si>
  <si>
    <t>牛水林</t>
  </si>
  <si>
    <r>
      <t xml:space="preserve">果酒; 清酒; 米酒;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甜酒; 黄酒</t>
    </r>
  </si>
  <si>
    <r>
      <t>衡黄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</si>
  <si>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青稞酒; 果酒（含酒精）; 餐后酒（利口酒和烈酒）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</si>
  <si>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过</t>
    </r>
    <r>
      <rPr>
        <sz val="11"/>
        <color theme="1"/>
        <rFont val="ＭＳ Ｐゴシック"/>
        <family val="3"/>
        <charset val="128"/>
        <scheme val="minor"/>
      </rPr>
      <t>江</t>
    </r>
  </si>
  <si>
    <t>崔仕磊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</si>
  <si>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米酒; 白酒</t>
    </r>
  </si>
  <si>
    <t>八刺忽</t>
  </si>
  <si>
    <r>
      <t>葡萄酒; 威士忌; 米酒; 清酒（日本米酒）;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</si>
  <si>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侍上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</si>
  <si>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</t>
    </r>
    <r>
      <rPr>
        <sz val="11"/>
        <color theme="1"/>
        <rFont val="ＭＳ Ｐゴシック"/>
        <family val="3"/>
        <charset val="134"/>
        <scheme val="minor"/>
      </rPr>
      <t>华仓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</si>
  <si>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葡萄汽酒; 白干酒（中国白酒）; 薄荷酒;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</si>
  <si>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中原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</si>
  <si>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</si>
  <si>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堤冬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</si>
  <si>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利口酒</t>
    </r>
  </si>
  <si>
    <r>
      <t>上山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</si>
  <si>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开胃酒; 果酒; 威士忌;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</si>
  <si>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海云瑶</t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</si>
  <si>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市福鑫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</si>
  <si>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米酒; 白酒; 清酒; 果酒（含酒精）</t>
    </r>
  </si>
  <si>
    <t>金樽律</t>
  </si>
  <si>
    <t>李鑫超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</si>
  <si>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黄酒;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</si>
  <si>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九窖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</si>
  <si>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利口酒; 白酒</t>
    </r>
  </si>
  <si>
    <t>HUJIALOU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</si>
  <si>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</si>
  <si>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葡萄酒; 白酒; 果酒（含酒精）;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</si>
  <si>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毛</t>
    </r>
    <r>
      <rPr>
        <sz val="11"/>
        <color theme="1"/>
        <rFont val="ＭＳ Ｐゴシック"/>
        <family val="3"/>
        <charset val="134"/>
        <scheme val="minor"/>
      </rPr>
      <t>历</t>
    </r>
    <r>
      <rPr>
        <sz val="11"/>
        <color theme="1"/>
        <rFont val="ＭＳ Ｐゴシック"/>
        <family val="3"/>
        <charset val="128"/>
        <scheme val="minor"/>
      </rPr>
      <t>砂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</si>
  <si>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先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</si>
  <si>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米酒; 开胃酒; 梨酒; 黄酒;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</t>
    </r>
  </si>
  <si>
    <r>
      <t>升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杏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珍藏</t>
    </r>
  </si>
  <si>
    <r>
      <t>山西升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智投文化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</si>
  <si>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开胃酒; 威士忌;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</si>
  <si>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岱溟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</si>
  <si>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舒墨文化投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</si>
  <si>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</si>
  <si>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荒粮</t>
    </r>
    <r>
      <rPr>
        <sz val="11"/>
        <color theme="1"/>
        <rFont val="ＭＳ Ｐゴシック"/>
        <family val="3"/>
        <charset val="134"/>
        <scheme val="minor"/>
      </rPr>
      <t>纪</t>
    </r>
  </si>
  <si>
    <t>霍雷棋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</si>
  <si>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</si>
  <si>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素</t>
    </r>
    <r>
      <rPr>
        <sz val="11"/>
        <color theme="1"/>
        <rFont val="ＭＳ Ｐゴシック"/>
        <family val="3"/>
        <charset val="134"/>
        <scheme val="minor"/>
      </rPr>
      <t>问</t>
    </r>
  </si>
  <si>
    <r>
      <t>云南素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</si>
  <si>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青稞酒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</si>
  <si>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水吉牛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</si>
  <si>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青梅酒; 水果汽酒;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高粱酒;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</t>
    </r>
  </si>
  <si>
    <r>
      <t>红鲤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</si>
  <si>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果酒（含酒精）; 果酒; 葡萄酒;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</si>
  <si>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金凰</t>
    </r>
  </si>
  <si>
    <t>戴浩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</si>
  <si>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朗姆酒; 青稞酒; 米酒; 白酒; 清酒（日本米酒）;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</si>
  <si>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福运成</t>
  </si>
  <si>
    <r>
      <t>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烈酒; 白酒;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</si>
  <si>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典慕</t>
  </si>
  <si>
    <r>
      <t>强</t>
    </r>
    <r>
      <rPr>
        <sz val="11"/>
        <color theme="1"/>
        <rFont val="ＭＳ Ｐゴシック"/>
        <family val="3"/>
        <charset val="128"/>
        <scheme val="minor"/>
      </rPr>
      <t>妮娜</t>
    </r>
  </si>
  <si>
    <t>食用酒精; 汽酒; 开胃酒; 米酒; 白酒; 葡萄酒; 黄酒; 清酒; 甜酒; 果酒</t>
  </si>
  <si>
    <r>
      <t>樱</t>
    </r>
    <r>
      <rPr>
        <sz val="11"/>
        <color theme="1"/>
        <rFont val="ＭＳ Ｐゴシック"/>
        <family val="3"/>
        <charset val="128"/>
        <scheme val="minor"/>
      </rPr>
      <t>花季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</si>
  <si>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威士忌; 黄酒; 清酒（日本米酒）; 白酒; 果酒（含酒精）; 葡萄酒; 茴香酒; 米酒</t>
    </r>
  </si>
  <si>
    <t>酒大哥品牌管理（深圳）有限公司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</si>
  <si>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</si>
  <si>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司托凡</t>
  </si>
  <si>
    <t>王文升******************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</si>
  <si>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果酒;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</t>
    </r>
  </si>
  <si>
    <t>AKOKO</t>
  </si>
  <si>
    <t>杭州原品食品科技有限公司</t>
  </si>
  <si>
    <r>
      <t>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</si>
  <si>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擦豆</t>
  </si>
  <si>
    <r>
      <t>上海擦豆企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</si>
  <si>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薄荷酒;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</si>
  <si>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</si>
  <si>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</si>
  <si>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黄酒; 果酒（含酒精）; 清酒;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</si>
  <si>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速通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</si>
  <si>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速通商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</si>
  <si>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汽酒; 黄酒; 含酒精的苦味开胃酒; 葡萄酒;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</si>
  <si>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中原相遇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</si>
  <si>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米酒;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</si>
  <si>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蟾公</t>
  </si>
  <si>
    <r>
      <t>张卫</t>
    </r>
    <r>
      <rPr>
        <sz val="11"/>
        <color theme="1"/>
        <rFont val="ＭＳ Ｐゴシック"/>
        <family val="3"/>
        <charset val="128"/>
        <scheme val="minor"/>
      </rPr>
      <t>柱</t>
    </r>
  </si>
  <si>
    <r>
      <t xml:space="preserve">薄荷酒; 葡萄酒; 威士忌;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苹果酒; 白酒; 开胃酒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</si>
  <si>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来稻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</si>
  <si>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</si>
  <si>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居序</t>
    </r>
  </si>
  <si>
    <t>包金梦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</si>
  <si>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梅酒; 葡萄酒; 威士忌;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</si>
  <si>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冀荷精英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</si>
  <si>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国正酒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</si>
  <si>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葡萄酒</t>
    </r>
  </si>
  <si>
    <r>
      <t>科</t>
    </r>
    <r>
      <rPr>
        <sz val="11"/>
        <color theme="1"/>
        <rFont val="ＭＳ Ｐゴシック"/>
        <family val="3"/>
        <charset val="134"/>
        <scheme val="minor"/>
      </rPr>
      <t>绽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</si>
  <si>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</si>
  <si>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瑞至璘</t>
  </si>
  <si>
    <t>四川省菩柚科技有限公司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</si>
  <si>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</si>
  <si>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同堂康帮</t>
  </si>
  <si>
    <t>湖南同堂康帮品牌管理有限公司</t>
  </si>
  <si>
    <r>
      <t>黄酒; 利口酒; 果酒（含酒精）; 白酒; 葡萄酒;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</si>
  <si>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TINGSHEN</t>
  </si>
  <si>
    <r>
      <t>陈</t>
    </r>
    <r>
      <rPr>
        <sz val="11"/>
        <color theme="1"/>
        <rFont val="ＭＳ Ｐゴシック"/>
        <family val="3"/>
        <charset val="129"/>
        <scheme val="minor"/>
      </rPr>
      <t>俞</t>
    </r>
    <r>
      <rPr>
        <sz val="11"/>
        <color theme="1"/>
        <rFont val="ＭＳ Ｐゴシック"/>
        <family val="3"/>
        <charset val="128"/>
        <scheme val="minor"/>
      </rPr>
      <t>吉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</si>
  <si>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</si>
  <si>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鑫陶一家</t>
  </si>
  <si>
    <t>陶明友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</si>
  <si>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</si>
  <si>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祁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</si>
  <si>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</si>
  <si>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汽酒</t>
    </r>
  </si>
  <si>
    <t>冀商力量</t>
  </si>
  <si>
    <r>
      <t>果酒（含酒精）;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</si>
  <si>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</si>
  <si>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葡萄酒; 烈酒; 白酒; 米酒; 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</si>
  <si>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潮舟</t>
  </si>
  <si>
    <r>
      <t>陈</t>
    </r>
    <r>
      <rPr>
        <sz val="11"/>
        <color theme="1"/>
        <rFont val="ＭＳ Ｐゴシック"/>
        <family val="3"/>
        <charset val="128"/>
        <scheme val="minor"/>
      </rPr>
      <t>晴敏</t>
    </r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</si>
  <si>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</si>
  <si>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恒爵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</si>
  <si>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葡萄酒; 白酒; 开胃酒; 餐后酒（利口酒和烈酒）; 青稞酒;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</si>
  <si>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衡情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</si>
  <si>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白酒; 米酒; 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</si>
  <si>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天佑熊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</si>
  <si>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云南天佑熊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</si>
  <si>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汽酒</t>
    </r>
  </si>
  <si>
    <t>禹伯佳</t>
  </si>
  <si>
    <r>
      <t>华</t>
    </r>
    <r>
      <rPr>
        <sz val="11"/>
        <color theme="1"/>
        <rFont val="ＭＳ Ｐゴシック"/>
        <family val="3"/>
        <charset val="128"/>
        <scheme val="minor"/>
      </rPr>
      <t>禹山水（河南）食品科技有限公司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</si>
  <si>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青梅酒; 白酒</t>
    </r>
  </si>
  <si>
    <t>大仲十八坊</t>
  </si>
  <si>
    <r>
      <t>兰</t>
    </r>
    <r>
      <rPr>
        <sz val="11"/>
        <color theme="1"/>
        <rFont val="ＭＳ Ｐゴシック"/>
        <family val="3"/>
        <charset val="128"/>
        <scheme val="minor"/>
      </rPr>
      <t>陵</t>
    </r>
    <r>
      <rPr>
        <sz val="11"/>
        <color theme="1"/>
        <rFont val="ＭＳ Ｐゴシック"/>
        <family val="3"/>
        <charset val="134"/>
        <scheme val="minor"/>
      </rPr>
      <t>县车</t>
    </r>
    <r>
      <rPr>
        <sz val="11"/>
        <color theme="1"/>
        <rFont val="ＭＳ Ｐゴシック"/>
        <family val="3"/>
        <charset val="128"/>
        <scheme val="minor"/>
      </rPr>
      <t>庄同富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</si>
  <si>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</si>
  <si>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</si>
  <si>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白酒; 果酒（含酒精）; 开胃酒;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威士忌</t>
    </r>
  </si>
  <si>
    <r>
      <t>荣百大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天子</t>
    </r>
  </si>
  <si>
    <t>李保</t>
  </si>
  <si>
    <r>
      <t>清酒; 黄酒;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</si>
  <si>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家得</t>
    </r>
    <r>
      <rPr>
        <sz val="11"/>
        <color theme="1"/>
        <rFont val="ＭＳ Ｐゴシック"/>
        <family val="3"/>
        <charset val="134"/>
        <scheme val="minor"/>
      </rPr>
      <t>欢</t>
    </r>
  </si>
  <si>
    <t>汕尾市盈信超市管理有限公司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</si>
  <si>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白酒; 黄酒</t>
    </r>
  </si>
  <si>
    <t>黔山禧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</si>
  <si>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南州醉有黔餐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</si>
  <si>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果酒（含酒精）</t>
    </r>
  </si>
  <si>
    <t>久来稻</t>
  </si>
  <si>
    <r>
      <t>张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</si>
  <si>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米酒; 果酒（含酒精）</t>
    </r>
  </si>
  <si>
    <r>
      <t>驼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</si>
  <si>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驼马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</si>
  <si>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</t>
    </r>
  </si>
  <si>
    <t>汏西南</t>
  </si>
  <si>
    <r>
      <t>成都市双</t>
    </r>
    <r>
      <rPr>
        <sz val="11"/>
        <color theme="1"/>
        <rFont val="ＭＳ Ｐゴシック"/>
        <family val="3"/>
        <charset val="134"/>
        <scheme val="minor"/>
      </rPr>
      <t>钞</t>
    </r>
    <r>
      <rPr>
        <sz val="11"/>
        <color theme="1"/>
        <rFont val="ＭＳ Ｐゴシック"/>
        <family val="3"/>
        <charset val="128"/>
        <scheme val="minor"/>
      </rPr>
      <t>力日化用品有限公司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</si>
  <si>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高粱酒; 米酒; 黄酒; 薄荷酒;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</si>
  <si>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</si>
  <si>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青稞酒; 白酒; 烈酒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</si>
  <si>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宗</t>
    </r>
  </si>
  <si>
    <t>岳超</t>
  </si>
  <si>
    <r>
      <t>果酒; 葡萄酒; 威士忌; 开胃酒; 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</si>
  <si>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瑞田桃花源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</si>
  <si>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桃源河谷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村旅游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</si>
  <si>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伏特加酒; 葡萄酒;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黄酒; 果酒</t>
    </r>
  </si>
  <si>
    <r>
      <t>朔九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</si>
  <si>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阳朔金桔酒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</si>
  <si>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蜂蜜酒;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含酒精的气泡水;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</si>
  <si>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真心至美</t>
  </si>
  <si>
    <r>
      <t>真心至美文化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播（北京）有限公司</t>
    </r>
  </si>
  <si>
    <r>
      <t xml:space="preserve">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</si>
  <si>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豪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客</t>
    </r>
  </si>
  <si>
    <t>栗世豪</t>
  </si>
  <si>
    <t>黄酒; 清酒; 甜酒; 食用酒精; 米酒; 烈酒; 汽酒; 白酒; 葡萄酒; 果酒</t>
  </si>
  <si>
    <t>广州双厨食品有限公司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</si>
  <si>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果酒（含酒精）; 餐后酒（利口酒和烈酒）; 威士忌;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</si>
  <si>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御福</t>
    </r>
  </si>
  <si>
    <r>
      <t>聂</t>
    </r>
    <r>
      <rPr>
        <sz val="11"/>
        <color theme="1"/>
        <rFont val="ＭＳ Ｐゴシック"/>
        <family val="3"/>
        <charset val="128"/>
        <scheme val="minor"/>
      </rPr>
      <t>永中</t>
    </r>
  </si>
  <si>
    <r>
      <t>黄酒;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白干酒（中国白酒）</t>
    </r>
  </si>
  <si>
    <t>品新园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</si>
  <si>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黄酒</t>
    </r>
  </si>
  <si>
    <t>SNNIY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</si>
  <si>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</si>
  <si>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</si>
  <si>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</si>
  <si>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广州市曾玖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</si>
  <si>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葡萄酒; 利口酒</t>
    </r>
  </si>
  <si>
    <t>久蓄芳</t>
  </si>
  <si>
    <r>
      <t>果酒（含酒精）;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</si>
  <si>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董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火</t>
    </r>
  </si>
  <si>
    <t>王静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</si>
  <si>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</si>
  <si>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官萃清花</t>
  </si>
  <si>
    <t>方明亮</t>
  </si>
  <si>
    <r>
      <t>白酒; 果酒（含酒精）; 米酒;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</si>
  <si>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佳品邦</t>
  </si>
  <si>
    <r>
      <t>何</t>
    </r>
    <r>
      <rPr>
        <sz val="11"/>
        <color theme="1"/>
        <rFont val="ＭＳ Ｐゴシック"/>
        <family val="3"/>
        <charset val="134"/>
        <scheme val="minor"/>
      </rPr>
      <t>凯丽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</si>
  <si>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朗姆酒; 白酒;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</t>
    </r>
  </si>
  <si>
    <t>笛晨</t>
  </si>
  <si>
    <r>
      <t>云南沃土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</si>
  <si>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果酒（含酒精）; 梨酒;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</si>
  <si>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t>易枳灵</t>
  </si>
  <si>
    <r>
      <t>福人（青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</si>
  <si>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果酒（含酒精）; 葡萄酒; 白酒</t>
    </r>
  </si>
  <si>
    <t>藤源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</si>
  <si>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藤源酒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</si>
  <si>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含酒精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汁;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</si>
  <si>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稻香深</t>
    </r>
    <r>
      <rPr>
        <sz val="11"/>
        <color theme="1"/>
        <rFont val="ＭＳ Ｐゴシック"/>
        <family val="3"/>
        <charset val="134"/>
        <scheme val="minor"/>
      </rPr>
      <t>处</t>
    </r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</si>
  <si>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市山野香榧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</si>
  <si>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露酒; 葡萄酒; 烈酒; 佐餐酒;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黄酒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</si>
  <si>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棱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</si>
  <si>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果酒（含酒精）;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</si>
  <si>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只朝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</si>
  <si>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辰文化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</si>
  <si>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</si>
  <si>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跳福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</si>
  <si>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烈酒; 威士忌; 茴香酒; 黄酒; 清酒（日本米酒）; 米酒; 果酒（含酒精）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</si>
  <si>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</si>
  <si>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赵庙</t>
    </r>
    <r>
      <rPr>
        <sz val="11"/>
        <color theme="1"/>
        <rFont val="ＭＳ Ｐゴシック"/>
        <family val="3"/>
        <charset val="128"/>
        <scheme val="minor"/>
      </rPr>
      <t>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</si>
  <si>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米酒; 果酒; 烈酒; 高粱酒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</si>
  <si>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二叔</t>
    </r>
  </si>
  <si>
    <r>
      <t xml:space="preserve">果酒（含酒精）; 黄酒; 葡萄酒;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</si>
  <si>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敬禾</t>
  </si>
  <si>
    <r>
      <t xml:space="preserve">烈酒;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</si>
  <si>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滔水</t>
  </si>
  <si>
    <r>
      <t>张兴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</si>
  <si>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 xml:space="preserve">烈酒; 威士忌;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</si>
  <si>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潼升神鹿</t>
  </si>
  <si>
    <r>
      <t>韩</t>
    </r>
    <r>
      <rPr>
        <sz val="11"/>
        <color theme="1"/>
        <rFont val="ＭＳ Ｐゴシック"/>
        <family val="3"/>
        <charset val="128"/>
        <scheme val="minor"/>
      </rPr>
      <t>立臣</t>
    </r>
  </si>
  <si>
    <r>
      <t xml:space="preserve">果酒（含酒精）; 朗姆酒;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</si>
  <si>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众黍</t>
  </si>
  <si>
    <r>
      <t>高</t>
    </r>
    <r>
      <rPr>
        <sz val="11"/>
        <color theme="1"/>
        <rFont val="ＭＳ Ｐゴシック"/>
        <family val="3"/>
        <charset val="134"/>
        <scheme val="minor"/>
      </rPr>
      <t>乐乐</t>
    </r>
  </si>
  <si>
    <r>
      <t>白酒; 利口酒; 开胃酒; 餐后酒（利口酒和烈酒）; 果酒（含酒精）; 苹果酒;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</si>
  <si>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家人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</si>
  <si>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钓</t>
    </r>
    <r>
      <rPr>
        <sz val="11"/>
        <color theme="1"/>
        <rFont val="ＭＳ Ｐゴシック"/>
        <family val="3"/>
        <charset val="128"/>
        <scheme val="minor"/>
      </rPr>
      <t>台王子酒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</si>
  <si>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清酒; 米酒;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蒸煮提取物(利口酒和烈酒)</t>
    </r>
  </si>
  <si>
    <t>粟之道</t>
  </si>
  <si>
    <r>
      <t>沧</t>
    </r>
    <r>
      <rPr>
        <sz val="11"/>
        <color theme="1"/>
        <rFont val="ＭＳ Ｐゴシック"/>
        <family val="3"/>
        <charset val="128"/>
        <scheme val="minor"/>
      </rPr>
      <t>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</si>
  <si>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汽酒;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</t>
    </r>
  </si>
  <si>
    <t>佐恩特</t>
  </si>
  <si>
    <r>
      <t>福建言信善供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</si>
  <si>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</si>
  <si>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龛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</si>
  <si>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邱少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</si>
  <si>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甜果酒;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</si>
  <si>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小保被</t>
  </si>
  <si>
    <r>
      <t>新疆唯美棉品家</t>
    </r>
    <r>
      <rPr>
        <sz val="11"/>
        <color theme="1"/>
        <rFont val="ＭＳ Ｐゴシック"/>
        <family val="3"/>
        <charset val="134"/>
        <scheme val="minor"/>
      </rPr>
      <t>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</si>
  <si>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混合威士忌酒;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</t>
    </r>
  </si>
  <si>
    <t>㶁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</si>
  <si>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义华</t>
    </r>
    <r>
      <rPr>
        <sz val="11"/>
        <color theme="1"/>
        <rFont val="ＭＳ Ｐゴシック"/>
        <family val="3"/>
        <charset val="128"/>
        <scheme val="minor"/>
      </rPr>
      <t>瑞房地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</si>
  <si>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威士忌; 黄酒;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</si>
  <si>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其路克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</si>
  <si>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会府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</si>
  <si>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果酒（含酒精）</t>
    </r>
  </si>
  <si>
    <t>妙韵留心</t>
  </si>
  <si>
    <r>
      <t>御露堂生物科技（沭阳）有限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</si>
  <si>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米酒; 露酒;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</si>
  <si>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MTDBB</t>
  </si>
  <si>
    <r>
      <t>中酒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河科技（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</si>
  <si>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米酒; 葡萄酒; 威士忌; 果酒（含酒精）; 青稞酒</t>
    </r>
  </si>
  <si>
    <t>BMTGHH</t>
  </si>
  <si>
    <r>
      <t xml:space="preserve">果酒（含酒精）; 露酒;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</si>
  <si>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</si>
  <si>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</si>
  <si>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发</t>
    </r>
    <r>
      <rPr>
        <sz val="11"/>
        <color theme="1"/>
        <rFont val="ＭＳ Ｐゴシック"/>
        <family val="3"/>
        <charset val="128"/>
        <scheme val="minor"/>
      </rPr>
      <t>升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</si>
  <si>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新疆瓜果之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</si>
  <si>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白酒</t>
    </r>
  </si>
  <si>
    <r>
      <t>怡桶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</si>
  <si>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新疆森木智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</si>
  <si>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果酒; 蒸煮提取物（利口酒和烈酒）;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</si>
  <si>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r>
      <t>子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蜜悦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</si>
  <si>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</si>
  <si>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</si>
  <si>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话</t>
    </r>
    <r>
      <rPr>
        <sz val="11"/>
        <color theme="1"/>
        <rFont val="ＭＳ Ｐゴシック"/>
        <family val="3"/>
        <charset val="128"/>
        <scheme val="minor"/>
      </rPr>
      <t>青城</t>
    </r>
  </si>
  <si>
    <t>李永会</t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</si>
  <si>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</si>
  <si>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薯哥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上板栗姐</t>
    </r>
  </si>
  <si>
    <t>薛利燕</t>
  </si>
  <si>
    <r>
      <t xml:space="preserve">白酒; 青稞酒; 黄酒; 果酒（含酒精）; 蜂蜜酒;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</si>
  <si>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蕾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咪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</si>
  <si>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州蕾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</si>
  <si>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烈酒; 食用酒精; 高粱酒;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</t>
    </r>
  </si>
  <si>
    <t>思若·智巨牛</t>
  </si>
  <si>
    <r>
      <t>通泰盛酒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</si>
  <si>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米酒; 麦芽威士忌;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清酒（日本米酒）; 白酒; 威士忌</t>
    </r>
  </si>
  <si>
    <t>古城汝宁府</t>
  </si>
  <si>
    <t>王炳安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</si>
  <si>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</si>
  <si>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帕中</t>
  </si>
  <si>
    <r>
      <t>西安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成易青空</t>
    </r>
    <r>
      <rPr>
        <sz val="11"/>
        <color theme="1"/>
        <rFont val="ＭＳ Ｐゴシック"/>
        <family val="3"/>
        <charset val="134"/>
        <scheme val="minor"/>
      </rPr>
      <t>间设计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</si>
  <si>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黄酒</t>
    </r>
  </si>
  <si>
    <r>
      <t>衡晋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</si>
  <si>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餐后酒（利口酒和烈酒）; 汽酒; 果酒（含酒精）; 青稞酒</t>
    </r>
  </si>
  <si>
    <r>
      <t>乡农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</si>
  <si>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江西香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</si>
  <si>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果酒; 汽酒; 米酒; 白酒; 黄酒;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</si>
  <si>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有大元恒</t>
  </si>
  <si>
    <t>北京有大元恒科技有限公司</t>
  </si>
  <si>
    <r>
      <t>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食用酒精; 汽酒; 白酒</t>
    </r>
  </si>
  <si>
    <t>世到</t>
  </si>
  <si>
    <t>王凡凡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</si>
  <si>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高粱酒; 白酒; 白葡萄酒; 果酒; 烈酒; 米酒</t>
    </r>
  </si>
  <si>
    <r>
      <t>乐业乐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</si>
  <si>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乐业乐</t>
    </r>
    <r>
      <rPr>
        <sz val="11"/>
        <color theme="1"/>
        <rFont val="ＭＳ Ｐゴシック"/>
        <family val="3"/>
        <charset val="128"/>
        <scheme val="minor"/>
      </rPr>
      <t>福食品加工有限公司</t>
    </r>
  </si>
  <si>
    <r>
      <t>清酒（日本米酒）; 葡萄酒; 青稞酒; 餐后酒（利口酒和烈酒）;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</si>
  <si>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青青阳光</t>
    </r>
    <r>
      <rPr>
        <sz val="11"/>
        <color theme="1"/>
        <rFont val="ＭＳ Ｐゴシック"/>
        <family val="3"/>
        <charset val="134"/>
        <scheme val="minor"/>
      </rPr>
      <t>灿灿</t>
    </r>
    <r>
      <rPr>
        <sz val="11"/>
        <color theme="1"/>
        <rFont val="ＭＳ Ｐゴシック"/>
        <family val="3"/>
        <charset val="128"/>
        <scheme val="minor"/>
      </rPr>
      <t xml:space="preserve"> QQYGCC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</si>
  <si>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阳阳光</t>
    </r>
    <r>
      <rPr>
        <sz val="11"/>
        <color theme="1"/>
        <rFont val="ＭＳ Ｐゴシック"/>
        <family val="3"/>
        <charset val="134"/>
        <scheme val="minor"/>
      </rPr>
      <t>灿灿贸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</si>
  <si>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</si>
  <si>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水映月</t>
  </si>
  <si>
    <t>涂桂运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</si>
  <si>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葡萄酒; 清酒（日本米酒）;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</si>
  <si>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乔</t>
    </r>
  </si>
  <si>
    <r>
      <t xml:space="preserve">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露酒</t>
    </r>
  </si>
  <si>
    <t>星耀朝歌</t>
  </si>
  <si>
    <r>
      <t>魅力朝歌（淇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</si>
  <si>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</si>
  <si>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王村姑</t>
  </si>
  <si>
    <t>王芳</t>
  </si>
  <si>
    <r>
      <t>白酒; 米酒;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青稞酒;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</si>
  <si>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独慧</t>
  </si>
  <si>
    <r>
      <t>白酒; 开胃酒; 梅酒; 清酒（日本米酒）;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</t>
    </r>
  </si>
  <si>
    <r>
      <t>终</t>
    </r>
    <r>
      <rPr>
        <sz val="11"/>
        <color theme="1"/>
        <rFont val="ＭＳ Ｐゴシック"/>
        <family val="3"/>
        <charset val="128"/>
        <scheme val="minor"/>
      </rPr>
      <t>序</t>
    </r>
  </si>
  <si>
    <r>
      <t>威士忌; 果酒;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</si>
  <si>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瀚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</si>
  <si>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 xml:space="preserve">葡萄酒; 威士忌;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</si>
  <si>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烈焰女皇</t>
  </si>
  <si>
    <r>
      <t>韦</t>
    </r>
    <r>
      <rPr>
        <sz val="11"/>
        <color theme="1"/>
        <rFont val="ＭＳ Ｐゴシック"/>
        <family val="3"/>
        <charset val="128"/>
        <scheme val="minor"/>
      </rPr>
      <t>裕</t>
    </r>
  </si>
  <si>
    <r>
      <t xml:space="preserve">开胃酒;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</t>
    </r>
  </si>
  <si>
    <t>依鹿美好</t>
  </si>
  <si>
    <t>季香花</t>
  </si>
  <si>
    <r>
      <t>烈性干酒; 开胃酒; 餐后酒（利口酒和烈酒）;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刺五加酒; 白酒</t>
    </r>
  </si>
  <si>
    <r>
      <t>驼队</t>
    </r>
    <r>
      <rPr>
        <sz val="11"/>
        <color theme="1"/>
        <rFont val="ＭＳ Ｐゴシック"/>
        <family val="3"/>
        <charset val="128"/>
        <scheme val="minor"/>
      </rPr>
      <t>藏酒</t>
    </r>
  </si>
  <si>
    <r>
      <t>山西汾河醇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</si>
  <si>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</si>
  <si>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钢</t>
    </r>
    <r>
      <rPr>
        <sz val="11"/>
        <color theme="1"/>
        <rFont val="ＭＳ Ｐゴシック"/>
        <family val="3"/>
        <charset val="128"/>
        <scheme val="minor"/>
      </rPr>
      <t>樽玉液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</si>
  <si>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凝仙商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</si>
  <si>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威士忌; 葡萄酒; 蜂蜜酒;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</si>
  <si>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品河</t>
    </r>
  </si>
  <si>
    <r>
      <t>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</si>
  <si>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徐彭大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歌</t>
    </r>
  </si>
  <si>
    <t>刘畔畔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</si>
  <si>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苹果酒; 葡萄酒; 果酒（含酒精）; 米酒; 威士忌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</si>
  <si>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程万和 酒</t>
    </r>
  </si>
  <si>
    <r>
      <t>介休市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程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粮酒庄（个体工商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</si>
  <si>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</t>
    </r>
  </si>
  <si>
    <r>
      <t>让</t>
    </r>
    <r>
      <rPr>
        <sz val="11"/>
        <color theme="1"/>
        <rFont val="ＭＳ Ｐゴシック"/>
        <family val="3"/>
        <charset val="128"/>
        <scheme val="minor"/>
      </rPr>
      <t>医堂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</si>
  <si>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如愿</t>
    </r>
  </si>
  <si>
    <r>
      <t xml:space="preserve">白酒; 青稞酒; 蜂蜜酒;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</si>
  <si>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WLZZ</t>
  </si>
  <si>
    <r>
      <t>黄酒; 青稞酒; 米酒; 葡萄酒;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</si>
  <si>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WLYZHF</t>
  </si>
  <si>
    <r>
      <t>青稞酒; 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米酒; 果酒（含酒精）</t>
    </r>
  </si>
  <si>
    <t>WLYDBB</t>
  </si>
  <si>
    <r>
      <t xml:space="preserve">青稞酒;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白酒</t>
    </r>
  </si>
  <si>
    <r>
      <t>超海盛</t>
    </r>
    <r>
      <rPr>
        <sz val="11"/>
        <color theme="1"/>
        <rFont val="ＭＳ Ｐゴシック"/>
        <family val="3"/>
        <charset val="134"/>
        <scheme val="minor"/>
      </rPr>
      <t>记</t>
    </r>
  </si>
  <si>
    <t>侯振芳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</si>
  <si>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</si>
  <si>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</si>
  <si>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国涛</t>
    </r>
  </si>
  <si>
    <r>
      <t xml:space="preserve">果酒; 高粱酒;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烈酒; 白葡萄酒</t>
    </r>
  </si>
  <si>
    <t>德高彩牛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</si>
  <si>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德高彩牛建材有限公司</t>
    </r>
  </si>
  <si>
    <r>
      <t>米酒;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</si>
  <si>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运来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</si>
  <si>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乾坤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</si>
  <si>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</si>
  <si>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出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</si>
  <si>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州将相思酒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</si>
  <si>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苹果酒; 葡萄酒; 白酒; 餐后酒（利口酒和烈酒）</t>
    </r>
  </si>
  <si>
    <t>舜帝仙醇</t>
  </si>
  <si>
    <r>
      <t>王文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</si>
  <si>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米酒; 白酒; 烈酒; 甜酒; 五加皮酒（中国混合烈酒）;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</si>
  <si>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梅人梅份</t>
  </si>
  <si>
    <r>
      <t xml:space="preserve">清酒（日本米酒）; 黄酒; 白酒; 威士忌; 果酒（含酒精）;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</si>
  <si>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隽河相思山</t>
  </si>
  <si>
    <r>
      <t>朱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</si>
  <si>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 xml:space="preserve">伏特加酒;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果酒（含酒精）; 蜂蜜酒; 开胃酒; 白酒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</si>
  <si>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绪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</si>
  <si>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</si>
  <si>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苗益民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</si>
  <si>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州苗益民健康管理有限公司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</si>
  <si>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果酒（含酒精）; 开胃酒; 清酒（日本米酒）</t>
    </r>
  </si>
  <si>
    <r>
      <t>皓月泰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</si>
  <si>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福州市世森木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</si>
  <si>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苦味酒; 葡萄酒</t>
    </r>
  </si>
  <si>
    <r>
      <t>森有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</si>
  <si>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鼓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新合供</t>
    </r>
    <r>
      <rPr>
        <sz val="11"/>
        <color theme="1"/>
        <rFont val="ＭＳ Ｐゴシック"/>
        <family val="3"/>
        <charset val="134"/>
        <scheme val="minor"/>
      </rPr>
      <t>销发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</si>
  <si>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黄酒; 高粱酒; 露酒; 甜酒; 白酒; 果酒; 米酒; 青稞酒; 烈酒; 葡萄酒</t>
  </si>
  <si>
    <t>大㶁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</si>
  <si>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</si>
  <si>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祝娘</t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</si>
  <si>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</si>
  <si>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t>樽粮河</t>
  </si>
  <si>
    <t>王学荣</t>
  </si>
  <si>
    <r>
      <t xml:space="preserve">利口酒; 白酒;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白葡萄酒</t>
    </r>
  </si>
  <si>
    <r>
      <t>果酒（含酒精）;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</si>
  <si>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禄达</t>
    </r>
    <r>
      <rPr>
        <sz val="11"/>
        <color theme="1"/>
        <rFont val="ＭＳ Ｐゴシック"/>
        <family val="3"/>
        <charset val="134"/>
        <scheme val="minor"/>
      </rPr>
      <t>谊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</si>
  <si>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谊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</si>
  <si>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佐餐酒;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白干酒（中国白酒）; 米酒;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开胃酒</t>
    </r>
  </si>
  <si>
    <r>
      <t>千枝</t>
    </r>
    <r>
      <rPr>
        <sz val="11"/>
        <color theme="1"/>
        <rFont val="ＭＳ Ｐゴシック"/>
        <family val="3"/>
        <charset val="134"/>
        <scheme val="minor"/>
      </rPr>
      <t>绿</t>
    </r>
  </si>
  <si>
    <t>四川和璞科技有限公司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</si>
  <si>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威士忌; 青稞酒; 清酒; 伏特加酒; 米酒; 白酒</t>
    </r>
  </si>
  <si>
    <r>
      <t>暂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</si>
  <si>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>暂</t>
    </r>
    <r>
      <rPr>
        <sz val="11"/>
        <color theme="1"/>
        <rFont val="ＭＳ Ｐゴシック"/>
        <family val="3"/>
        <charset val="128"/>
        <scheme val="minor"/>
      </rPr>
      <t>亭概念集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</si>
  <si>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佐餐酒;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</si>
  <si>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禾福久</t>
  </si>
  <si>
    <r>
      <t>王友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</si>
  <si>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果酒（含酒精）;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</si>
  <si>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王侯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</si>
  <si>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凡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</si>
  <si>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</si>
  <si>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毛草香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</si>
  <si>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</si>
  <si>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每益美</t>
  </si>
  <si>
    <r>
      <t>杨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</si>
  <si>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黄酒; 果酒; 葡萄酒</t>
    </r>
  </si>
  <si>
    <t>又食</t>
  </si>
  <si>
    <r>
      <t>郑</t>
    </r>
    <r>
      <rPr>
        <sz val="11"/>
        <color theme="1"/>
        <rFont val="ＭＳ Ｐゴシック"/>
        <family val="3"/>
        <charset val="128"/>
        <scheme val="minor"/>
      </rPr>
      <t>彦章</t>
    </r>
  </si>
  <si>
    <t>沙丘林</t>
  </si>
  <si>
    <t>祁利民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</si>
  <si>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高粱酒; 烈性干酒; 果酒;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</si>
  <si>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格小仙</t>
  </si>
  <si>
    <r>
      <t>弓翠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</si>
  <si>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</si>
  <si>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坛师</t>
    </r>
    <r>
      <rPr>
        <sz val="11"/>
        <color theme="1"/>
        <rFont val="ＭＳ Ｐゴシック"/>
        <family val="3"/>
        <charset val="128"/>
        <scheme val="minor"/>
      </rPr>
      <t>兄</t>
    </r>
  </si>
  <si>
    <t>王水娟</t>
  </si>
  <si>
    <r>
      <t>白酒; 青稞酒;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</si>
  <si>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戎州安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</si>
  <si>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</si>
  <si>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</si>
  <si>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鹿港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古神鹿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</si>
  <si>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朗姆酒; 伏特加酒; 威士忌</t>
    </r>
  </si>
  <si>
    <t>深雅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</si>
  <si>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州金黔酒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</si>
  <si>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清酒; 青稞酒; 食用酒精; 葡萄酒</t>
    </r>
  </si>
  <si>
    <t>悟情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</si>
  <si>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</si>
  <si>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世品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</si>
  <si>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果酒; 利口酒; 白酒</t>
    </r>
  </si>
  <si>
    <t>ABUFF</t>
  </si>
  <si>
    <r>
      <t>诚</t>
    </r>
    <r>
      <rPr>
        <sz val="11"/>
        <color theme="1"/>
        <rFont val="ＭＳ Ｐゴシック"/>
        <family val="3"/>
        <charset val="128"/>
        <scheme val="minor"/>
      </rPr>
      <t>承投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</si>
  <si>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</si>
  <si>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抱瓮佬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</si>
  <si>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安康市硒地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</si>
  <si>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含酒精的气泡水</t>
    </r>
  </si>
  <si>
    <t>UGIRL</t>
  </si>
  <si>
    <t>赵帅</t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</si>
  <si>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伏特加酒; 干型苹果酒;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日式甜米酒</t>
    </r>
  </si>
  <si>
    <r>
      <t>衡奇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</si>
  <si>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青稞酒;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白酒</t>
    </r>
  </si>
  <si>
    <t>荣令</t>
  </si>
  <si>
    <r>
      <t xml:space="preserve">烈酒; 果酒（含酒精）; 开胃酒; 威士忌;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</si>
  <si>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粱上仙</t>
  </si>
  <si>
    <r>
      <t>王</t>
    </r>
    <r>
      <rPr>
        <sz val="11"/>
        <color theme="1"/>
        <rFont val="ＭＳ Ｐゴシック"/>
        <family val="3"/>
        <charset val="134"/>
        <scheme val="minor"/>
      </rPr>
      <t>祯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</si>
  <si>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烈酒;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</si>
  <si>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悦韵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</si>
  <si>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范忠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</si>
  <si>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果酒（含酒精）; 白干酒（中国白酒）</t>
    </r>
  </si>
  <si>
    <t>每益康</t>
  </si>
  <si>
    <r>
      <t xml:space="preserve">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</si>
  <si>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黄酒; 米酒; 青稞酒; 食用酒精</t>
    </r>
  </si>
  <si>
    <t>可舍</t>
  </si>
  <si>
    <r>
      <t>胡雪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</si>
  <si>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汽酒; 清酒（日本米酒）; 白酒; 果酒（含酒精）</t>
    </r>
  </si>
  <si>
    <t>开拓巨牛</t>
  </si>
  <si>
    <r>
      <t xml:space="preserve">葡萄酒; 麦芽威士忌; 白酒; 伏特加酒; 朗姆酒;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</si>
  <si>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权</t>
    </r>
    <r>
      <rPr>
        <sz val="11"/>
        <color theme="1"/>
        <rFont val="ＭＳ Ｐゴシック"/>
        <family val="3"/>
        <charset val="128"/>
        <scheme val="minor"/>
      </rPr>
      <t>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</si>
  <si>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</si>
  <si>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</si>
  <si>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r>
      <t>闹</t>
    </r>
    <r>
      <rPr>
        <sz val="11"/>
        <color theme="1"/>
        <rFont val="ＭＳ Ｐゴシック"/>
        <family val="3"/>
        <charset val="128"/>
        <scheme val="minor"/>
      </rPr>
      <t>家村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</si>
  <si>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堂供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</si>
  <si>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威士忌; 米酒</t>
    </r>
  </si>
  <si>
    <t>逅晤</t>
  </si>
  <si>
    <r>
      <t>惠州逅晤商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</si>
  <si>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</t>
    </r>
  </si>
  <si>
    <t>XBUFF</t>
  </si>
  <si>
    <r>
      <t>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</si>
  <si>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t>WLYBZ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</si>
  <si>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葡萄酒; 威士忌; 米酒; 露酒</t>
    </r>
  </si>
  <si>
    <t>咪斗咪升</t>
  </si>
  <si>
    <r>
      <t>凌雲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禾（成都）科技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</si>
  <si>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</si>
  <si>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麦香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</si>
  <si>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王秀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</si>
  <si>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蜂蜜酒; 汽酒; 米酒; 白酒; 果酒（含酒精）</t>
    </r>
  </si>
  <si>
    <t>福粮情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</si>
  <si>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牌臻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</si>
  <si>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威士忌; 清酒（日本米酒）; 利口酒</t>
    </r>
  </si>
  <si>
    <t>快手可灵</t>
  </si>
  <si>
    <r>
      <t>北京达佳互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</si>
  <si>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</si>
  <si>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中和百</t>
    </r>
    <r>
      <rPr>
        <sz val="11"/>
        <color theme="1"/>
        <rFont val="ＭＳ Ｐゴシック"/>
        <family val="3"/>
        <charset val="134"/>
        <scheme val="minor"/>
      </rPr>
      <t>龄鸟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</si>
  <si>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市中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和祥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</si>
  <si>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黄酒</t>
    </r>
  </si>
  <si>
    <t>友句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</si>
  <si>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</si>
  <si>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唐三关</t>
  </si>
  <si>
    <r>
      <t>潘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</si>
  <si>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 xml:space="preserve">开胃酒; 威士忌; 葡萄酒; 清酒（日本米酒）; 白酒;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</si>
  <si>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凤鸣</t>
    </r>
    <r>
      <rPr>
        <sz val="11"/>
        <color theme="1"/>
        <rFont val="ＭＳ Ｐゴシック"/>
        <family val="3"/>
        <charset val="128"/>
        <scheme val="minor"/>
      </rPr>
      <t>塔</t>
    </r>
  </si>
  <si>
    <r>
      <t>邳州源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</si>
  <si>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</si>
  <si>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山云辞</t>
  </si>
  <si>
    <t>范文博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</si>
  <si>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</si>
  <si>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九圣</t>
    </r>
  </si>
  <si>
    <t>班迪</t>
  </si>
  <si>
    <r>
      <t>米酒; 高粱酒;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白酒; 黄酒; 葡萄酒; 果酒</t>
    </r>
  </si>
  <si>
    <r>
      <t>璞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</si>
  <si>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澳大利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英茂酒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</si>
  <si>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甜果酒</t>
    </r>
  </si>
  <si>
    <t>稻花香地字号</t>
  </si>
  <si>
    <r>
      <t>湖北稻花香酒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</si>
  <si>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</si>
  <si>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州市学控食品有限公司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</si>
  <si>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黄酒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</si>
  <si>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王</t>
    </r>
    <r>
      <rPr>
        <sz val="11"/>
        <color theme="1"/>
        <rFont val="ＭＳ Ｐゴシック"/>
        <family val="3"/>
        <charset val="134"/>
        <scheme val="minor"/>
      </rPr>
      <t>孙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</si>
  <si>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王</t>
    </r>
    <r>
      <rPr>
        <sz val="11"/>
        <color theme="1"/>
        <rFont val="ＭＳ Ｐゴシック"/>
        <family val="3"/>
        <charset val="134"/>
        <scheme val="minor"/>
      </rPr>
      <t>孙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</si>
  <si>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含酒精的气泡水</t>
    </r>
  </si>
  <si>
    <r>
      <t>胡成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</si>
  <si>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</si>
  <si>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傲山海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</si>
  <si>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白酒</t>
    </r>
  </si>
  <si>
    <r>
      <t>冰雪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</si>
  <si>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湖北黄精食代健康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</si>
  <si>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</si>
  <si>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耀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</si>
  <si>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市上虞耀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山生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</si>
  <si>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</t>
    </r>
  </si>
  <si>
    <t>鑫翔舜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</si>
  <si>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鑫翔舜工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</si>
  <si>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</si>
  <si>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吉秀小南河</t>
  </si>
  <si>
    <r>
      <t>李青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</si>
  <si>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</si>
  <si>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晋福里</t>
  </si>
  <si>
    <r>
      <t>闫</t>
    </r>
    <r>
      <rPr>
        <sz val="11"/>
        <color theme="1"/>
        <rFont val="ＭＳ Ｐゴシック"/>
        <family val="3"/>
        <charset val="128"/>
        <scheme val="minor"/>
      </rPr>
      <t>永智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</si>
  <si>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</si>
  <si>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</si>
  <si>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论剑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</si>
  <si>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米酒;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</si>
  <si>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安娜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瑟莉</t>
    </r>
  </si>
  <si>
    <r>
      <t>四川安娜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瑟莉服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</si>
  <si>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黄酒; 梅酒; 威士忌; 高粱酒; 白酒; 米酒</t>
    </r>
  </si>
  <si>
    <t>可灵 AI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</si>
  <si>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白酒; 果酒（含酒精）; 开胃酒;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</si>
  <si>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衡徽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</si>
  <si>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</si>
  <si>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ANNA CASELLI</t>
  </si>
  <si>
    <r>
      <t>梅酒; 葡萄酒;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威士忌; 高粱酒; 清酒</t>
    </r>
  </si>
  <si>
    <t>粮仙女</t>
  </si>
  <si>
    <r>
      <t xml:space="preserve">葡萄酒;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米酒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</si>
  <si>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方碧霞</t>
    </r>
  </si>
  <si>
    <r>
      <t>泰安碧霞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</si>
  <si>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甜酒</t>
    </r>
  </si>
  <si>
    <t>梁九洲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</si>
  <si>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葡萄酒; 甜酒;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清酒</t>
    </r>
  </si>
  <si>
    <r>
      <t>唐粮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</si>
  <si>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高粱酒;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清酒; 果酒; 甜酒; 白酒</t>
    </r>
  </si>
  <si>
    <t>茶威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</si>
  <si>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雅克酒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</si>
  <si>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果酒（含酒精）; 利口酒;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</si>
  <si>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韬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</si>
  <si>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深圳市沈坤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</si>
  <si>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米酒; 黄酒; 利口酒;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白酒; 果酒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</si>
  <si>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沐春堂</t>
    </r>
  </si>
  <si>
    <r>
      <t>漯河利通液</t>
    </r>
    <r>
      <rPr>
        <sz val="11"/>
        <color theme="1"/>
        <rFont val="ＭＳ Ｐゴシック"/>
        <family val="3"/>
        <charset val="134"/>
        <scheme val="minor"/>
      </rPr>
      <t>压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</si>
  <si>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</t>
    </r>
  </si>
  <si>
    <r>
      <t>圣安德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斯网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</si>
  <si>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九保文韵</t>
  </si>
  <si>
    <r>
      <t>梁河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云平食品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</si>
  <si>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果酒（含酒精）; 葡萄酒; 开胃酒; 白酒; 汽酒</t>
    </r>
  </si>
  <si>
    <r>
      <t>馨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</si>
  <si>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梅酒;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</t>
    </r>
  </si>
  <si>
    <t>半朴</t>
  </si>
  <si>
    <r>
      <t>清酒（日本米酒）; 威士忌; 梅酒; 白酒;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</si>
  <si>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福昕然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</si>
  <si>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</si>
  <si>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白干酒（中国白酒）; 黄酒; 高粱酒; 果酒; 梅酒; 米酒</t>
    </r>
  </si>
  <si>
    <t>掼创</t>
  </si>
  <si>
    <r>
      <t>安徽中科</t>
    </r>
    <r>
      <rPr>
        <sz val="11"/>
        <color theme="1"/>
        <rFont val="ＭＳ Ｐゴシック"/>
        <family val="3"/>
        <charset val="134"/>
        <scheme val="minor"/>
      </rPr>
      <t>创艺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</si>
  <si>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果酒;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</si>
  <si>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祖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</si>
  <si>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道文化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</si>
  <si>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果酒; 米酒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</si>
  <si>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新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</si>
  <si>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贯贸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</si>
  <si>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白酒; 果酒（含酒精）; 葡萄酒; 伏特加酒</t>
    </r>
  </si>
  <si>
    <r>
      <t>九鹿</t>
    </r>
    <r>
      <rPr>
        <sz val="11"/>
        <color theme="1"/>
        <rFont val="ＭＳ Ｐゴシック"/>
        <family val="3"/>
        <charset val="134"/>
        <scheme val="minor"/>
      </rPr>
      <t>门</t>
    </r>
  </si>
  <si>
    <t>李安彧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</si>
  <si>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</si>
  <si>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唐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</si>
  <si>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 xml:space="preserve">黄酒; 米酒;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高粱酒; 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</si>
  <si>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茫涯</t>
  </si>
  <si>
    <t>南通喜善运力物流有限公司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</si>
  <si>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清酒; 果酒（含酒精）; 米酒; 黄酒; 果酒</t>
    </r>
  </si>
  <si>
    <t>泰山佑</t>
  </si>
  <si>
    <r>
      <t>泰山酒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</si>
  <si>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清酒; 露酒;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</t>
    </r>
  </si>
  <si>
    <r>
      <t>梦千</t>
    </r>
    <r>
      <rPr>
        <sz val="11"/>
        <color theme="1"/>
        <rFont val="ＭＳ Ｐゴシック"/>
        <family val="3"/>
        <charset val="134"/>
        <scheme val="minor"/>
      </rPr>
      <t>岁</t>
    </r>
  </si>
  <si>
    <t>王婷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</si>
  <si>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加烈葡萄酒; 米酒; 果酒（含酒精）; 清酒（日本米酒）; 白酒; 白干酒（中国白酒）</t>
    </r>
  </si>
  <si>
    <r>
      <t>集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和</t>
    </r>
  </si>
  <si>
    <t>肖甜</t>
  </si>
  <si>
    <r>
      <t>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果酒（含酒精）; 朗姆酒;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</si>
  <si>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意启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</si>
  <si>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聚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</si>
  <si>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</si>
  <si>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启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</si>
  <si>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</si>
  <si>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画意启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</si>
  <si>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</si>
  <si>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富焰</t>
  </si>
  <si>
    <r>
      <t>刘</t>
    </r>
    <r>
      <rPr>
        <sz val="11"/>
        <color theme="1"/>
        <rFont val="ＭＳ Ｐゴシック"/>
        <family val="3"/>
        <charset val="134"/>
        <scheme val="minor"/>
      </rPr>
      <t>远浈</t>
    </r>
  </si>
  <si>
    <r>
      <t xml:space="preserve">葡萄酒; 威士忌; 烈酒;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果酒（含酒精）</t>
    </r>
  </si>
  <si>
    <r>
      <t>虎秘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</si>
  <si>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丹丹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</si>
  <si>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</si>
  <si>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柳叶道</t>
  </si>
  <si>
    <r>
      <t>洛阳柳叶道餐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</si>
  <si>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白酒; 黄酒; 开胃酒;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</si>
  <si>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熹世</t>
    </r>
  </si>
  <si>
    <t>李万琴</t>
  </si>
  <si>
    <r>
      <t>青稞酒;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</si>
  <si>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诵</t>
    </r>
    <r>
      <rPr>
        <sz val="11"/>
        <color theme="1"/>
        <rFont val="ＭＳ Ｐゴシック"/>
        <family val="3"/>
        <charset val="128"/>
        <scheme val="minor"/>
      </rPr>
      <t>唐</t>
    </r>
  </si>
  <si>
    <t>王玉根</t>
  </si>
  <si>
    <r>
      <t>果酒（含酒精）; 葡萄酒; 伏特加酒; 烈酒;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清酒（日本米酒）</t>
    </r>
  </si>
  <si>
    <r>
      <t>帮厨</t>
    </r>
    <r>
      <rPr>
        <sz val="11"/>
        <color theme="1"/>
        <rFont val="ＭＳ Ｐゴシック"/>
        <family val="3"/>
        <charset val="134"/>
        <scheme val="minor"/>
      </rPr>
      <t>兴</t>
    </r>
  </si>
  <si>
    <t>李雪冬</t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</si>
  <si>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甜酒; 白干酒（中国白酒）; 黄酒; 白酒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</si>
  <si>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肴</t>
    </r>
    <r>
      <rPr>
        <sz val="11"/>
        <color theme="1"/>
        <rFont val="ＭＳ Ｐゴシック"/>
        <family val="3"/>
        <charset val="134"/>
        <scheme val="minor"/>
      </rPr>
      <t>篮</t>
    </r>
  </si>
  <si>
    <r>
      <t>台州市碧水清泉生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</si>
  <si>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米酒; 清酒</t>
    </r>
  </si>
  <si>
    <t>佛山市摩法一道科技有限公司</t>
  </si>
  <si>
    <r>
      <t>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葡萄酒; 米酒; 黄酒</t>
    </r>
  </si>
  <si>
    <t>粱九圣</t>
  </si>
  <si>
    <r>
      <t xml:space="preserve">高粱酒;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清酒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</si>
  <si>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</si>
  <si>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白酒; 米酒; 黄酒; 清酒; 甜酒; 葡萄酒;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</si>
  <si>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情启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</si>
  <si>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</si>
  <si>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圣威旺</t>
  </si>
  <si>
    <r>
      <t>圣</t>
    </r>
    <r>
      <rPr>
        <sz val="11"/>
        <color theme="1"/>
        <rFont val="ＭＳ Ｐゴシック"/>
        <family val="3"/>
        <charset val="134"/>
        <scheme val="minor"/>
      </rPr>
      <t>峤</t>
    </r>
    <r>
      <rPr>
        <sz val="11"/>
        <color theme="1"/>
        <rFont val="ＭＳ Ｐゴシック"/>
        <family val="3"/>
        <charset val="128"/>
        <scheme val="minor"/>
      </rPr>
      <t>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</si>
  <si>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</si>
  <si>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黔古基</t>
  </si>
  <si>
    <t>刘巧梅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</si>
  <si>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伏特加酒;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</si>
  <si>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湖丰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</si>
  <si>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神池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泽农业发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</si>
  <si>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薄荷酒; 米酒; 果酒（含酒精）; 蜂蜜酒; 伏特加酒; 混合威士忌酒; 朗姆酒; 利口酒; 白干酒（中国白酒）; 干型苹果酒</t>
  </si>
  <si>
    <t>金名禧</t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</si>
  <si>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</si>
  <si>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正星</t>
    </r>
  </si>
  <si>
    <r>
      <t>海南林政易投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</si>
  <si>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蜂蜜酒; 开胃酒; 黄酒;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苹果酒</t>
    </r>
  </si>
  <si>
    <t>BODYFEEL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</si>
  <si>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沙浴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未来科技有限公司</t>
    </r>
  </si>
  <si>
    <r>
      <t>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</si>
  <si>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酷侈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</si>
  <si>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贵玺</t>
    </r>
    <r>
      <rPr>
        <sz val="11"/>
        <color theme="1"/>
        <rFont val="ＭＳ Ｐゴシック"/>
        <family val="3"/>
        <charset val="128"/>
        <scheme val="minor"/>
      </rPr>
      <t>茶叶有限公司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</si>
  <si>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</si>
  <si>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BATHFEEL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</si>
  <si>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</si>
  <si>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r>
      <t>巴来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</si>
  <si>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浙江巴来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</si>
  <si>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 xml:space="preserve">苦味酒; 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苹果酒; 餐后酒（利口酒和烈酒）;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白酒; 果酒（含酒精）;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族...</t>
    </r>
  </si>
  <si>
    <t>樊晋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</si>
  <si>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</si>
  <si>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ANNA CASELLI CLUB</t>
  </si>
  <si>
    <r>
      <t>白酒; 黄酒; 葡萄酒; 清酒; 高粱酒;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米酒</t>
    </r>
  </si>
  <si>
    <r>
      <t>衡夏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</si>
  <si>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伏特加酒;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白酒;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</si>
  <si>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健享道</t>
  </si>
  <si>
    <r>
      <t>北京康复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体育科技有限公司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</si>
  <si>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烈酒</t>
    </r>
  </si>
  <si>
    <t>博食仙品</t>
  </si>
  <si>
    <t>博食倍康科技（上海）有限公司</t>
  </si>
  <si>
    <r>
      <t xml:space="preserve">威士忌; 黄酒; 清酒（日本米酒）; 果酒（含酒精）; 葡萄酒;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</si>
  <si>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</si>
  <si>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</si>
  <si>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白酒;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</si>
  <si>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信******************</t>
    </r>
  </si>
  <si>
    <r>
      <t>葡萄酒; 白酒; 米酒; 果酒（含酒精）;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</si>
  <si>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壹辰万豪</t>
  </si>
  <si>
    <r>
      <t>湖南壹辰影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</si>
  <si>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</si>
  <si>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丝绸玛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</si>
  <si>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维汉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</si>
  <si>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</t>
    </r>
  </si>
  <si>
    <t>舟有味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</si>
  <si>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佰德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</si>
  <si>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</si>
  <si>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米小力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</si>
  <si>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耕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</si>
  <si>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清酒;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</si>
  <si>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r>
      <t>恒一名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</si>
  <si>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深圳市盛世一方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</si>
  <si>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米酒</t>
    </r>
  </si>
  <si>
    <r>
      <t>严跃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</si>
  <si>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</si>
  <si>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</si>
  <si>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霜伊</t>
  </si>
  <si>
    <r>
      <t>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白酒; 露酒;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</si>
  <si>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中吉融盛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</si>
  <si>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西中吉融盛科技有限公司</t>
    </r>
  </si>
  <si>
    <r>
      <t>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</si>
  <si>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易茶尊</t>
  </si>
  <si>
    <r>
      <t>华</t>
    </r>
    <r>
      <rPr>
        <sz val="11"/>
        <color theme="1"/>
        <rFont val="ＭＳ Ｐゴシック"/>
        <family val="3"/>
        <charset val="128"/>
        <scheme val="minor"/>
      </rPr>
      <t>易茶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</si>
  <si>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威士忌;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</si>
  <si>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阅远</t>
  </si>
  <si>
    <r>
      <t>米酒;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</t>
    </r>
  </si>
  <si>
    <t>KAKAYE</t>
  </si>
  <si>
    <r>
      <t>卡卡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</si>
  <si>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朗姆酒; 伏特加酒; 开胃酒; 汽酒; 果酒（含酒精）; 薄荷酒</t>
    </r>
  </si>
  <si>
    <r>
      <t>素</t>
    </r>
    <r>
      <rPr>
        <sz val="11"/>
        <color theme="1"/>
        <rFont val="ＭＳ Ｐゴシック"/>
        <family val="3"/>
        <charset val="134"/>
        <scheme val="minor"/>
      </rPr>
      <t>顶顶</t>
    </r>
  </si>
  <si>
    <r>
      <t>深圳市素</t>
    </r>
    <r>
      <rPr>
        <sz val="11"/>
        <color theme="1"/>
        <rFont val="ＭＳ Ｐゴシック"/>
        <family val="3"/>
        <charset val="134"/>
        <scheme val="minor"/>
      </rPr>
      <t>顶顶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</si>
  <si>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朗姆酒;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威士忌; 葡萄酒</t>
    </r>
  </si>
  <si>
    <t>兴岚</t>
  </si>
  <si>
    <r>
      <t>日照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</si>
  <si>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利口酒; 黄酒;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</si>
  <si>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LE COSE BELLA</t>
  </si>
  <si>
    <r>
      <t>李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</si>
  <si>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茴香酒（利口酒）;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白酒; 薄荷酒; 苦味酒;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茴芹酒（利口酒）; 开胃酒</t>
    </r>
  </si>
  <si>
    <r>
      <t>伊伊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</si>
  <si>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浙江伊伊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</si>
  <si>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</si>
  <si>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熊猫</t>
    </r>
    <r>
      <rPr>
        <sz val="11"/>
        <color theme="1"/>
        <rFont val="ＭＳ Ｐゴシック"/>
        <family val="3"/>
        <charset val="134"/>
        <scheme val="minor"/>
      </rPr>
      <t>戏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</si>
  <si>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方竹宝（成都）科技有限公司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</si>
  <si>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白酒; 黄酒; 米酒</t>
    </r>
  </si>
  <si>
    <r>
      <t>白酒; 清酒（日本米酒）; 朗姆酒; 葡萄酒; 米酒; 威士忌; 麦芽威士忌;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</si>
  <si>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</si>
  <si>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</si>
  <si>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来福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壹</t>
    </r>
    <r>
      <rPr>
        <sz val="11"/>
        <color theme="1"/>
        <rFont val="ＭＳ Ｐゴシック"/>
        <family val="3"/>
        <charset val="134"/>
        <scheme val="minor"/>
      </rPr>
      <t>叁</t>
    </r>
  </si>
  <si>
    <r>
      <t>湖南无我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壹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</si>
  <si>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</si>
  <si>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果果玩味家</t>
  </si>
  <si>
    <r>
      <t>程誉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</si>
  <si>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薄荷酒;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白酒; 清酒;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</si>
  <si>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千井醉</t>
  </si>
  <si>
    <r>
      <t>淮南市中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广告装</t>
    </r>
    <r>
      <rPr>
        <sz val="11"/>
        <color theme="1"/>
        <rFont val="ＭＳ Ｐゴシック"/>
        <family val="3"/>
        <charset val="134"/>
        <scheme val="minor"/>
      </rPr>
      <t>饰艺术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</si>
  <si>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</si>
  <si>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香城</t>
    </r>
    <r>
      <rPr>
        <sz val="11"/>
        <color theme="1"/>
        <rFont val="ＭＳ Ｐゴシック"/>
        <family val="3"/>
        <charset val="134"/>
        <scheme val="minor"/>
      </rPr>
      <t>岚劲</t>
    </r>
  </si>
  <si>
    <r>
      <t>肖开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</si>
  <si>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 xml:space="preserve">葡萄酒; 白干酒（中国白酒）;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</si>
  <si>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拾壹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壹</t>
    </r>
    <r>
      <rPr>
        <sz val="11"/>
        <color theme="1"/>
        <rFont val="ＭＳ Ｐゴシック"/>
        <family val="3"/>
        <charset val="134"/>
        <scheme val="minor"/>
      </rPr>
      <t>叁</t>
    </r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</si>
  <si>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</si>
  <si>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立林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</si>
  <si>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立林科技有限公司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</si>
  <si>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白酒; 威士忌;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</si>
  <si>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你出彩</t>
    </r>
  </si>
  <si>
    <r>
      <t>温州禾木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</si>
  <si>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白酒; 清酒;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梅酒;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</si>
  <si>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永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</si>
  <si>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</si>
  <si>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露酒; 果酒（含酒精）;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</si>
  <si>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去野</t>
    </r>
    <r>
      <rPr>
        <sz val="11"/>
        <color theme="1"/>
        <rFont val="ＭＳ Ｐゴシック"/>
        <family val="3"/>
        <charset val="134"/>
        <scheme val="minor"/>
      </rPr>
      <t>埊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</si>
  <si>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州山水土品牌管理有限公司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</si>
  <si>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</si>
  <si>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花无双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</si>
  <si>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</si>
  <si>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</si>
  <si>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晟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</si>
  <si>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伏特加酒; 烈酒</t>
    </r>
  </si>
  <si>
    <r>
      <t>华艺</t>
    </r>
    <r>
      <rPr>
        <sz val="11"/>
        <color theme="1"/>
        <rFont val="ＭＳ Ｐゴシック"/>
        <family val="3"/>
        <charset val="128"/>
        <scheme val="minor"/>
      </rPr>
      <t>淘珍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</si>
  <si>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华艺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拍</t>
    </r>
    <r>
      <rPr>
        <sz val="11"/>
        <color theme="1"/>
        <rFont val="ＭＳ Ｐゴシック"/>
        <family val="3"/>
        <charset val="134"/>
        <scheme val="minor"/>
      </rPr>
      <t>卖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</si>
  <si>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清酒（日本米酒）; 朗姆酒;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</si>
  <si>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百达</t>
    </r>
    <r>
      <rPr>
        <sz val="11"/>
        <color theme="1"/>
        <rFont val="ＭＳ Ｐゴシック"/>
        <family val="3"/>
        <charset val="134"/>
        <scheme val="minor"/>
      </rPr>
      <t>鸟</t>
    </r>
  </si>
  <si>
    <t>杭州鑫国韵科技有限公司</t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</si>
  <si>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清酒（日本米酒）;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</si>
  <si>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阅颜</t>
  </si>
  <si>
    <r>
      <t>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白酒;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</t>
    </r>
  </si>
  <si>
    <r>
      <t>隐</t>
    </r>
    <r>
      <rPr>
        <sz val="11"/>
        <color theme="1"/>
        <rFont val="ＭＳ Ｐゴシック"/>
        <family val="3"/>
        <charset val="128"/>
        <scheme val="minor"/>
      </rPr>
      <t>痕</t>
    </r>
  </si>
  <si>
    <r>
      <t>露酒;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果酒（含酒精）</t>
    </r>
  </si>
  <si>
    <r>
      <t>清新之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</si>
  <si>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大瓷坊酒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</si>
  <si>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青梅酒; 烈酒; 露酒;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</si>
  <si>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欧帕拉</t>
  </si>
  <si>
    <r>
      <t>巴塘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圣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膳</t>
    </r>
    <r>
      <rPr>
        <sz val="11"/>
        <color theme="1"/>
        <rFont val="ＭＳ Ｐゴシック"/>
        <family val="3"/>
        <charset val="134"/>
        <scheme val="minor"/>
      </rPr>
      <t>缘电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</si>
  <si>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</si>
  <si>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r>
      <t>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</t>
    </r>
  </si>
  <si>
    <r>
      <t>四川回望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</si>
  <si>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白干酒（中国白酒）; 白酒; 黄酒;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</si>
  <si>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祥太医</t>
  </si>
  <si>
    <t>潘立国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</si>
  <si>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葡萄酒; 青稞酒; 米酒</t>
    </r>
  </si>
  <si>
    <r>
      <t>千古云</t>
    </r>
    <r>
      <rPr>
        <sz val="11"/>
        <color theme="1"/>
        <rFont val="ＭＳ Ｐゴシック"/>
        <family val="3"/>
        <charset val="134"/>
        <scheme val="minor"/>
      </rPr>
      <t>长</t>
    </r>
  </si>
  <si>
    <t>西安灵境起源文化科技有限公司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</si>
  <si>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食用酒精; 果酒; 葡萄酒; 威士忌; 青稞酒</t>
    </r>
  </si>
  <si>
    <r>
      <t>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市南宝山</t>
    </r>
    <r>
      <rPr>
        <sz val="11"/>
        <color theme="1"/>
        <rFont val="ＭＳ Ｐゴシック"/>
        <family val="3"/>
        <charset val="134"/>
        <scheme val="minor"/>
      </rPr>
      <t>镇农业综</t>
    </r>
    <r>
      <rPr>
        <sz val="11"/>
        <color theme="1"/>
        <rFont val="ＭＳ Ｐゴシック"/>
        <family val="3"/>
        <charset val="128"/>
        <scheme val="minor"/>
      </rPr>
      <t>合服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</si>
  <si>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果酒; 白酒;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高粱酒; 青稞酒;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</si>
  <si>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大哲和文子</t>
  </si>
  <si>
    <r>
      <t>孙</t>
    </r>
    <r>
      <rPr>
        <sz val="11"/>
        <color theme="1"/>
        <rFont val="ＭＳ Ｐゴシック"/>
        <family val="3"/>
        <charset val="128"/>
        <scheme val="minor"/>
      </rPr>
      <t>哲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</si>
  <si>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日式甜米酒; 黄酒; 白酒; 葡萄酒;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</si>
  <si>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AVKC</t>
  </si>
  <si>
    <r>
      <t>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</si>
  <si>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果酒; 葡萄酒; 黄酒; 白酒; 朗姆酒;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</si>
  <si>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KA FEI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</si>
  <si>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五指毛桃酒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</si>
  <si>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汽酒; 葡萄酒;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威士忌; 黄酒;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</si>
  <si>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帽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星球 BLINGBLINGLAND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</si>
  <si>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志豪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</si>
  <si>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米酒; 清酒;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</si>
  <si>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王越虎山</t>
  </si>
  <si>
    <r>
      <t>南京好女儿酒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</si>
  <si>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米酒;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</si>
  <si>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儒家三少</t>
  </si>
  <si>
    <r>
      <t>济</t>
    </r>
    <r>
      <rPr>
        <sz val="11"/>
        <color theme="1"/>
        <rFont val="ＭＳ Ｐゴシック"/>
        <family val="3"/>
        <charset val="128"/>
        <scheme val="minor"/>
      </rPr>
      <t>宁市三郎酒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</si>
  <si>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汽酒; 米酒; 甜酒; 青稞酒</t>
    </r>
  </si>
  <si>
    <t>制中堂</t>
  </si>
  <si>
    <r>
      <t>美界投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</si>
  <si>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白酒;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</si>
  <si>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花旗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</si>
  <si>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</si>
  <si>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龙腾飞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</si>
  <si>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市都山古</t>
    </r>
    <r>
      <rPr>
        <sz val="11"/>
        <color theme="1"/>
        <rFont val="ＭＳ Ｐゴシック"/>
        <family val="3"/>
        <charset val="134"/>
        <scheme val="minor"/>
      </rPr>
      <t>贡农业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</si>
  <si>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水果汽酒; 烈酒; 果酒; 葡萄酒;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</si>
  <si>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小令</t>
    </r>
  </si>
  <si>
    <r>
      <t>北京派</t>
    </r>
    <r>
      <rPr>
        <sz val="11"/>
        <color theme="1"/>
        <rFont val="ＭＳ Ｐゴシック"/>
        <family val="3"/>
        <charset val="134"/>
        <scheme val="minor"/>
      </rPr>
      <t>对</t>
    </r>
    <r>
      <rPr>
        <sz val="11"/>
        <color theme="1"/>
        <rFont val="ＭＳ Ｐゴシック"/>
        <family val="3"/>
        <charset val="128"/>
        <scheme val="minor"/>
      </rPr>
      <t>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</si>
  <si>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葡萄酒;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</si>
  <si>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晏阳春</t>
  </si>
  <si>
    <r>
      <t>河北二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</si>
  <si>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果酒（含酒精）; 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</si>
  <si>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柒酉</t>
  </si>
  <si>
    <t>吴荣光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</si>
  <si>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高粱酒; 白酒; 清酒（日本米酒）; 米酒; 伏特加酒; 黄酒</t>
    </r>
  </si>
  <si>
    <t>道薇来</t>
  </si>
  <si>
    <t>紫薇（广州）科技有限公司</t>
  </si>
  <si>
    <r>
      <t xml:space="preserve">苦艾酒;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草本型利口酒; 白酒; 葡萄酒; 米酒; 果酒</t>
    </r>
  </si>
  <si>
    <r>
      <t>玛萨</t>
    </r>
    <r>
      <rPr>
        <sz val="11"/>
        <color theme="1"/>
        <rFont val="ＭＳ Ｐゴシック"/>
        <family val="3"/>
        <charset val="128"/>
        <scheme val="minor"/>
      </rPr>
      <t>仕克</t>
    </r>
  </si>
  <si>
    <r>
      <t>田付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</si>
  <si>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葡萄酒;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</si>
  <si>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雪林佤山</t>
  </si>
  <si>
    <r>
      <t>澜沧</t>
    </r>
    <r>
      <rPr>
        <sz val="11"/>
        <color theme="1"/>
        <rFont val="ＭＳ Ｐゴシック"/>
        <family val="3"/>
        <charset val="128"/>
        <scheme val="minor"/>
      </rPr>
      <t>拉祜族自治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雪林佤族</t>
    </r>
    <r>
      <rPr>
        <sz val="11"/>
        <color theme="1"/>
        <rFont val="ＭＳ Ｐゴシック"/>
        <family val="3"/>
        <charset val="134"/>
        <scheme val="minor"/>
      </rPr>
      <t>乡农业综</t>
    </r>
    <r>
      <rPr>
        <sz val="11"/>
        <color theme="1"/>
        <rFont val="ＭＳ Ｐゴシック"/>
        <family val="3"/>
        <charset val="128"/>
        <scheme val="minor"/>
      </rPr>
      <t>合服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</si>
  <si>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汽酒;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葡萄酒;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</si>
  <si>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玄医扁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</si>
  <si>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四川合</t>
    </r>
    <r>
      <rPr>
        <sz val="11"/>
        <color theme="1"/>
        <rFont val="ＭＳ Ｐゴシック"/>
        <family val="3"/>
        <charset val="134"/>
        <scheme val="minor"/>
      </rPr>
      <t>纵药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</si>
  <si>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</si>
  <si>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磨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</si>
  <si>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湖南山水客文化旅游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</si>
  <si>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</t>
    </r>
  </si>
  <si>
    <t>ADA OVERLAND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</si>
  <si>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外用品有限公司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</si>
  <si>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</si>
  <si>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光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</si>
  <si>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</si>
  <si>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白酒; 威士忌;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</si>
  <si>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静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</si>
  <si>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清酒（日本米酒）;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</si>
  <si>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瑾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</t>
    </r>
  </si>
  <si>
    <r>
      <t>烈酒;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</si>
  <si>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号令江湖</t>
  </si>
  <si>
    <r>
      <t>燕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</si>
  <si>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 xml:space="preserve">青梅酒; 米酒; 威士忌; 黄酒;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</t>
    </r>
  </si>
  <si>
    <t>宏莘和德</t>
  </si>
  <si>
    <r>
      <t>北京宏莘和德餐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</si>
  <si>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</si>
  <si>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海南一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</si>
  <si>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苹果酒</t>
    </r>
  </si>
  <si>
    <r>
      <t>YNVISIBOLO 英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士保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</si>
  <si>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泉州市一片云商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</si>
  <si>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果酒（含酒精）; 米酒</t>
    </r>
  </si>
  <si>
    <t>浙酉</t>
  </si>
  <si>
    <t>王永超</t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</si>
  <si>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五加皮酒（中国混合烈酒）; 利口酒; 葡萄酒; 白酒; 朗姆酒;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</si>
  <si>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驿满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</si>
  <si>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寿堂（广州）生物科技有限公司</t>
    </r>
  </si>
  <si>
    <r>
      <t>梅酒;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黄酒; 白酒</t>
    </r>
  </si>
  <si>
    <t>落草河畔</t>
  </si>
  <si>
    <r>
      <t>唐山市丰南区胥各庄</t>
    </r>
    <r>
      <rPr>
        <sz val="11"/>
        <color theme="1"/>
        <rFont val="ＭＳ Ｐゴシック"/>
        <family val="3"/>
        <charset val="134"/>
        <scheme val="minor"/>
      </rPr>
      <t>镇农业发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</si>
  <si>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伏特加酒;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</si>
  <si>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蕙京稷</t>
  </si>
  <si>
    <r>
      <t>河北蕙稷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</si>
  <si>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</si>
  <si>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樽封天下</t>
  </si>
  <si>
    <r>
      <t>常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</si>
  <si>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威士忌;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</si>
  <si>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黔鹿升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</si>
  <si>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州豪美建筑工程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</si>
  <si>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</si>
  <si>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久零哥</t>
  </si>
  <si>
    <t>彭兵香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</si>
  <si>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甜酒;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伏特加酒;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</si>
  <si>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雪溪大唐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花园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</si>
  <si>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水果汽酒;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梅酒; 葡萄酒; 清酒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</si>
  <si>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为</t>
    </r>
  </si>
  <si>
    <t>吕晓丽</t>
  </si>
  <si>
    <r>
      <t>果酒;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汽酒; 青稞酒; 葡萄酒; 白酒</t>
    </r>
  </si>
  <si>
    <t>春宇坊</t>
  </si>
  <si>
    <r>
      <t>周永</t>
    </r>
    <r>
      <rPr>
        <sz val="11"/>
        <color theme="1"/>
        <rFont val="ＭＳ Ｐゴシック"/>
        <family val="3"/>
        <charset val="134"/>
        <scheme val="minor"/>
      </rPr>
      <t>烁</t>
    </r>
  </si>
  <si>
    <r>
      <t>葡萄酒;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</si>
  <si>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无缺</t>
    </r>
  </si>
  <si>
    <r>
      <t>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米酒</t>
    </r>
  </si>
  <si>
    <r>
      <t>九歌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江湖</t>
    </r>
  </si>
  <si>
    <r>
      <t>湖南湘教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香版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</si>
  <si>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</si>
  <si>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t>雪宇宙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</si>
  <si>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思高宜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</si>
  <si>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</si>
  <si>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嫡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</si>
  <si>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</si>
  <si>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霜依</t>
  </si>
  <si>
    <r>
      <t>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汽酒; 威士忌; 果酒（含酒精）; 利口酒</t>
    </r>
  </si>
  <si>
    <t>山葫禄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</si>
  <si>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庆呓观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</si>
  <si>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清酒（日本米酒）; 米酒; 黄酒; 白酒; 梨酒; 利口酒</t>
    </r>
  </si>
  <si>
    <r>
      <t>梅仆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</si>
  <si>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露酒</t>
    </r>
  </si>
  <si>
    <t>三合翼樽</t>
  </si>
  <si>
    <r>
      <t>北京德科瑞医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</si>
  <si>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葡萄酒; 蜂蜜酒; 黄酒; 白酒; 果酒; 开胃酒; 清酒; 米酒; 苦艾酒; 薄荷酒</t>
  </si>
  <si>
    <t>老程哥</t>
  </si>
  <si>
    <r>
      <t>程道</t>
    </r>
    <r>
      <rPr>
        <sz val="11"/>
        <color theme="1"/>
        <rFont val="ＭＳ Ｐゴシック"/>
        <family val="3"/>
        <charset val="134"/>
        <scheme val="minor"/>
      </rPr>
      <t>训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</si>
  <si>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</si>
  <si>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驿</t>
    </r>
    <r>
      <rPr>
        <sz val="11"/>
        <color theme="1"/>
        <rFont val="ＭＳ Ｐゴシック"/>
        <family val="3"/>
        <charset val="128"/>
        <scheme val="minor"/>
      </rPr>
      <t>家酒窖</t>
    </r>
  </si>
  <si>
    <t>吴琳</t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</si>
  <si>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苹果酒; 米酒; 果酒（含酒精）</t>
    </r>
  </si>
  <si>
    <r>
      <t>锦润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</si>
  <si>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果酒（含酒精）; 白酒; 威士忌; 含酒精的气泡水;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</si>
  <si>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听征</t>
  </si>
  <si>
    <r>
      <t>张</t>
    </r>
    <r>
      <rPr>
        <sz val="11"/>
        <color theme="1"/>
        <rFont val="ＭＳ Ｐゴシック"/>
        <family val="3"/>
        <charset val="128"/>
        <scheme val="minor"/>
      </rPr>
      <t>春明</t>
    </r>
  </si>
  <si>
    <r>
      <t>米酒; 葡萄酒;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</si>
  <si>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玄景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</si>
  <si>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湖北大岳玄境文化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</si>
  <si>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清酒; 米酒;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梅酒</t>
    </r>
  </si>
  <si>
    <t>岐雷堂</t>
  </si>
  <si>
    <t>潘微</t>
  </si>
  <si>
    <r>
      <t>蜂蜜酒;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苦味酒; 黄酒; 果酒; 白酒</t>
    </r>
  </si>
  <si>
    <r>
      <t>塘川睿</t>
    </r>
    <r>
      <rPr>
        <sz val="11"/>
        <color theme="1"/>
        <rFont val="ＭＳ Ｐゴシック"/>
        <family val="3"/>
        <charset val="134"/>
        <scheme val="minor"/>
      </rPr>
      <t>酿</t>
    </r>
  </si>
  <si>
    <t>林炳哨</t>
  </si>
  <si>
    <r>
      <t xml:space="preserve">利口酒; 开胃酒; 蜂蜜酒;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苦味酒; 米酒; 梨酒</t>
    </r>
  </si>
  <si>
    <r>
      <t>护</t>
    </r>
    <r>
      <rPr>
        <sz val="11"/>
        <color theme="1"/>
        <rFont val="ＭＳ Ｐゴシック"/>
        <family val="3"/>
        <charset val="128"/>
        <scheme val="minor"/>
      </rPr>
      <t>小哥</t>
    </r>
  </si>
  <si>
    <r>
      <t>林鼎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</si>
  <si>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米酒; 葡萄酒;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</si>
  <si>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精功夫</t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</si>
  <si>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</t>
    </r>
  </si>
  <si>
    <r>
      <t>喵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</si>
  <si>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江西米祖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</si>
  <si>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米酒; 麦芽威士忌; 白酒; 含酒精的气泡水</t>
    </r>
  </si>
  <si>
    <t>昂淳</t>
  </si>
  <si>
    <r>
      <t>杨</t>
    </r>
    <r>
      <rPr>
        <sz val="11"/>
        <color theme="1"/>
        <rFont val="ＭＳ Ｐゴシック"/>
        <family val="3"/>
        <charset val="128"/>
        <scheme val="minor"/>
      </rPr>
      <t>雷宇</t>
    </r>
  </si>
  <si>
    <r>
      <t>开胃酒;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</si>
  <si>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CENSTONE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</si>
  <si>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宝而瑞企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</si>
  <si>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</si>
  <si>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中康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</si>
  <si>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</si>
  <si>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食用酒精; 米酒;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</si>
  <si>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零</t>
    </r>
    <r>
      <rPr>
        <sz val="11"/>
        <color theme="1"/>
        <rFont val="ＭＳ Ｐゴシック"/>
        <family val="3"/>
        <charset val="134"/>
        <scheme val="minor"/>
      </rPr>
      <t>滩</t>
    </r>
  </si>
  <si>
    <r>
      <t>绿动</t>
    </r>
    <r>
      <rPr>
        <sz val="11"/>
        <color theme="1"/>
        <rFont val="ＭＳ Ｐゴシック"/>
        <family val="3"/>
        <charset val="128"/>
        <scheme val="minor"/>
      </rPr>
      <t>达人（海南）科技有限公司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</si>
  <si>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米酒; 白酒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</si>
  <si>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</si>
  <si>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 xml:space="preserve">开胃酒; 黄酒;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清酒; 利口酒; 葡萄酒</t>
    </r>
  </si>
  <si>
    <t>道粮吟</t>
  </si>
  <si>
    <r>
      <t>白酒; 蜂蜜酒; 米酒;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黄酒; 果酒（含酒精）</t>
    </r>
  </si>
  <si>
    <t>山隆心</t>
  </si>
  <si>
    <r>
      <t>邱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</si>
  <si>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葡萄酒;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果酒（含酒精）</t>
    </r>
  </si>
  <si>
    <t>芾琅</t>
  </si>
  <si>
    <t>周小双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</si>
  <si>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白干酒（中国白酒）</t>
    </r>
  </si>
  <si>
    <t>麦帝王酒</t>
  </si>
  <si>
    <t>王德芳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</si>
  <si>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果酒; 白酒; 汽酒; 利口酒;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</si>
  <si>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海沙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</si>
  <si>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</si>
  <si>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清酒（日本米酒）; 威士忌; 梅酒</t>
    </r>
  </si>
  <si>
    <r>
      <t>老城津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</si>
  <si>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利口酒; 黄酒; 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</t>
    </r>
  </si>
  <si>
    <r>
      <t>飘</t>
    </r>
    <r>
      <rPr>
        <sz val="11"/>
        <color theme="1"/>
        <rFont val="ＭＳ Ｐゴシック"/>
        <family val="3"/>
        <charset val="128"/>
        <scheme val="minor"/>
      </rPr>
      <t>之霖</t>
    </r>
  </si>
  <si>
    <r>
      <t>北京津和科技有限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</si>
  <si>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清酒（日本米酒）; 伏特加酒;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</si>
  <si>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炎九川</t>
  </si>
  <si>
    <t>王晨一</t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</si>
  <si>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果酒</t>
    </r>
  </si>
  <si>
    <t>街坊序</t>
  </si>
  <si>
    <t>王德源</t>
  </si>
  <si>
    <r>
      <t xml:space="preserve">威士忌; 葡萄酒; 白酒;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</t>
    </r>
  </si>
  <si>
    <t>中唯以道</t>
  </si>
  <si>
    <r>
      <t>陈</t>
    </r>
    <r>
      <rPr>
        <sz val="11"/>
        <color theme="1"/>
        <rFont val="ＭＳ Ｐゴシック"/>
        <family val="3"/>
        <charset val="128"/>
        <scheme val="minor"/>
      </rPr>
      <t>广博</t>
    </r>
  </si>
  <si>
    <r>
      <t>白酒; 葡萄酒;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</si>
  <si>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HENGDOCTOR</t>
  </si>
  <si>
    <t>安徽亨博士保健食品有限公司</t>
  </si>
  <si>
    <r>
      <t xml:space="preserve">开胃酒; 蜂蜜酒;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利口酒; 白酒; 果酒（含酒精）</t>
    </r>
  </si>
  <si>
    <r>
      <t>候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</si>
  <si>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华语</t>
    </r>
    <r>
      <rPr>
        <sz val="11"/>
        <color theme="1"/>
        <rFont val="ＭＳ Ｐゴシック"/>
        <family val="3"/>
        <charset val="128"/>
        <scheme val="minor"/>
      </rPr>
      <t>之声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媒（杭州）有限公司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</si>
  <si>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米酒</t>
    </r>
  </si>
  <si>
    <t>爨食四季</t>
  </si>
  <si>
    <r>
      <t>曲靖爨宴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食文化有限公司</t>
    </r>
  </si>
  <si>
    <r>
      <t xml:space="preserve">白干酒（中国白酒）; 葡萄酒; 米酒; 威士忌;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</si>
  <si>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慈金搭档</t>
  </si>
  <si>
    <t>胡思林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</si>
  <si>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米酒; 果酒（含酒精）; 开胃酒; 葡萄酒</t>
    </r>
  </si>
  <si>
    <t>与知同行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</si>
  <si>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州决定酒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</si>
  <si>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</si>
  <si>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唐清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</si>
  <si>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米酒; 甜酒; 果酒; 高粱酒;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</si>
  <si>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裕唐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</si>
  <si>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白酒; 米酒;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</t>
    </r>
  </si>
  <si>
    <r>
      <t>博利</t>
    </r>
    <r>
      <rPr>
        <sz val="11"/>
        <color theme="1"/>
        <rFont val="ＭＳ Ｐゴシック"/>
        <family val="3"/>
        <charset val="134"/>
        <scheme val="minor"/>
      </rPr>
      <t>婴</t>
    </r>
  </si>
  <si>
    <t>胡彬帆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</si>
  <si>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</si>
  <si>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功酩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</si>
  <si>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汽酒; 白酒; 米酒</t>
    </r>
  </si>
  <si>
    <t>双井渡</t>
  </si>
  <si>
    <r>
      <t>江西省卧虎山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</si>
  <si>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</si>
  <si>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张兴业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</si>
  <si>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兴业电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</si>
  <si>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开胃酒; 威士忌</t>
    </r>
  </si>
  <si>
    <r>
      <t>源方</t>
    </r>
    <r>
      <rPr>
        <sz val="11"/>
        <color theme="1"/>
        <rFont val="ＭＳ Ｐゴシック"/>
        <family val="3"/>
        <charset val="134"/>
        <scheme val="minor"/>
      </rPr>
      <t>补</t>
    </r>
    <r>
      <rPr>
        <sz val="11"/>
        <color theme="1"/>
        <rFont val="ＭＳ Ｐゴシック"/>
        <family val="3"/>
        <charset val="128"/>
        <scheme val="minor"/>
      </rPr>
      <t>未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</si>
  <si>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然健康品牌管理有限公司</t>
    </r>
  </si>
  <si>
    <r>
      <t>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清酒（日本米酒）; 白酒; 蝮蛇酒; 黄酒; 米酒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</si>
  <si>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睢</t>
    </r>
  </si>
  <si>
    <t>吴晗</t>
  </si>
  <si>
    <r>
      <t>佐餐酒; 白干酒（中国白酒）;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高粱酒; 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</si>
  <si>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裕唐宋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</si>
  <si>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清酒; 白酒; 葡萄酒; 黄酒; 果酒; 甜酒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</si>
  <si>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</si>
  <si>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杭州无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弗届科技有限公司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</si>
  <si>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黄酒; 甜酒; 高粱酒;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</si>
  <si>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邢走江湖</t>
  </si>
  <si>
    <r>
      <t>邢毓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</si>
  <si>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高粱酒;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</si>
  <si>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凰九匠</t>
  </si>
  <si>
    <r>
      <t>白酒;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</si>
  <si>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海南省金盾影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文化演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</si>
  <si>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</si>
  <si>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醉唐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</si>
  <si>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葡萄酒; 黄酒; 高粱酒; 清酒; 白酒</t>
    </r>
  </si>
  <si>
    <r>
      <t>丝丽</t>
    </r>
    <r>
      <rPr>
        <sz val="11"/>
        <color theme="1"/>
        <rFont val="ＭＳ Ｐゴシック"/>
        <family val="3"/>
        <charset val="128"/>
        <scheme val="minor"/>
      </rPr>
      <t>雅</t>
    </r>
  </si>
  <si>
    <t>胡斐文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</si>
  <si>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</si>
  <si>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翰沙古</t>
  </si>
  <si>
    <r>
      <t>河南弘之道商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</si>
  <si>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白酒; 米酒; 葡萄酒; 蒸煮提取物（利口酒和烈酒）</t>
    </r>
  </si>
  <si>
    <t>胖山盒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</si>
  <si>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宁志</t>
    </r>
    <r>
      <rPr>
        <sz val="11"/>
        <color theme="1"/>
        <rFont val="ＭＳ Ｐゴシック"/>
        <family val="3"/>
        <charset val="134"/>
        <scheme val="minor"/>
      </rPr>
      <t>远实业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</si>
  <si>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烈酒; 高粱酒; 威士忌; 白酒; 露酒; 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</si>
  <si>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九君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</si>
  <si>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清酒（日本米酒）;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</si>
  <si>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曹妃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</si>
  <si>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唐山曹妃甸文旅集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</si>
  <si>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</si>
  <si>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WYTX</t>
  </si>
  <si>
    <t>吴健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</si>
  <si>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葡萄酒; 开胃酒</t>
    </r>
  </si>
  <si>
    <r>
      <t>蕫秘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</si>
  <si>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t>罗辉</t>
  </si>
  <si>
    <r>
      <t xml:space="preserve">露酒;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</si>
  <si>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飒</t>
    </r>
    <r>
      <rPr>
        <sz val="11"/>
        <color theme="1"/>
        <rFont val="ＭＳ Ｐゴシック"/>
        <family val="3"/>
        <charset val="128"/>
        <scheme val="minor"/>
      </rPr>
      <t>儿</t>
    </r>
  </si>
  <si>
    <r>
      <t>海南达</t>
    </r>
    <r>
      <rPr>
        <sz val="11"/>
        <color theme="1"/>
        <rFont val="ＭＳ Ｐゴシック"/>
        <family val="3"/>
        <charset val="134"/>
        <scheme val="minor"/>
      </rPr>
      <t>飒</t>
    </r>
    <r>
      <rPr>
        <sz val="11"/>
        <color theme="1"/>
        <rFont val="ＭＳ Ｐゴシック"/>
        <family val="3"/>
        <charset val="128"/>
        <scheme val="minor"/>
      </rPr>
      <t>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</si>
  <si>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威士忌; 青稞酒; 白酒; 朗姆酒;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</si>
  <si>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仕存</t>
  </si>
  <si>
    <t>朴男淑</t>
  </si>
  <si>
    <r>
      <t>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</t>
    </r>
  </si>
  <si>
    <t>THANKSU</t>
  </si>
  <si>
    <t>蜂蜜酒; 果酒; 葡萄酒; 白酒; 苦艾酒; 黄酒; 清酒; 开胃酒; 米酒; 薄荷酒</t>
  </si>
  <si>
    <r>
      <t>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</si>
  <si>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北京雁栖湖会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</si>
  <si>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食用酒精; 黄酒</t>
    </r>
  </si>
  <si>
    <t>玄景台</t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</si>
  <si>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白酒; 黄酒;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汽酒</t>
    </r>
  </si>
  <si>
    <t>浔颂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</si>
  <si>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</si>
  <si>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乙惜欣</t>
  </si>
  <si>
    <t>王中斌</t>
  </si>
  <si>
    <r>
      <t>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蜂蜜酒; 开胃酒</t>
    </r>
  </si>
  <si>
    <t>星芒韵</t>
  </si>
  <si>
    <t>王亦科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</si>
  <si>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蒸煮提取物（利口酒和烈酒）; 黄酒; 白酒; 米酒; 白干酒（中国白酒）</t>
    </r>
  </si>
  <si>
    <t>株百超市</t>
  </si>
  <si>
    <r>
      <t>株洲百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</si>
  <si>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青稞酒;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</si>
  <si>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三合玖晟</t>
  </si>
  <si>
    <t>开胃酒; 蜂蜜酒; 苦艾酒; 黄酒; 清酒; 果酒; 葡萄酒; 薄荷酒; 米酒; 白酒</t>
  </si>
  <si>
    <t>红势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</si>
  <si>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</si>
  <si>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粱酩仙</t>
  </si>
  <si>
    <t>曹承彬</t>
  </si>
  <si>
    <r>
      <t xml:space="preserve">威士忌; 米酒; 果酒; 黄酒; 烈酒;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</si>
  <si>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升升</t>
    </r>
  </si>
  <si>
    <r>
      <t>合肥弛承百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</si>
  <si>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</si>
  <si>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棠</t>
    </r>
  </si>
  <si>
    <r>
      <t>食用酒精;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</si>
  <si>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</si>
  <si>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破</t>
    </r>
    <r>
      <rPr>
        <sz val="11"/>
        <color theme="1"/>
        <rFont val="ＭＳ Ｐゴシック"/>
        <family val="3"/>
        <charset val="134"/>
        <scheme val="minor"/>
      </rPr>
      <t>阵</t>
    </r>
    <r>
      <rPr>
        <sz val="11"/>
        <color theme="1"/>
        <rFont val="ＭＳ Ｐゴシック"/>
        <family val="3"/>
        <charset val="128"/>
        <scheme val="minor"/>
      </rPr>
      <t>子（深圳）科技有限公司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</si>
  <si>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</t>
    </r>
  </si>
  <si>
    <t>西湖恋歌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</si>
  <si>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</t>
    </r>
  </si>
  <si>
    <t>忘辞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</si>
  <si>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</si>
  <si>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栏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</si>
  <si>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滢</t>
    </r>
  </si>
  <si>
    <r>
      <t xml:space="preserve">果酒（含酒精）; 清酒（日本米酒）; 开胃酒;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</si>
  <si>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老淘伴</t>
  </si>
  <si>
    <t>湖州特思拉啤酒有限公司</t>
  </si>
  <si>
    <r>
      <t xml:space="preserve">白酒; 汽酒;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米酒; 果酒（含酒精）; 苹果酒;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</si>
  <si>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稀域冰川行</t>
  </si>
  <si>
    <r>
      <t>吉林省聚匠医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</si>
  <si>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</si>
  <si>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空</t>
    </r>
    <r>
      <rPr>
        <sz val="11"/>
        <color theme="1"/>
        <rFont val="ＭＳ Ｐゴシック"/>
        <family val="3"/>
        <charset val="134"/>
        <scheme val="minor"/>
      </rPr>
      <t>谆</t>
    </r>
  </si>
  <si>
    <r>
      <t>晋江市安海</t>
    </r>
    <r>
      <rPr>
        <sz val="11"/>
        <color theme="1"/>
        <rFont val="ＭＳ Ｐゴシック"/>
        <family val="3"/>
        <charset val="134"/>
        <scheme val="minor"/>
      </rPr>
      <t>汇润</t>
    </r>
    <r>
      <rPr>
        <sz val="11"/>
        <color theme="1"/>
        <rFont val="ＭＳ Ｐゴシック"/>
        <family val="3"/>
        <charset val="128"/>
        <scheme val="minor"/>
      </rPr>
      <t>五金厂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</si>
  <si>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</si>
  <si>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金致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</si>
  <si>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永斌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</si>
  <si>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</si>
  <si>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r>
      <t>豪</t>
    </r>
    <r>
      <rPr>
        <sz val="11"/>
        <color theme="1"/>
        <rFont val="ＭＳ Ｐゴシック"/>
        <family val="3"/>
        <charset val="134"/>
        <scheme val="minor"/>
      </rPr>
      <t>迈</t>
    </r>
  </si>
  <si>
    <r>
      <t>海南豪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</si>
  <si>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威士忌; 开胃酒</t>
    </r>
  </si>
  <si>
    <r>
      <t>连兴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</si>
  <si>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昌光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</si>
  <si>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威士忌;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</si>
  <si>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晟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</si>
  <si>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上五流</t>
    </r>
    <r>
      <rPr>
        <sz val="11"/>
        <color theme="1"/>
        <rFont val="ＭＳ Ｐゴシック"/>
        <family val="3"/>
        <charset val="134"/>
        <scheme val="minor"/>
      </rPr>
      <t>烧锅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</si>
  <si>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</si>
  <si>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振德堂三十</t>
  </si>
  <si>
    <t>潘礼海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</si>
  <si>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</si>
  <si>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浪</t>
    </r>
  </si>
  <si>
    <t>向礼</t>
  </si>
  <si>
    <r>
      <t xml:space="preserve">清酒; 葡萄酒;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甜酒; 米酒; 汽酒; 白酒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</si>
  <si>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津</t>
    </r>
  </si>
  <si>
    <r>
      <t>卞文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</si>
  <si>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果酒; 开胃酒; 葡萄酒; 白酒;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青稞酒</t>
    </r>
  </si>
  <si>
    <t>水泉粮</t>
  </si>
  <si>
    <r>
      <t>突泉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泉酒酒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</si>
  <si>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白酒; 葡萄酒</t>
    </r>
  </si>
  <si>
    <t>奔湖</t>
  </si>
  <si>
    <r>
      <t>清酒（日本米酒）; 白酒; 黄酒;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</si>
  <si>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t>府侯宴</t>
  </si>
  <si>
    <r>
      <t>潮州府城文化旅游投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</si>
  <si>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食用酒精; 苹果酒;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</si>
  <si>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甬城小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配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</si>
  <si>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宁波昇和供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</si>
  <si>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含酒精蛋奶酒;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</t>
    </r>
  </si>
  <si>
    <t>嘎仙洞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</si>
  <si>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利口酒;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</si>
  <si>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</si>
  <si>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黄酒; 果酒; 白酒; 葡萄酒; 高粱酒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</si>
  <si>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用</t>
    </r>
  </si>
  <si>
    <r>
      <t>湖北福派科教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</si>
  <si>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威士忌; 米酒; 开胃酒</t>
    </r>
  </si>
  <si>
    <t>夯天</t>
  </si>
  <si>
    <r>
      <t>安徽美好仁家网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</si>
  <si>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</si>
  <si>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好淘伴</t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</si>
  <si>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果酒（含酒精）; 黄酒; 威士忌; 汽酒; 苹果酒</t>
    </r>
  </si>
  <si>
    <t>三淘伴</t>
  </si>
  <si>
    <r>
      <t xml:space="preserve">果酒（含酒精）; 米酒;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苹果酒; 汽酒</t>
    </r>
  </si>
  <si>
    <r>
      <t>夺</t>
    </r>
    <r>
      <rPr>
        <sz val="11"/>
        <color theme="1"/>
        <rFont val="ＭＳ Ｐゴシック"/>
        <family val="3"/>
        <charset val="128"/>
        <scheme val="minor"/>
      </rPr>
      <t>冕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</si>
  <si>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才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</si>
  <si>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</si>
  <si>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龙凤</t>
    </r>
    <r>
      <rPr>
        <sz val="11"/>
        <color theme="1"/>
        <rFont val="ＭＳ Ｐゴシック"/>
        <family val="3"/>
        <charset val="128"/>
        <scheme val="minor"/>
      </rPr>
      <t>英雄美</t>
    </r>
  </si>
  <si>
    <r>
      <t>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</si>
  <si>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欧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</si>
  <si>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广州好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意科技有限公司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</si>
  <si>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米酒</t>
    </r>
  </si>
  <si>
    <t>淘伴</t>
  </si>
  <si>
    <r>
      <t xml:space="preserve">果酒（含酒精）; 威士忌;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苦味酒; 黄酒; 汽酒</t>
    </r>
  </si>
  <si>
    <t>艾洛伊</t>
  </si>
  <si>
    <r>
      <t>大竹启力众旺商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</si>
  <si>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开胃酒;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</t>
    </r>
  </si>
  <si>
    <r>
      <t>布丁哈</t>
    </r>
    <r>
      <rPr>
        <sz val="11"/>
        <color theme="1"/>
        <rFont val="ＭＳ Ｐゴシック"/>
        <family val="3"/>
        <charset val="134"/>
        <scheme val="minor"/>
      </rPr>
      <t>鲁</t>
    </r>
  </si>
  <si>
    <r>
      <t>合肥尚淘商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</si>
  <si>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果酒（含酒精）;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</si>
  <si>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熬道</t>
  </si>
  <si>
    <r>
      <t>筑道建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</si>
  <si>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日本梅子酒;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清酒（日本米酒）;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果酒（含酒精）; 白酒;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</si>
  <si>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源福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</si>
  <si>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东贵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</si>
  <si>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露酒;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</si>
  <si>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t>桂街坊</t>
  </si>
  <si>
    <r>
      <t>纪</t>
    </r>
    <r>
      <rPr>
        <sz val="11"/>
        <color theme="1"/>
        <rFont val="ＭＳ Ｐゴシック"/>
        <family val="3"/>
        <charset val="128"/>
        <scheme val="minor"/>
      </rPr>
      <t>永鑫</t>
    </r>
  </si>
  <si>
    <r>
      <t>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黄酒; 梅酒; 清酒（日本米酒）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</si>
  <si>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薇光</t>
    </r>
  </si>
  <si>
    <r>
      <t>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修源生物科技（海南）有限公司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</si>
  <si>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果酒（含酒精）; 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</si>
  <si>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</si>
  <si>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食用酒精;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</t>
    </r>
  </si>
  <si>
    <t>财谕</t>
  </si>
  <si>
    <r>
      <t xml:space="preserve">威士忌; 果酒（含酒精）; 黄酒; 白酒; 米酒; 葡萄酒; 露酒;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</si>
  <si>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KEKELULU</t>
  </si>
  <si>
    <r>
      <t>深圳吉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熊科技有限公司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</si>
  <si>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</si>
  <si>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粱先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</si>
  <si>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昌王府酒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</si>
  <si>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果酒; 白酒; 黄酒; 葡萄酒; 烈酒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</si>
  <si>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捷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</si>
  <si>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捷（西安）</t>
    </r>
    <r>
      <rPr>
        <sz val="11"/>
        <color theme="1"/>
        <rFont val="ＭＳ Ｐゴシック"/>
        <family val="3"/>
        <charset val="134"/>
        <scheme val="minor"/>
      </rPr>
      <t>阀门</t>
    </r>
    <r>
      <rPr>
        <sz val="11"/>
        <color theme="1"/>
        <rFont val="ＭＳ Ｐゴシック"/>
        <family val="3"/>
        <charset val="128"/>
        <scheme val="minor"/>
      </rPr>
      <t>制造有限公司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</si>
  <si>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苹果酒;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</si>
  <si>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麦教育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</si>
  <si>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麦科技有限公司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</si>
  <si>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朗姆潘趣酒;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含酒精蛋奶酒;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含奶油利口酒</t>
    </r>
  </si>
  <si>
    <t>香巴拉之息</t>
  </si>
  <si>
    <r>
      <t>卓尼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青藏秘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</si>
  <si>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草莓酒; 白酒; 蜂蜜酒; 清酒; 青梅酒; 黄酒; 青稞酒</t>
    </r>
  </si>
  <si>
    <t>花喜山</t>
  </si>
  <si>
    <t>璞萃（成都）品牌管理有限公司</t>
  </si>
  <si>
    <t>威士忌; 果酒; 梅酒; 米酒; 青梅酒; 白酒; 咖啡利口酒; 汽酒; 清酒; 黄酒</t>
  </si>
  <si>
    <t>岳庄主</t>
  </si>
  <si>
    <t>岳文伍</t>
  </si>
  <si>
    <r>
      <t>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白酒;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</si>
  <si>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小淘伴</t>
  </si>
  <si>
    <r>
      <t xml:space="preserve">苦味酒; 苹果酒; 白酒; 果酒（含酒精）; 米酒;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</si>
  <si>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</si>
  <si>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嘉善雨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</si>
  <si>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</si>
  <si>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湘窖</t>
    </r>
    <r>
      <rPr>
        <sz val="11"/>
        <color theme="1"/>
        <rFont val="ＭＳ Ｐゴシック"/>
        <family val="3"/>
        <charset val="134"/>
        <scheme val="minor"/>
      </rPr>
      <t>潇</t>
    </r>
    <r>
      <rPr>
        <sz val="11"/>
        <color theme="1"/>
        <rFont val="ＭＳ Ｐゴシック"/>
        <family val="3"/>
        <charset val="128"/>
        <scheme val="minor"/>
      </rPr>
      <t>湘</t>
    </r>
  </si>
  <si>
    <r>
      <t>湖南湘窖酒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</si>
  <si>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</si>
  <si>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以竹代良</t>
  </si>
  <si>
    <r>
      <t>湖南竹之韵酒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</si>
  <si>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</si>
  <si>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杰捷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特（上海）酒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</si>
  <si>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利口酒; 烈酒;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</si>
  <si>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羞女峰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</si>
  <si>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</si>
  <si>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品金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</si>
  <si>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海南光亨网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</si>
  <si>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黄酒; 伏特加酒; 葡萄酒</t>
    </r>
  </si>
  <si>
    <r>
      <t>祥小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</si>
  <si>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</si>
  <si>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黄酒;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米酒; 葡萄酒;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</si>
  <si>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洽小熊</t>
  </si>
  <si>
    <t>新疆洽小熊健康食品有限公司</t>
  </si>
  <si>
    <t>果酒（含酒精）; 葡萄酒; 米酒</t>
  </si>
  <si>
    <t>熹翁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</si>
  <si>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</si>
  <si>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材有礼</t>
  </si>
  <si>
    <r>
      <t>河南省翎道玖影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</si>
  <si>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白葡萄酒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</si>
  <si>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小黄</t>
    </r>
  </si>
  <si>
    <r>
      <t>四川先快企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</si>
  <si>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食用酒精; 葡萄酒;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清酒</t>
    </r>
  </si>
  <si>
    <r>
      <t>虎</t>
    </r>
    <r>
      <rPr>
        <sz val="11"/>
        <color theme="1"/>
        <rFont val="ＭＳ Ｐゴシック"/>
        <family val="3"/>
        <charset val="134"/>
        <scheme val="minor"/>
      </rPr>
      <t>纠</t>
    </r>
    <r>
      <rPr>
        <sz val="11"/>
        <color theme="1"/>
        <rFont val="ＭＳ Ｐゴシック"/>
        <family val="3"/>
        <charset val="128"/>
        <scheme val="minor"/>
      </rPr>
      <t>最</t>
    </r>
    <r>
      <rPr>
        <sz val="11"/>
        <color theme="1"/>
        <rFont val="ＭＳ Ｐゴシック"/>
        <family val="3"/>
        <charset val="134"/>
        <scheme val="minor"/>
      </rPr>
      <t>闽</t>
    </r>
  </si>
  <si>
    <t>李霞******************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</si>
  <si>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</si>
  <si>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爪福匠</t>
  </si>
  <si>
    <r>
      <t>杨</t>
    </r>
    <r>
      <rPr>
        <sz val="11"/>
        <color theme="1"/>
        <rFont val="ＭＳ Ｐゴシック"/>
        <family val="3"/>
        <charset val="128"/>
        <scheme val="minor"/>
      </rPr>
      <t>映霞</t>
    </r>
  </si>
  <si>
    <r>
      <t>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</si>
  <si>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崂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</si>
  <si>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吉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</si>
  <si>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高粱酒;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黄酒; 露酒; 白酒</t>
    </r>
  </si>
  <si>
    <t>梦森醉月</t>
  </si>
  <si>
    <r>
      <t>桓仁梦森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粮酒厂（个人独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</si>
  <si>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白酒; 米酒;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</t>
    </r>
  </si>
  <si>
    <r>
      <t>最</t>
    </r>
    <r>
      <rPr>
        <sz val="11"/>
        <color theme="1"/>
        <rFont val="ＭＳ Ｐゴシック"/>
        <family val="3"/>
        <charset val="134"/>
        <scheme val="minor"/>
      </rPr>
      <t>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</si>
  <si>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</si>
  <si>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才女清照</t>
  </si>
  <si>
    <t>沈丹</t>
  </si>
  <si>
    <r>
      <t>葡萄酒; 白酒; 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</t>
    </r>
  </si>
  <si>
    <t>川北修德</t>
  </si>
  <si>
    <t>田修德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</si>
  <si>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苦味酒; 白干酒（中国白酒）; 果酒（含酒精）; 米酒; 白酒;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</si>
  <si>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楝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花开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</si>
  <si>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视联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</si>
  <si>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汽酒</t>
    </r>
  </si>
  <si>
    <t>伏草惟存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</si>
  <si>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幸</t>
    </r>
    <r>
      <rPr>
        <sz val="11"/>
        <color theme="1"/>
        <rFont val="ＭＳ Ｐゴシック"/>
        <family val="3"/>
        <charset val="134"/>
        <scheme val="minor"/>
      </rPr>
      <t>斋实业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</si>
  <si>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开胃酒; 葡萄酒</t>
    </r>
  </si>
  <si>
    <t>海品森</t>
  </si>
  <si>
    <r>
      <t>泉州市丰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区霖竹百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</si>
  <si>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</si>
  <si>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仙小里</t>
  </si>
  <si>
    <t>王肖林</t>
  </si>
  <si>
    <t>米酒; 葡萄酒; 清酒; 果酒（含酒精）; 梅酒; 白酒; 黄酒; 伏特加酒; 甜酒; 朗姆酒</t>
  </si>
  <si>
    <t>竹逸韵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</si>
  <si>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</si>
  <si>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瓶子星球 BOTTLE PLANET</t>
  </si>
  <si>
    <r>
      <t>米酒; 威士忌;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</si>
  <si>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BMDEVICE</t>
  </si>
  <si>
    <r>
      <t>海南百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科医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</si>
  <si>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清酒; 白酒;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</si>
</sst>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3" fillId="0" borderId="1" xfId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848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1926</v>
      </c>
      <c r="D2" s="10">
        <v>45722</v>
      </c>
      <c r="E2" s="11" t="str">
        <f>+HYPERLINK("http://trademark.i-assist.jp/data/china/image_1926th/52168962.pdf","52168962")</f>
        <v>52168962</v>
      </c>
      <c r="F2" s="9" t="s">
        <v>213</v>
      </c>
      <c r="G2" s="9" t="s">
        <v>214</v>
      </c>
      <c r="H2" s="9" t="s">
        <v>215</v>
      </c>
      <c r="I2" s="10">
        <v>44180</v>
      </c>
    </row>
    <row r="3" spans="1:9" x14ac:dyDescent="0.15">
      <c r="A3" s="9">
        <v>2</v>
      </c>
      <c r="B3" s="9" t="s">
        <v>9</v>
      </c>
      <c r="C3" s="9">
        <v>1926</v>
      </c>
      <c r="D3" s="10">
        <v>45722</v>
      </c>
      <c r="E3" s="11" t="str">
        <f>+HYPERLINK("http://trademark.i-assist.jp/data/china/image_1926th/52195517.pdf","52195517")</f>
        <v>52195517</v>
      </c>
      <c r="F3" s="9" t="s">
        <v>216</v>
      </c>
      <c r="G3" s="9" t="s">
        <v>214</v>
      </c>
      <c r="H3" s="9" t="s">
        <v>217</v>
      </c>
      <c r="I3" s="10">
        <v>44180</v>
      </c>
    </row>
    <row r="4" spans="1:9" x14ac:dyDescent="0.15">
      <c r="A4" s="9">
        <v>3</v>
      </c>
      <c r="B4" s="9" t="s">
        <v>9</v>
      </c>
      <c r="C4" s="9">
        <v>1926</v>
      </c>
      <c r="D4" s="10">
        <v>45722</v>
      </c>
      <c r="E4" s="11" t="str">
        <f>+HYPERLINK("http://trademark.i-assist.jp/data/china/image_1926th/57513071.pdf","57513071")</f>
        <v>57513071</v>
      </c>
      <c r="F4" s="9" t="s">
        <v>218</v>
      </c>
      <c r="G4" s="12" t="s">
        <v>219</v>
      </c>
      <c r="H4" s="9" t="s">
        <v>220</v>
      </c>
      <c r="I4" s="10">
        <v>44384</v>
      </c>
    </row>
    <row r="5" spans="1:9" x14ac:dyDescent="0.15">
      <c r="A5" s="9">
        <v>4</v>
      </c>
      <c r="B5" s="9" t="s">
        <v>9</v>
      </c>
      <c r="C5" s="9">
        <v>1926</v>
      </c>
      <c r="D5" s="10">
        <v>45722</v>
      </c>
      <c r="E5" s="11" t="str">
        <f>+HYPERLINK("http://trademark.i-assist.jp/data/china/image_1926th/62606265.pdf","62606265")</f>
        <v>62606265</v>
      </c>
      <c r="F5" s="9" t="s">
        <v>221</v>
      </c>
      <c r="G5" s="12" t="s">
        <v>222</v>
      </c>
      <c r="H5" s="9" t="s">
        <v>223</v>
      </c>
      <c r="I5" s="10">
        <v>44607</v>
      </c>
    </row>
    <row r="6" spans="1:9" x14ac:dyDescent="0.15">
      <c r="A6" s="9">
        <v>5</v>
      </c>
      <c r="B6" s="9" t="s">
        <v>9</v>
      </c>
      <c r="C6" s="9">
        <v>1926</v>
      </c>
      <c r="D6" s="10">
        <v>45722</v>
      </c>
      <c r="E6" s="11" t="str">
        <f>+HYPERLINK("http://trademark.i-assist.jp/data/china/image_1926th/64234813.pdf","64234813")</f>
        <v>64234813</v>
      </c>
      <c r="F6" s="12" t="s">
        <v>224</v>
      </c>
      <c r="G6" s="12" t="s">
        <v>19</v>
      </c>
      <c r="H6" s="9" t="s">
        <v>225</v>
      </c>
      <c r="I6" s="10">
        <v>44676</v>
      </c>
    </row>
    <row r="7" spans="1:9" x14ac:dyDescent="0.15">
      <c r="A7" s="9">
        <v>6</v>
      </c>
      <c r="B7" s="9" t="s">
        <v>9</v>
      </c>
      <c r="C7" s="9">
        <v>1926</v>
      </c>
      <c r="D7" s="10">
        <v>45722</v>
      </c>
      <c r="E7" s="11" t="str">
        <f>+HYPERLINK("http://trademark.i-assist.jp/data/china/image_1926th/64855873.pdf","64855873")</f>
        <v>64855873</v>
      </c>
      <c r="F7" s="12" t="s">
        <v>226</v>
      </c>
      <c r="G7" s="9" t="s">
        <v>227</v>
      </c>
      <c r="H7" s="12" t="s">
        <v>228</v>
      </c>
      <c r="I7" s="10">
        <v>44706</v>
      </c>
    </row>
    <row r="8" spans="1:9" x14ac:dyDescent="0.15">
      <c r="A8" s="9">
        <v>7</v>
      </c>
      <c r="B8" s="9" t="s">
        <v>9</v>
      </c>
      <c r="C8" s="9">
        <v>1926</v>
      </c>
      <c r="D8" s="10">
        <v>45722</v>
      </c>
      <c r="E8" s="11" t="str">
        <f>+HYPERLINK("http://trademark.i-assist.jp/data/china/image_1926th/65523593.pdf","65523593")</f>
        <v>65523593</v>
      </c>
      <c r="F8" s="9" t="s">
        <v>229</v>
      </c>
      <c r="G8" s="9" t="s">
        <v>230</v>
      </c>
      <c r="H8" s="12" t="s">
        <v>231</v>
      </c>
      <c r="I8" s="10">
        <v>44736</v>
      </c>
    </row>
    <row r="9" spans="1:9" x14ac:dyDescent="0.15">
      <c r="A9" s="9">
        <v>8</v>
      </c>
      <c r="B9" s="9" t="s">
        <v>9</v>
      </c>
      <c r="C9" s="9">
        <v>1926</v>
      </c>
      <c r="D9" s="10">
        <v>45722</v>
      </c>
      <c r="E9" s="11" t="str">
        <f>+HYPERLINK("http://trademark.i-assist.jp/data/china/image_1926th/66770946.pdf","66770946")</f>
        <v>66770946</v>
      </c>
      <c r="F9" s="9" t="s">
        <v>232</v>
      </c>
      <c r="G9" s="9" t="s">
        <v>233</v>
      </c>
      <c r="H9" s="9" t="s">
        <v>234</v>
      </c>
      <c r="I9" s="10">
        <v>44796</v>
      </c>
    </row>
    <row r="10" spans="1:9" x14ac:dyDescent="0.15">
      <c r="A10" s="9">
        <v>9</v>
      </c>
      <c r="B10" s="9" t="s">
        <v>9</v>
      </c>
      <c r="C10" s="9">
        <v>1926</v>
      </c>
      <c r="D10" s="10">
        <v>45722</v>
      </c>
      <c r="E10" s="11" t="str">
        <f>+HYPERLINK("http://trademark.i-assist.jp/data/china/image_1926th/67491585.pdf","67491585")</f>
        <v>67491585</v>
      </c>
      <c r="F10" s="9" t="s">
        <v>235</v>
      </c>
      <c r="G10" s="9" t="s">
        <v>236</v>
      </c>
      <c r="H10" s="9" t="s">
        <v>237</v>
      </c>
      <c r="I10" s="10">
        <v>44832</v>
      </c>
    </row>
    <row r="11" spans="1:9" x14ac:dyDescent="0.15">
      <c r="A11" s="9">
        <v>10</v>
      </c>
      <c r="B11" s="9" t="s">
        <v>9</v>
      </c>
      <c r="C11" s="9">
        <v>1926</v>
      </c>
      <c r="D11" s="10">
        <v>45722</v>
      </c>
      <c r="E11" s="11" t="str">
        <f>+HYPERLINK("http://trademark.i-assist.jp/data/china/image_1926th/67572850.pdf","67572850")</f>
        <v>67572850</v>
      </c>
      <c r="F11" s="9" t="s">
        <v>238</v>
      </c>
      <c r="G11" s="9" t="s">
        <v>239</v>
      </c>
      <c r="H11" s="9" t="s">
        <v>240</v>
      </c>
      <c r="I11" s="10">
        <v>44842</v>
      </c>
    </row>
    <row r="12" spans="1:9" x14ac:dyDescent="0.15">
      <c r="A12" s="9">
        <v>11</v>
      </c>
      <c r="B12" s="9" t="s">
        <v>9</v>
      </c>
      <c r="C12" s="9">
        <v>1926</v>
      </c>
      <c r="D12" s="10">
        <v>45722</v>
      </c>
      <c r="E12" s="11" t="str">
        <f>+HYPERLINK("http://trademark.i-assist.jp/data/china/image_1926th/68187716.pdf","68187716")</f>
        <v>68187716</v>
      </c>
      <c r="F12" s="9" t="s">
        <v>241</v>
      </c>
      <c r="G12" s="9" t="s">
        <v>242</v>
      </c>
      <c r="H12" s="9" t="s">
        <v>243</v>
      </c>
      <c r="I12" s="10">
        <v>44872</v>
      </c>
    </row>
    <row r="13" spans="1:9" x14ac:dyDescent="0.15">
      <c r="A13" s="9">
        <v>12</v>
      </c>
      <c r="B13" s="9" t="s">
        <v>9</v>
      </c>
      <c r="C13" s="9">
        <v>1926</v>
      </c>
      <c r="D13" s="10">
        <v>45722</v>
      </c>
      <c r="E13" s="11" t="str">
        <f>+HYPERLINK("http://trademark.i-assist.jp/data/china/image_1926th/68316951.pdf","68316951")</f>
        <v>68316951</v>
      </c>
      <c r="F13" s="9" t="s">
        <v>244</v>
      </c>
      <c r="G13" s="9" t="s">
        <v>245</v>
      </c>
      <c r="H13" s="9" t="s">
        <v>246</v>
      </c>
      <c r="I13" s="10">
        <v>44879</v>
      </c>
    </row>
    <row r="14" spans="1:9" x14ac:dyDescent="0.15">
      <c r="A14" s="9">
        <v>13</v>
      </c>
      <c r="B14" s="9" t="s">
        <v>9</v>
      </c>
      <c r="C14" s="9">
        <v>1926</v>
      </c>
      <c r="D14" s="10">
        <v>45722</v>
      </c>
      <c r="E14" s="11" t="str">
        <f>+HYPERLINK("http://trademark.i-assist.jp/data/china/image_1926th/68968264.pdf","68968264")</f>
        <v>68968264</v>
      </c>
      <c r="F14" s="9" t="s">
        <v>247</v>
      </c>
      <c r="G14" s="13" t="s">
        <v>248</v>
      </c>
      <c r="H14" s="9" t="s">
        <v>249</v>
      </c>
      <c r="I14" s="10">
        <v>44917</v>
      </c>
    </row>
    <row r="15" spans="1:9" x14ac:dyDescent="0.15">
      <c r="A15" s="9">
        <v>14</v>
      </c>
      <c r="B15" s="9" t="s">
        <v>9</v>
      </c>
      <c r="C15" s="9">
        <v>1926</v>
      </c>
      <c r="D15" s="10">
        <v>45722</v>
      </c>
      <c r="E15" s="11" t="str">
        <f>+HYPERLINK("http://trademark.i-assist.jp/data/china/image_1926th/69118234.pdf","69118234")</f>
        <v>69118234</v>
      </c>
      <c r="F15" s="9" t="s">
        <v>238</v>
      </c>
      <c r="G15" s="9" t="s">
        <v>239</v>
      </c>
      <c r="H15" s="9" t="s">
        <v>250</v>
      </c>
      <c r="I15" s="10">
        <v>44931</v>
      </c>
    </row>
    <row r="16" spans="1:9" x14ac:dyDescent="0.15">
      <c r="A16" s="9">
        <v>15</v>
      </c>
      <c r="B16" s="9" t="s">
        <v>9</v>
      </c>
      <c r="C16" s="9">
        <v>1926</v>
      </c>
      <c r="D16" s="10">
        <v>45722</v>
      </c>
      <c r="E16" s="11" t="str">
        <f>+HYPERLINK("http://trademark.i-assist.jp/data/china/image_1926th/69175725.pdf","69175725")</f>
        <v>69175725</v>
      </c>
      <c r="F16" s="9" t="s">
        <v>251</v>
      </c>
      <c r="G16" s="12" t="s">
        <v>252</v>
      </c>
      <c r="H16" s="9" t="s">
        <v>253</v>
      </c>
      <c r="I16" s="10">
        <v>44936</v>
      </c>
    </row>
    <row r="17" spans="1:9" x14ac:dyDescent="0.15">
      <c r="A17" s="9">
        <v>16</v>
      </c>
      <c r="B17" s="9" t="s">
        <v>9</v>
      </c>
      <c r="C17" s="9">
        <v>1926</v>
      </c>
      <c r="D17" s="10">
        <v>45722</v>
      </c>
      <c r="E17" s="11" t="str">
        <f>+HYPERLINK("http://trademark.i-assist.jp/data/china/image_1926th/70297296.pdf","70297296")</f>
        <v>70297296</v>
      </c>
      <c r="F17" s="12" t="s">
        <v>254</v>
      </c>
      <c r="G17" s="12" t="s">
        <v>255</v>
      </c>
      <c r="H17" s="9" t="s">
        <v>256</v>
      </c>
      <c r="I17" s="10">
        <v>45005</v>
      </c>
    </row>
    <row r="18" spans="1:9" x14ac:dyDescent="0.15">
      <c r="A18" s="9">
        <v>17</v>
      </c>
      <c r="B18" s="9" t="s">
        <v>9</v>
      </c>
      <c r="C18" s="9">
        <v>1926</v>
      </c>
      <c r="D18" s="10">
        <v>45722</v>
      </c>
      <c r="E18" s="11" t="str">
        <f>+HYPERLINK("http://trademark.i-assist.jp/data/china/image_1926th/70804173.pdf","70804173")</f>
        <v>70804173</v>
      </c>
      <c r="F18" s="9" t="s">
        <v>257</v>
      </c>
      <c r="G18" s="12" t="s">
        <v>258</v>
      </c>
      <c r="H18" s="12" t="s">
        <v>259</v>
      </c>
      <c r="I18" s="10">
        <v>45027</v>
      </c>
    </row>
    <row r="19" spans="1:9" x14ac:dyDescent="0.15">
      <c r="A19" s="9">
        <v>18</v>
      </c>
      <c r="B19" s="9" t="s">
        <v>9</v>
      </c>
      <c r="C19" s="9">
        <v>1926</v>
      </c>
      <c r="D19" s="10">
        <v>45722</v>
      </c>
      <c r="E19" s="11" t="str">
        <f>+HYPERLINK("http://trademark.i-assist.jp/data/china/image_1926th/71266627.pdf","71266627")</f>
        <v>71266627</v>
      </c>
      <c r="F19" s="9" t="s">
        <v>260</v>
      </c>
      <c r="G19" s="9" t="s">
        <v>261</v>
      </c>
      <c r="H19" s="9" t="s">
        <v>262</v>
      </c>
      <c r="I19" s="10">
        <v>45044</v>
      </c>
    </row>
    <row r="20" spans="1:9" x14ac:dyDescent="0.15">
      <c r="A20" s="9">
        <v>19</v>
      </c>
      <c r="B20" s="9" t="s">
        <v>9</v>
      </c>
      <c r="C20" s="9">
        <v>1926</v>
      </c>
      <c r="D20" s="10">
        <v>45722</v>
      </c>
      <c r="E20" s="11" t="str">
        <f>+HYPERLINK("http://trademark.i-assist.jp/data/china/image_1926th/71863363.pdf","71863363")</f>
        <v>71863363</v>
      </c>
      <c r="F20" s="12" t="s">
        <v>263</v>
      </c>
      <c r="G20" s="9" t="s">
        <v>264</v>
      </c>
      <c r="H20" s="9" t="s">
        <v>265</v>
      </c>
      <c r="I20" s="10">
        <v>45074</v>
      </c>
    </row>
    <row r="21" spans="1:9" x14ac:dyDescent="0.15">
      <c r="A21" s="9">
        <v>20</v>
      </c>
      <c r="B21" s="9" t="s">
        <v>9</v>
      </c>
      <c r="C21" s="9">
        <v>1926</v>
      </c>
      <c r="D21" s="10">
        <v>45722</v>
      </c>
      <c r="E21" s="11" t="str">
        <f>+HYPERLINK("http://trademark.i-assist.jp/data/china/image_1926th/72135466.pdf","72135466")</f>
        <v>72135466</v>
      </c>
      <c r="F21" s="9" t="s">
        <v>266</v>
      </c>
      <c r="G21" s="9" t="s">
        <v>267</v>
      </c>
      <c r="H21" s="9" t="s">
        <v>268</v>
      </c>
      <c r="I21" s="10">
        <v>45086</v>
      </c>
    </row>
    <row r="22" spans="1:9" x14ac:dyDescent="0.15">
      <c r="A22" s="9">
        <v>21</v>
      </c>
      <c r="B22" s="9" t="s">
        <v>9</v>
      </c>
      <c r="C22" s="9">
        <v>1926</v>
      </c>
      <c r="D22" s="10">
        <v>45722</v>
      </c>
      <c r="E22" s="11" t="str">
        <f>+HYPERLINK("http://trademark.i-assist.jp/data/china/image_1926th/72683402.pdf","72683402")</f>
        <v>72683402</v>
      </c>
      <c r="F22" s="9" t="s">
        <v>269</v>
      </c>
      <c r="G22" s="12" t="s">
        <v>270</v>
      </c>
      <c r="H22" s="9" t="s">
        <v>271</v>
      </c>
      <c r="I22" s="10">
        <v>45113</v>
      </c>
    </row>
    <row r="23" spans="1:9" x14ac:dyDescent="0.15">
      <c r="A23" s="9">
        <v>22</v>
      </c>
      <c r="B23" s="9" t="s">
        <v>9</v>
      </c>
      <c r="C23" s="9">
        <v>1926</v>
      </c>
      <c r="D23" s="10">
        <v>45722</v>
      </c>
      <c r="E23" s="11" t="str">
        <f>+HYPERLINK("http://trademark.i-assist.jp/data/china/image_1926th/74155946.pdf","74155946")</f>
        <v>74155946</v>
      </c>
      <c r="F23" s="12" t="s">
        <v>272</v>
      </c>
      <c r="G23" s="9" t="s">
        <v>273</v>
      </c>
      <c r="H23" s="9" t="s">
        <v>274</v>
      </c>
      <c r="I23" s="10">
        <v>45187</v>
      </c>
    </row>
    <row r="24" spans="1:9" x14ac:dyDescent="0.15">
      <c r="A24" s="9">
        <v>23</v>
      </c>
      <c r="B24" s="9" t="s">
        <v>9</v>
      </c>
      <c r="C24" s="9">
        <v>1926</v>
      </c>
      <c r="D24" s="10">
        <v>45722</v>
      </c>
      <c r="E24" s="11" t="str">
        <f>+HYPERLINK("http://trademark.i-assist.jp/data/china/image_1926th/74185391.pdf","74185391")</f>
        <v>74185391</v>
      </c>
      <c r="F24" s="9" t="s">
        <v>275</v>
      </c>
      <c r="G24" s="9" t="s">
        <v>276</v>
      </c>
      <c r="H24" s="9" t="s">
        <v>277</v>
      </c>
      <c r="I24" s="10">
        <v>45189</v>
      </c>
    </row>
    <row r="25" spans="1:9" x14ac:dyDescent="0.15">
      <c r="A25" s="9">
        <v>24</v>
      </c>
      <c r="B25" s="9" t="s">
        <v>9</v>
      </c>
      <c r="C25" s="9">
        <v>1926</v>
      </c>
      <c r="D25" s="10">
        <v>45722</v>
      </c>
      <c r="E25" s="11" t="str">
        <f>+HYPERLINK("http://trademark.i-assist.jp/data/china/image_1926th/74331826.pdf","74331826")</f>
        <v>74331826</v>
      </c>
      <c r="F25" s="12" t="s">
        <v>20</v>
      </c>
      <c r="G25" s="9" t="s">
        <v>278</v>
      </c>
      <c r="H25" s="9" t="s">
        <v>279</v>
      </c>
      <c r="I25" s="10">
        <v>45196</v>
      </c>
    </row>
    <row r="26" spans="1:9" x14ac:dyDescent="0.15">
      <c r="A26" s="9">
        <v>25</v>
      </c>
      <c r="B26" s="9" t="s">
        <v>9</v>
      </c>
      <c r="C26" s="9">
        <v>1926</v>
      </c>
      <c r="D26" s="10">
        <v>45722</v>
      </c>
      <c r="E26" s="11" t="str">
        <f>+HYPERLINK("http://trademark.i-assist.jp/data/china/image_1926th/74351025.pdf","74351025")</f>
        <v>74351025</v>
      </c>
      <c r="F26" s="12" t="s">
        <v>20</v>
      </c>
      <c r="G26" s="9" t="s">
        <v>278</v>
      </c>
      <c r="H26" s="9" t="s">
        <v>280</v>
      </c>
      <c r="I26" s="10">
        <v>45196</v>
      </c>
    </row>
    <row r="27" spans="1:9" x14ac:dyDescent="0.15">
      <c r="A27" s="9">
        <v>26</v>
      </c>
      <c r="B27" s="9" t="s">
        <v>9</v>
      </c>
      <c r="C27" s="9">
        <v>1926</v>
      </c>
      <c r="D27" s="10">
        <v>45722</v>
      </c>
      <c r="E27" s="11" t="str">
        <f>+HYPERLINK("http://trademark.i-assist.jp/data/china/image_1926th/74388402.pdf","74388402")</f>
        <v>74388402</v>
      </c>
      <c r="F27" s="9" t="s">
        <v>281</v>
      </c>
      <c r="G27" s="9" t="s">
        <v>282</v>
      </c>
      <c r="H27" s="9" t="s">
        <v>283</v>
      </c>
      <c r="I27" s="10">
        <v>45206</v>
      </c>
    </row>
    <row r="28" spans="1:9" x14ac:dyDescent="0.15">
      <c r="A28" s="9">
        <v>27</v>
      </c>
      <c r="B28" s="9" t="s">
        <v>9</v>
      </c>
      <c r="C28" s="9">
        <v>1926</v>
      </c>
      <c r="D28" s="10">
        <v>45722</v>
      </c>
      <c r="E28" s="11" t="str">
        <f>+HYPERLINK("http://trademark.i-assist.jp/data/china/image_1926th/74444208.pdf","74444208")</f>
        <v>74444208</v>
      </c>
      <c r="F28" s="9" t="s">
        <v>284</v>
      </c>
      <c r="G28" s="12" t="s">
        <v>285</v>
      </c>
      <c r="H28" s="9" t="s">
        <v>286</v>
      </c>
      <c r="I28" s="10">
        <v>45208</v>
      </c>
    </row>
    <row r="29" spans="1:9" x14ac:dyDescent="0.15">
      <c r="A29" s="9">
        <v>28</v>
      </c>
      <c r="B29" s="9" t="s">
        <v>9</v>
      </c>
      <c r="C29" s="9">
        <v>1926</v>
      </c>
      <c r="D29" s="10">
        <v>45722</v>
      </c>
      <c r="E29" s="11" t="str">
        <f>+HYPERLINK("http://trademark.i-assist.jp/data/china/image_1926th/74505316.pdf","74505316")</f>
        <v>74505316</v>
      </c>
      <c r="F29" s="9" t="s">
        <v>287</v>
      </c>
      <c r="G29" s="9" t="s">
        <v>288</v>
      </c>
      <c r="H29" s="9" t="s">
        <v>289</v>
      </c>
      <c r="I29" s="10">
        <v>45210</v>
      </c>
    </row>
    <row r="30" spans="1:9" x14ac:dyDescent="0.15">
      <c r="A30" s="9">
        <v>29</v>
      </c>
      <c r="B30" s="9" t="s">
        <v>9</v>
      </c>
      <c r="C30" s="9">
        <v>1926</v>
      </c>
      <c r="D30" s="10">
        <v>45722</v>
      </c>
      <c r="E30" s="11" t="str">
        <f>+HYPERLINK("http://trademark.i-assist.jp/data/china/image_1926th/74560843.pdf","74560843")</f>
        <v>74560843</v>
      </c>
      <c r="F30" s="13" t="s">
        <v>290</v>
      </c>
      <c r="G30" s="12" t="s">
        <v>291</v>
      </c>
      <c r="H30" s="9" t="s">
        <v>292</v>
      </c>
      <c r="I30" s="10">
        <v>45212</v>
      </c>
    </row>
    <row r="31" spans="1:9" x14ac:dyDescent="0.15">
      <c r="A31" s="9">
        <v>30</v>
      </c>
      <c r="B31" s="9" t="s">
        <v>9</v>
      </c>
      <c r="C31" s="9">
        <v>1926</v>
      </c>
      <c r="D31" s="10">
        <v>45722</v>
      </c>
      <c r="E31" s="11" t="str">
        <f>+HYPERLINK("http://trademark.i-assist.jp/data/china/image_1926th/74679049.pdf","74679049")</f>
        <v>74679049</v>
      </c>
      <c r="F31" s="9" t="s">
        <v>293</v>
      </c>
      <c r="G31" s="9" t="s">
        <v>294</v>
      </c>
      <c r="H31" s="9" t="s">
        <v>295</v>
      </c>
      <c r="I31" s="10">
        <v>45219</v>
      </c>
    </row>
    <row r="32" spans="1:9" x14ac:dyDescent="0.15">
      <c r="A32" s="9">
        <v>31</v>
      </c>
      <c r="B32" s="9" t="s">
        <v>9</v>
      </c>
      <c r="C32" s="9">
        <v>1926</v>
      </c>
      <c r="D32" s="10">
        <v>45722</v>
      </c>
      <c r="E32" s="11" t="str">
        <f>+HYPERLINK("http://trademark.i-assist.jp/data/china/image_1926th/74853911.pdf","74853911")</f>
        <v>74853911</v>
      </c>
      <c r="F32" s="9" t="s">
        <v>296</v>
      </c>
      <c r="G32" s="12" t="s">
        <v>22</v>
      </c>
      <c r="H32" s="9" t="s">
        <v>297</v>
      </c>
      <c r="I32" s="10">
        <v>45229</v>
      </c>
    </row>
    <row r="33" spans="1:9" x14ac:dyDescent="0.15">
      <c r="A33" s="9">
        <v>32</v>
      </c>
      <c r="B33" s="9" t="s">
        <v>9</v>
      </c>
      <c r="C33" s="9">
        <v>1926</v>
      </c>
      <c r="D33" s="10">
        <v>45722</v>
      </c>
      <c r="E33" s="11" t="str">
        <f>+HYPERLINK("http://trademark.i-assist.jp/data/china/image_1926th/74872416.pdf","74872416")</f>
        <v>74872416</v>
      </c>
      <c r="F33" s="9" t="s">
        <v>298</v>
      </c>
      <c r="G33" s="12" t="s">
        <v>22</v>
      </c>
      <c r="H33" s="9" t="s">
        <v>299</v>
      </c>
      <c r="I33" s="10">
        <v>45229</v>
      </c>
    </row>
    <row r="34" spans="1:9" x14ac:dyDescent="0.15">
      <c r="A34" s="9">
        <v>33</v>
      </c>
      <c r="B34" s="9" t="s">
        <v>9</v>
      </c>
      <c r="C34" s="9">
        <v>1926</v>
      </c>
      <c r="D34" s="10">
        <v>45722</v>
      </c>
      <c r="E34" s="11" t="str">
        <f>+HYPERLINK("http://trademark.i-assist.jp/data/china/image_1926th/74971207.pdf","74971207")</f>
        <v>74971207</v>
      </c>
      <c r="F34" s="9" t="s">
        <v>300</v>
      </c>
      <c r="G34" s="9" t="s">
        <v>301</v>
      </c>
      <c r="H34" s="9" t="s">
        <v>302</v>
      </c>
      <c r="I34" s="10">
        <v>45233</v>
      </c>
    </row>
    <row r="35" spans="1:9" x14ac:dyDescent="0.15">
      <c r="A35" s="9">
        <v>34</v>
      </c>
      <c r="B35" s="9" t="s">
        <v>9</v>
      </c>
      <c r="C35" s="9">
        <v>1926</v>
      </c>
      <c r="D35" s="10">
        <v>45722</v>
      </c>
      <c r="E35" s="11" t="str">
        <f>+HYPERLINK("http://trademark.i-assist.jp/data/china/image_1926th/75003253.pdf","75003253")</f>
        <v>75003253</v>
      </c>
      <c r="F35" s="9" t="s">
        <v>303</v>
      </c>
      <c r="G35" s="9" t="s">
        <v>304</v>
      </c>
      <c r="H35" s="9" t="s">
        <v>305</v>
      </c>
      <c r="I35" s="10">
        <v>45236</v>
      </c>
    </row>
    <row r="36" spans="1:9" x14ac:dyDescent="0.15">
      <c r="A36" s="9">
        <v>35</v>
      </c>
      <c r="B36" s="9" t="s">
        <v>9</v>
      </c>
      <c r="C36" s="9">
        <v>1926</v>
      </c>
      <c r="D36" s="10">
        <v>45722</v>
      </c>
      <c r="E36" s="11" t="str">
        <f>+HYPERLINK("http://trademark.i-assist.jp/data/china/image_1926th/75069185.pdf","75069185")</f>
        <v>75069185</v>
      </c>
      <c r="F36" s="12" t="s">
        <v>306</v>
      </c>
      <c r="G36" s="9" t="s">
        <v>307</v>
      </c>
      <c r="H36" s="9" t="s">
        <v>308</v>
      </c>
      <c r="I36" s="10">
        <v>45239</v>
      </c>
    </row>
    <row r="37" spans="1:9" x14ac:dyDescent="0.15">
      <c r="A37" s="9">
        <v>36</v>
      </c>
      <c r="B37" s="9" t="s">
        <v>9</v>
      </c>
      <c r="C37" s="9">
        <v>1926</v>
      </c>
      <c r="D37" s="10">
        <v>45722</v>
      </c>
      <c r="E37" s="11" t="str">
        <f>+HYPERLINK("http://trademark.i-assist.jp/data/china/image_1926th/75081037.pdf","75081037")</f>
        <v>75081037</v>
      </c>
      <c r="F37" s="9" t="s">
        <v>309</v>
      </c>
      <c r="G37" s="9" t="s">
        <v>310</v>
      </c>
      <c r="H37" s="9" t="s">
        <v>311</v>
      </c>
      <c r="I37" s="10">
        <v>45239</v>
      </c>
    </row>
    <row r="38" spans="1:9" x14ac:dyDescent="0.15">
      <c r="A38" s="9">
        <v>37</v>
      </c>
      <c r="B38" s="9" t="s">
        <v>9</v>
      </c>
      <c r="C38" s="9">
        <v>1926</v>
      </c>
      <c r="D38" s="10">
        <v>45722</v>
      </c>
      <c r="E38" s="11" t="str">
        <f>+HYPERLINK("http://trademark.i-assist.jp/data/china/image_1926th/75113526.pdf","75113526")</f>
        <v>75113526</v>
      </c>
      <c r="F38" s="9" t="s">
        <v>312</v>
      </c>
      <c r="G38" s="9" t="s">
        <v>313</v>
      </c>
      <c r="H38" s="9" t="s">
        <v>314</v>
      </c>
      <c r="I38" s="10">
        <v>45240</v>
      </c>
    </row>
    <row r="39" spans="1:9" x14ac:dyDescent="0.15">
      <c r="A39" s="9">
        <v>38</v>
      </c>
      <c r="B39" s="9" t="s">
        <v>9</v>
      </c>
      <c r="C39" s="9">
        <v>1926</v>
      </c>
      <c r="D39" s="10">
        <v>45722</v>
      </c>
      <c r="E39" s="11" t="str">
        <f>+HYPERLINK("http://trademark.i-assist.jp/data/china/image_1926th/75317595.pdf","75317595")</f>
        <v>75317595</v>
      </c>
      <c r="F39" s="9" t="s">
        <v>315</v>
      </c>
      <c r="G39" s="9" t="s">
        <v>316</v>
      </c>
      <c r="H39" s="9" t="s">
        <v>317</v>
      </c>
      <c r="I39" s="10">
        <v>45251</v>
      </c>
    </row>
    <row r="40" spans="1:9" x14ac:dyDescent="0.15">
      <c r="A40" s="9">
        <v>39</v>
      </c>
      <c r="B40" s="9" t="s">
        <v>9</v>
      </c>
      <c r="C40" s="9">
        <v>1926</v>
      </c>
      <c r="D40" s="10">
        <v>45722</v>
      </c>
      <c r="E40" s="11" t="str">
        <f>+HYPERLINK("http://trademark.i-assist.jp/data/china/image_1926th/75333153.pdf","75333153")</f>
        <v>75333153</v>
      </c>
      <c r="F40" s="9" t="s">
        <v>318</v>
      </c>
      <c r="G40" s="12" t="s">
        <v>319</v>
      </c>
      <c r="H40" s="9" t="s">
        <v>320</v>
      </c>
      <c r="I40" s="10">
        <v>45252</v>
      </c>
    </row>
    <row r="41" spans="1:9" x14ac:dyDescent="0.15">
      <c r="A41" s="9">
        <v>40</v>
      </c>
      <c r="B41" s="9" t="s">
        <v>9</v>
      </c>
      <c r="C41" s="9">
        <v>1926</v>
      </c>
      <c r="D41" s="10">
        <v>45722</v>
      </c>
      <c r="E41" s="11" t="str">
        <f>+HYPERLINK("http://trademark.i-assist.jp/data/china/image_1926th/75497934.pdf","75497934")</f>
        <v>75497934</v>
      </c>
      <c r="F41" s="9" t="s">
        <v>321</v>
      </c>
      <c r="G41" s="12" t="s">
        <v>322</v>
      </c>
      <c r="H41" s="9" t="s">
        <v>323</v>
      </c>
      <c r="I41" s="10">
        <v>45260</v>
      </c>
    </row>
    <row r="42" spans="1:9" x14ac:dyDescent="0.15">
      <c r="A42" s="9">
        <v>41</v>
      </c>
      <c r="B42" s="9" t="s">
        <v>9</v>
      </c>
      <c r="C42" s="9">
        <v>1926</v>
      </c>
      <c r="D42" s="10">
        <v>45722</v>
      </c>
      <c r="E42" s="11" t="str">
        <f>+HYPERLINK("http://trademark.i-assist.jp/data/china/image_1926th/75501104.pdf","75501104")</f>
        <v>75501104</v>
      </c>
      <c r="F42" s="12" t="s">
        <v>324</v>
      </c>
      <c r="G42" s="12" t="s">
        <v>325</v>
      </c>
      <c r="H42" s="9" t="s">
        <v>326</v>
      </c>
      <c r="I42" s="10">
        <v>45260</v>
      </c>
    </row>
    <row r="43" spans="1:9" x14ac:dyDescent="0.15">
      <c r="A43" s="9">
        <v>42</v>
      </c>
      <c r="B43" s="9" t="s">
        <v>9</v>
      </c>
      <c r="C43" s="9">
        <v>1926</v>
      </c>
      <c r="D43" s="10">
        <v>45722</v>
      </c>
      <c r="E43" s="11" t="str">
        <f>+HYPERLINK("http://trademark.i-assist.jp/data/china/image_1926th/75511481.pdf","75511481")</f>
        <v>75511481</v>
      </c>
      <c r="F43" s="9" t="s">
        <v>327</v>
      </c>
      <c r="G43" s="9" t="s">
        <v>328</v>
      </c>
      <c r="H43" s="9" t="s">
        <v>329</v>
      </c>
      <c r="I43" s="10">
        <v>45260</v>
      </c>
    </row>
    <row r="44" spans="1:9" x14ac:dyDescent="0.15">
      <c r="A44" s="9">
        <v>43</v>
      </c>
      <c r="B44" s="9" t="s">
        <v>9</v>
      </c>
      <c r="C44" s="9">
        <v>1926</v>
      </c>
      <c r="D44" s="10">
        <v>45722</v>
      </c>
      <c r="E44" s="11" t="str">
        <f>+HYPERLINK("http://trademark.i-assist.jp/data/china/image_1926th/75624932.pdf","75624932")</f>
        <v>75624932</v>
      </c>
      <c r="F44" s="9" t="s">
        <v>330</v>
      </c>
      <c r="G44" s="9" t="s">
        <v>331</v>
      </c>
      <c r="H44" s="9" t="s">
        <v>332</v>
      </c>
      <c r="I44" s="10">
        <v>45266</v>
      </c>
    </row>
    <row r="45" spans="1:9" x14ac:dyDescent="0.15">
      <c r="A45" s="9">
        <v>44</v>
      </c>
      <c r="B45" s="9" t="s">
        <v>9</v>
      </c>
      <c r="C45" s="9">
        <v>1926</v>
      </c>
      <c r="D45" s="10">
        <v>45722</v>
      </c>
      <c r="E45" s="11" t="str">
        <f>+HYPERLINK("http://trademark.i-assist.jp/data/china/image_1926th/76050913.pdf","76050913")</f>
        <v>76050913</v>
      </c>
      <c r="F45" s="12" t="s">
        <v>20</v>
      </c>
      <c r="G45" s="9" t="s">
        <v>333</v>
      </c>
      <c r="H45" s="9" t="s">
        <v>334</v>
      </c>
      <c r="I45" s="10">
        <v>45287</v>
      </c>
    </row>
    <row r="46" spans="1:9" x14ac:dyDescent="0.15">
      <c r="A46" s="9">
        <v>45</v>
      </c>
      <c r="B46" s="9" t="s">
        <v>9</v>
      </c>
      <c r="C46" s="9">
        <v>1926</v>
      </c>
      <c r="D46" s="10">
        <v>45722</v>
      </c>
      <c r="E46" s="11" t="str">
        <f>+HYPERLINK("http://trademark.i-assist.jp/data/china/image_1926th/76193133.pdf","76193133")</f>
        <v>76193133</v>
      </c>
      <c r="F46" s="9" t="s">
        <v>335</v>
      </c>
      <c r="G46" s="9" t="s">
        <v>43</v>
      </c>
      <c r="H46" s="9" t="s">
        <v>336</v>
      </c>
      <c r="I46" s="10">
        <v>45295</v>
      </c>
    </row>
    <row r="47" spans="1:9" x14ac:dyDescent="0.15">
      <c r="A47" s="9">
        <v>46</v>
      </c>
      <c r="B47" s="9" t="s">
        <v>9</v>
      </c>
      <c r="C47" s="9">
        <v>1926</v>
      </c>
      <c r="D47" s="10">
        <v>45722</v>
      </c>
      <c r="E47" s="11" t="str">
        <f>+HYPERLINK("http://trademark.i-assist.jp/data/china/image_1926th/76244185.pdf","76244185")</f>
        <v>76244185</v>
      </c>
      <c r="F47" s="12" t="s">
        <v>337</v>
      </c>
      <c r="G47" s="13" t="s">
        <v>338</v>
      </c>
      <c r="H47" s="9" t="s">
        <v>339</v>
      </c>
      <c r="I47" s="10">
        <v>45299</v>
      </c>
    </row>
    <row r="48" spans="1:9" x14ac:dyDescent="0.15">
      <c r="A48" s="9">
        <v>47</v>
      </c>
      <c r="B48" s="9" t="s">
        <v>9</v>
      </c>
      <c r="C48" s="9">
        <v>1926</v>
      </c>
      <c r="D48" s="10">
        <v>45722</v>
      </c>
      <c r="E48" s="11" t="str">
        <f>+HYPERLINK("http://trademark.i-assist.jp/data/china/image_1926th/76472490.pdf","76472490")</f>
        <v>76472490</v>
      </c>
      <c r="F48" s="9" t="s">
        <v>340</v>
      </c>
      <c r="G48" s="12" t="s">
        <v>341</v>
      </c>
      <c r="H48" s="9" t="s">
        <v>342</v>
      </c>
      <c r="I48" s="10">
        <v>45309</v>
      </c>
    </row>
    <row r="49" spans="1:9" x14ac:dyDescent="0.15">
      <c r="A49" s="9">
        <v>48</v>
      </c>
      <c r="B49" s="9" t="s">
        <v>9</v>
      </c>
      <c r="C49" s="9">
        <v>1926</v>
      </c>
      <c r="D49" s="10">
        <v>45722</v>
      </c>
      <c r="E49" s="11" t="str">
        <f>+HYPERLINK("http://trademark.i-assist.jp/data/china/image_1926th/76505145.pdf","76505145")</f>
        <v>76505145</v>
      </c>
      <c r="F49" s="9" t="s">
        <v>343</v>
      </c>
      <c r="G49" s="9" t="s">
        <v>344</v>
      </c>
      <c r="H49" s="9" t="s">
        <v>345</v>
      </c>
      <c r="I49" s="10">
        <v>45310</v>
      </c>
    </row>
    <row r="50" spans="1:9" x14ac:dyDescent="0.15">
      <c r="A50" s="9">
        <v>49</v>
      </c>
      <c r="B50" s="9" t="s">
        <v>9</v>
      </c>
      <c r="C50" s="9">
        <v>1926</v>
      </c>
      <c r="D50" s="10">
        <v>45722</v>
      </c>
      <c r="E50" s="11" t="str">
        <f>+HYPERLINK("http://trademark.i-assist.jp/data/china/image_1926th/76519316.pdf","76519316")</f>
        <v>76519316</v>
      </c>
      <c r="F50" s="12" t="s">
        <v>346</v>
      </c>
      <c r="G50" s="9" t="s">
        <v>347</v>
      </c>
      <c r="H50" s="9" t="s">
        <v>348</v>
      </c>
      <c r="I50" s="10">
        <v>45312</v>
      </c>
    </row>
    <row r="51" spans="1:9" x14ac:dyDescent="0.15">
      <c r="A51" s="9">
        <v>50</v>
      </c>
      <c r="B51" s="9" t="s">
        <v>9</v>
      </c>
      <c r="C51" s="9">
        <v>1926</v>
      </c>
      <c r="D51" s="10">
        <v>45722</v>
      </c>
      <c r="E51" s="11" t="str">
        <f>+HYPERLINK("http://trademark.i-assist.jp/data/china/image_1926th/76538042.pdf","76538042")</f>
        <v>76538042</v>
      </c>
      <c r="F51" s="9" t="s">
        <v>349</v>
      </c>
      <c r="G51" s="12" t="s">
        <v>350</v>
      </c>
      <c r="H51" s="9" t="s">
        <v>351</v>
      </c>
      <c r="I51" s="10">
        <v>45313</v>
      </c>
    </row>
    <row r="52" spans="1:9" x14ac:dyDescent="0.15">
      <c r="A52" s="9">
        <v>51</v>
      </c>
      <c r="B52" s="9" t="s">
        <v>9</v>
      </c>
      <c r="C52" s="9">
        <v>1926</v>
      </c>
      <c r="D52" s="10">
        <v>45722</v>
      </c>
      <c r="E52" s="11" t="str">
        <f>+HYPERLINK("http://trademark.i-assist.jp/data/china/image_1926th/76538371.pdf","76538371")</f>
        <v>76538371</v>
      </c>
      <c r="F52" s="9" t="s">
        <v>352</v>
      </c>
      <c r="G52" s="9" t="s">
        <v>353</v>
      </c>
      <c r="H52" s="12" t="s">
        <v>354</v>
      </c>
      <c r="I52" s="10">
        <v>45313</v>
      </c>
    </row>
    <row r="53" spans="1:9" x14ac:dyDescent="0.15">
      <c r="A53" s="9">
        <v>52</v>
      </c>
      <c r="B53" s="9" t="s">
        <v>9</v>
      </c>
      <c r="C53" s="9">
        <v>1926</v>
      </c>
      <c r="D53" s="10">
        <v>45722</v>
      </c>
      <c r="E53" s="11" t="str">
        <f>+HYPERLINK("http://trademark.i-assist.jp/data/china/image_1926th/76638621.pdf","76638621")</f>
        <v>76638621</v>
      </c>
      <c r="F53" s="9" t="s">
        <v>355</v>
      </c>
      <c r="G53" s="9" t="s">
        <v>356</v>
      </c>
      <c r="H53" s="9" t="s">
        <v>357</v>
      </c>
      <c r="I53" s="10">
        <v>45317</v>
      </c>
    </row>
    <row r="54" spans="1:9" x14ac:dyDescent="0.15">
      <c r="A54" s="9">
        <v>53</v>
      </c>
      <c r="B54" s="9" t="s">
        <v>9</v>
      </c>
      <c r="C54" s="9">
        <v>1926</v>
      </c>
      <c r="D54" s="10">
        <v>45722</v>
      </c>
      <c r="E54" s="11" t="str">
        <f>+HYPERLINK("http://trademark.i-assist.jp/data/china/image_1926th/76665609.pdf","76665609")</f>
        <v>76665609</v>
      </c>
      <c r="F54" s="12" t="s">
        <v>20</v>
      </c>
      <c r="G54" s="9" t="s">
        <v>358</v>
      </c>
      <c r="H54" s="9" t="s">
        <v>359</v>
      </c>
      <c r="I54" s="10">
        <v>45320</v>
      </c>
    </row>
    <row r="55" spans="1:9" x14ac:dyDescent="0.15">
      <c r="A55" s="9">
        <v>54</v>
      </c>
      <c r="B55" s="9" t="s">
        <v>9</v>
      </c>
      <c r="C55" s="9">
        <v>1926</v>
      </c>
      <c r="D55" s="10">
        <v>45722</v>
      </c>
      <c r="E55" s="11" t="str">
        <f>+HYPERLINK("http://trademark.i-assist.jp/data/china/image_1926th/76721754.pdf","76721754")</f>
        <v>76721754</v>
      </c>
      <c r="F55" s="12" t="s">
        <v>360</v>
      </c>
      <c r="G55" s="9" t="s">
        <v>361</v>
      </c>
      <c r="H55" s="9" t="s">
        <v>362</v>
      </c>
      <c r="I55" s="10">
        <v>45323</v>
      </c>
    </row>
    <row r="56" spans="1:9" x14ac:dyDescent="0.15">
      <c r="A56" s="9">
        <v>55</v>
      </c>
      <c r="B56" s="9" t="s">
        <v>9</v>
      </c>
      <c r="C56" s="9">
        <v>1926</v>
      </c>
      <c r="D56" s="10">
        <v>45722</v>
      </c>
      <c r="E56" s="11" t="str">
        <f>+HYPERLINK("http://trademark.i-assist.jp/data/china/image_1926th/76775122.pdf","76775122")</f>
        <v>76775122</v>
      </c>
      <c r="F56" s="9" t="s">
        <v>363</v>
      </c>
      <c r="G56" s="9" t="s">
        <v>364</v>
      </c>
      <c r="H56" s="9" t="s">
        <v>365</v>
      </c>
      <c r="I56" s="10">
        <v>45326</v>
      </c>
    </row>
    <row r="57" spans="1:9" x14ac:dyDescent="0.15">
      <c r="A57" s="9">
        <v>56</v>
      </c>
      <c r="B57" s="9" t="s">
        <v>9</v>
      </c>
      <c r="C57" s="9">
        <v>1926</v>
      </c>
      <c r="D57" s="10">
        <v>45722</v>
      </c>
      <c r="E57" s="11" t="str">
        <f>+HYPERLINK("http://trademark.i-assist.jp/data/china/image_1926th/76792551.pdf","76792551")</f>
        <v>76792551</v>
      </c>
      <c r="F57" s="9" t="s">
        <v>366</v>
      </c>
      <c r="G57" s="9" t="s">
        <v>367</v>
      </c>
      <c r="H57" s="9" t="s">
        <v>368</v>
      </c>
      <c r="I57" s="10">
        <v>45327</v>
      </c>
    </row>
    <row r="58" spans="1:9" x14ac:dyDescent="0.15">
      <c r="A58" s="9">
        <v>57</v>
      </c>
      <c r="B58" s="9" t="s">
        <v>9</v>
      </c>
      <c r="C58" s="9">
        <v>1926</v>
      </c>
      <c r="D58" s="10">
        <v>45722</v>
      </c>
      <c r="E58" s="11" t="str">
        <f>+HYPERLINK("http://trademark.i-assist.jp/data/china/image_1926th/76818642.pdf","76818642")</f>
        <v>76818642</v>
      </c>
      <c r="F58" s="9" t="s">
        <v>369</v>
      </c>
      <c r="G58" s="9" t="s">
        <v>236</v>
      </c>
      <c r="H58" s="12" t="s">
        <v>370</v>
      </c>
      <c r="I58" s="10">
        <v>45329</v>
      </c>
    </row>
    <row r="59" spans="1:9" x14ac:dyDescent="0.15">
      <c r="A59" s="9">
        <v>58</v>
      </c>
      <c r="B59" s="9" t="s">
        <v>9</v>
      </c>
      <c r="C59" s="9">
        <v>1926</v>
      </c>
      <c r="D59" s="10">
        <v>45722</v>
      </c>
      <c r="E59" s="11" t="str">
        <f>+HYPERLINK("http://trademark.i-assist.jp/data/china/image_1926th/76978260.pdf","76978260")</f>
        <v>76978260</v>
      </c>
      <c r="F59" s="12" t="s">
        <v>371</v>
      </c>
      <c r="G59" s="9" t="s">
        <v>372</v>
      </c>
      <c r="H59" s="9" t="s">
        <v>373</v>
      </c>
      <c r="I59" s="10">
        <v>45349</v>
      </c>
    </row>
    <row r="60" spans="1:9" x14ac:dyDescent="0.15">
      <c r="A60" s="9">
        <v>59</v>
      </c>
      <c r="B60" s="9" t="s">
        <v>9</v>
      </c>
      <c r="C60" s="9">
        <v>1926</v>
      </c>
      <c r="D60" s="10">
        <v>45722</v>
      </c>
      <c r="E60" s="11" t="str">
        <f>+HYPERLINK("http://trademark.i-assist.jp/data/china/image_1926th/77102152.pdf","77102152")</f>
        <v>77102152</v>
      </c>
      <c r="F60" s="9" t="s">
        <v>374</v>
      </c>
      <c r="G60" s="12" t="s">
        <v>23</v>
      </c>
      <c r="H60" s="12" t="s">
        <v>375</v>
      </c>
      <c r="I60" s="10">
        <v>45356</v>
      </c>
    </row>
    <row r="61" spans="1:9" x14ac:dyDescent="0.15">
      <c r="A61" s="9">
        <v>60</v>
      </c>
      <c r="B61" s="9" t="s">
        <v>9</v>
      </c>
      <c r="C61" s="9">
        <v>1926</v>
      </c>
      <c r="D61" s="10">
        <v>45722</v>
      </c>
      <c r="E61" s="11" t="str">
        <f>+HYPERLINK("http://trademark.i-assist.jp/data/china/image_1926th/77312166.pdf","77312166")</f>
        <v>77312166</v>
      </c>
      <c r="F61" s="9" t="s">
        <v>376</v>
      </c>
      <c r="G61" s="9" t="s">
        <v>377</v>
      </c>
      <c r="H61" s="9" t="s">
        <v>378</v>
      </c>
      <c r="I61" s="10">
        <v>45365</v>
      </c>
    </row>
    <row r="62" spans="1:9" x14ac:dyDescent="0.15">
      <c r="A62" s="9">
        <v>61</v>
      </c>
      <c r="B62" s="9" t="s">
        <v>9</v>
      </c>
      <c r="C62" s="9">
        <v>1926</v>
      </c>
      <c r="D62" s="10">
        <v>45722</v>
      </c>
      <c r="E62" s="11" t="str">
        <f>+HYPERLINK("http://trademark.i-assist.jp/data/china/image_1926th/77339159.pdf","77339159")</f>
        <v>77339159</v>
      </c>
      <c r="F62" s="9" t="s">
        <v>30</v>
      </c>
      <c r="G62" s="9" t="s">
        <v>29</v>
      </c>
      <c r="H62" s="9" t="s">
        <v>379</v>
      </c>
      <c r="I62" s="10">
        <v>45366</v>
      </c>
    </row>
    <row r="63" spans="1:9" x14ac:dyDescent="0.15">
      <c r="A63" s="9">
        <v>62</v>
      </c>
      <c r="B63" s="9" t="s">
        <v>9</v>
      </c>
      <c r="C63" s="9">
        <v>1926</v>
      </c>
      <c r="D63" s="10">
        <v>45722</v>
      </c>
      <c r="E63" s="11" t="str">
        <f>+HYPERLINK("http://trademark.i-assist.jp/data/china/image_1926th/77351894.pdf","77351894")</f>
        <v>77351894</v>
      </c>
      <c r="F63" s="12" t="s">
        <v>380</v>
      </c>
      <c r="G63" s="9" t="s">
        <v>381</v>
      </c>
      <c r="H63" s="12" t="s">
        <v>382</v>
      </c>
      <c r="I63" s="10">
        <v>45368</v>
      </c>
    </row>
    <row r="64" spans="1:9" x14ac:dyDescent="0.15">
      <c r="A64" s="9">
        <v>63</v>
      </c>
      <c r="B64" s="9" t="s">
        <v>9</v>
      </c>
      <c r="C64" s="9">
        <v>1926</v>
      </c>
      <c r="D64" s="10">
        <v>45722</v>
      </c>
      <c r="E64" s="11" t="str">
        <f>+HYPERLINK("http://trademark.i-assist.jp/data/china/image_1926th/77487480.pdf","77487480")</f>
        <v>77487480</v>
      </c>
      <c r="F64" s="9" t="s">
        <v>383</v>
      </c>
      <c r="G64" s="9" t="s">
        <v>26</v>
      </c>
      <c r="H64" s="9" t="s">
        <v>384</v>
      </c>
      <c r="I64" s="10">
        <v>45376</v>
      </c>
    </row>
    <row r="65" spans="1:9" x14ac:dyDescent="0.15">
      <c r="A65" s="9">
        <v>64</v>
      </c>
      <c r="B65" s="9" t="s">
        <v>9</v>
      </c>
      <c r="C65" s="9">
        <v>1926</v>
      </c>
      <c r="D65" s="10">
        <v>45722</v>
      </c>
      <c r="E65" s="11" t="str">
        <f>+HYPERLINK("http://trademark.i-assist.jp/data/china/image_1926th/77517222.pdf","77517222")</f>
        <v>77517222</v>
      </c>
      <c r="F65" s="12" t="s">
        <v>385</v>
      </c>
      <c r="G65" s="9" t="s">
        <v>26</v>
      </c>
      <c r="H65" s="9" t="s">
        <v>386</v>
      </c>
      <c r="I65" s="10">
        <v>45376</v>
      </c>
    </row>
    <row r="66" spans="1:9" x14ac:dyDescent="0.15">
      <c r="A66" s="9">
        <v>65</v>
      </c>
      <c r="B66" s="9" t="s">
        <v>9</v>
      </c>
      <c r="C66" s="9">
        <v>1926</v>
      </c>
      <c r="D66" s="10">
        <v>45722</v>
      </c>
      <c r="E66" s="11" t="str">
        <f>+HYPERLINK("http://trademark.i-assist.jp/data/china/image_1926th/77524688.pdf","77524688")</f>
        <v>77524688</v>
      </c>
      <c r="F66" s="9" t="s">
        <v>387</v>
      </c>
      <c r="G66" s="9" t="s">
        <v>388</v>
      </c>
      <c r="H66" s="9" t="s">
        <v>389</v>
      </c>
      <c r="I66" s="10">
        <v>45376</v>
      </c>
    </row>
    <row r="67" spans="1:9" x14ac:dyDescent="0.15">
      <c r="A67" s="9">
        <v>66</v>
      </c>
      <c r="B67" s="9" t="s">
        <v>9</v>
      </c>
      <c r="C67" s="9">
        <v>1926</v>
      </c>
      <c r="D67" s="10">
        <v>45722</v>
      </c>
      <c r="E67" s="11" t="str">
        <f>+HYPERLINK("http://trademark.i-assist.jp/data/china/image_1926th/77532385.pdf","77532385")</f>
        <v>77532385</v>
      </c>
      <c r="F67" s="12" t="s">
        <v>390</v>
      </c>
      <c r="G67" s="9" t="s">
        <v>391</v>
      </c>
      <c r="H67" s="9" t="s">
        <v>392</v>
      </c>
      <c r="I67" s="10">
        <v>45376</v>
      </c>
    </row>
    <row r="68" spans="1:9" x14ac:dyDescent="0.15">
      <c r="A68" s="9">
        <v>67</v>
      </c>
      <c r="B68" s="9" t="s">
        <v>9</v>
      </c>
      <c r="C68" s="9">
        <v>1926</v>
      </c>
      <c r="D68" s="10">
        <v>45722</v>
      </c>
      <c r="E68" s="11" t="str">
        <f>+HYPERLINK("http://trademark.i-assist.jp/data/china/image_1926th/77568664.pdf","77568664")</f>
        <v>77568664</v>
      </c>
      <c r="F68" s="9" t="s">
        <v>393</v>
      </c>
      <c r="G68" s="12" t="s">
        <v>394</v>
      </c>
      <c r="H68" s="9" t="s">
        <v>395</v>
      </c>
      <c r="I68" s="10">
        <v>45378</v>
      </c>
    </row>
    <row r="69" spans="1:9" x14ac:dyDescent="0.15">
      <c r="A69" s="9">
        <v>68</v>
      </c>
      <c r="B69" s="9" t="s">
        <v>9</v>
      </c>
      <c r="C69" s="9">
        <v>1926</v>
      </c>
      <c r="D69" s="10">
        <v>45722</v>
      </c>
      <c r="E69" s="11" t="str">
        <f>+HYPERLINK("http://trademark.i-assist.jp/data/china/image_1926th/77569304.pdf","77569304")</f>
        <v>77569304</v>
      </c>
      <c r="F69" s="9" t="s">
        <v>396</v>
      </c>
      <c r="G69" s="9" t="s">
        <v>397</v>
      </c>
      <c r="H69" s="12" t="s">
        <v>398</v>
      </c>
      <c r="I69" s="10">
        <v>45378</v>
      </c>
    </row>
    <row r="70" spans="1:9" x14ac:dyDescent="0.15">
      <c r="A70" s="9">
        <v>69</v>
      </c>
      <c r="B70" s="9" t="s">
        <v>9</v>
      </c>
      <c r="C70" s="9">
        <v>1926</v>
      </c>
      <c r="D70" s="10">
        <v>45722</v>
      </c>
      <c r="E70" s="11" t="str">
        <f>+HYPERLINK("http://trademark.i-assist.jp/data/china/image_1926th/77581406.pdf","77581406")</f>
        <v>77581406</v>
      </c>
      <c r="F70" s="9" t="s">
        <v>399</v>
      </c>
      <c r="G70" s="9" t="s">
        <v>400</v>
      </c>
      <c r="H70" s="9" t="s">
        <v>401</v>
      </c>
      <c r="I70" s="10">
        <v>45378</v>
      </c>
    </row>
    <row r="71" spans="1:9" x14ac:dyDescent="0.15">
      <c r="A71" s="9">
        <v>70</v>
      </c>
      <c r="B71" s="9" t="s">
        <v>9</v>
      </c>
      <c r="C71" s="9">
        <v>1926</v>
      </c>
      <c r="D71" s="10">
        <v>45722</v>
      </c>
      <c r="E71" s="11" t="str">
        <f>+HYPERLINK("http://trademark.i-assist.jp/data/china/image_1926th/77594469.pdf","77594469")</f>
        <v>77594469</v>
      </c>
      <c r="F71" s="12" t="s">
        <v>402</v>
      </c>
      <c r="G71" s="9" t="s">
        <v>403</v>
      </c>
      <c r="H71" s="9" t="s">
        <v>404</v>
      </c>
      <c r="I71" s="10">
        <v>45378</v>
      </c>
    </row>
    <row r="72" spans="1:9" x14ac:dyDescent="0.15">
      <c r="A72" s="9">
        <v>71</v>
      </c>
      <c r="B72" s="9" t="s">
        <v>9</v>
      </c>
      <c r="C72" s="9">
        <v>1926</v>
      </c>
      <c r="D72" s="10">
        <v>45722</v>
      </c>
      <c r="E72" s="11" t="str">
        <f>+HYPERLINK("http://trademark.i-assist.jp/data/china/image_1926th/77607233.pdf","77607233")</f>
        <v>77607233</v>
      </c>
      <c r="F72" s="9" t="s">
        <v>405</v>
      </c>
      <c r="G72" s="9" t="s">
        <v>406</v>
      </c>
      <c r="H72" s="9" t="s">
        <v>407</v>
      </c>
      <c r="I72" s="10">
        <v>45379</v>
      </c>
    </row>
    <row r="73" spans="1:9" x14ac:dyDescent="0.15">
      <c r="A73" s="9">
        <v>72</v>
      </c>
      <c r="B73" s="9" t="s">
        <v>9</v>
      </c>
      <c r="C73" s="9">
        <v>1926</v>
      </c>
      <c r="D73" s="10">
        <v>45722</v>
      </c>
      <c r="E73" s="11" t="str">
        <f>+HYPERLINK("http://trademark.i-assist.jp/data/china/image_1926th/77657852.pdf","77657852")</f>
        <v>77657852</v>
      </c>
      <c r="F73" s="12" t="s">
        <v>408</v>
      </c>
      <c r="G73" s="9" t="s">
        <v>409</v>
      </c>
      <c r="H73" s="9" t="s">
        <v>410</v>
      </c>
      <c r="I73" s="10">
        <v>45380</v>
      </c>
    </row>
    <row r="74" spans="1:9" x14ac:dyDescent="0.15">
      <c r="A74" s="9">
        <v>73</v>
      </c>
      <c r="B74" s="9" t="s">
        <v>9</v>
      </c>
      <c r="C74" s="9">
        <v>1926</v>
      </c>
      <c r="D74" s="10">
        <v>45722</v>
      </c>
      <c r="E74" s="11" t="str">
        <f>+HYPERLINK("http://trademark.i-assist.jp/data/china/image_1926th/77681399.pdf","77681399")</f>
        <v>77681399</v>
      </c>
      <c r="F74" s="9" t="s">
        <v>411</v>
      </c>
      <c r="G74" s="9" t="s">
        <v>412</v>
      </c>
      <c r="H74" s="9" t="s">
        <v>413</v>
      </c>
      <c r="I74" s="10">
        <v>45383</v>
      </c>
    </row>
    <row r="75" spans="1:9" x14ac:dyDescent="0.15">
      <c r="A75" s="9">
        <v>74</v>
      </c>
      <c r="B75" s="9" t="s">
        <v>9</v>
      </c>
      <c r="C75" s="9">
        <v>1926</v>
      </c>
      <c r="D75" s="10">
        <v>45722</v>
      </c>
      <c r="E75" s="11" t="str">
        <f>+HYPERLINK("http://trademark.i-assist.jp/data/china/image_1926th/77684671.pdf","77684671")</f>
        <v>77684671</v>
      </c>
      <c r="F75" s="9" t="s">
        <v>414</v>
      </c>
      <c r="G75" s="9" t="s">
        <v>415</v>
      </c>
      <c r="H75" s="9" t="s">
        <v>416</v>
      </c>
      <c r="I75" s="10">
        <v>45383</v>
      </c>
    </row>
    <row r="76" spans="1:9" x14ac:dyDescent="0.15">
      <c r="A76" s="9">
        <v>75</v>
      </c>
      <c r="B76" s="9" t="s">
        <v>9</v>
      </c>
      <c r="C76" s="9">
        <v>1926</v>
      </c>
      <c r="D76" s="10">
        <v>45722</v>
      </c>
      <c r="E76" s="11" t="str">
        <f>+HYPERLINK("http://trademark.i-assist.jp/data/china/image_1926th/77765447.pdf","77765447")</f>
        <v>77765447</v>
      </c>
      <c r="F76" s="9" t="s">
        <v>417</v>
      </c>
      <c r="G76" s="9" t="s">
        <v>418</v>
      </c>
      <c r="H76" s="9" t="s">
        <v>419</v>
      </c>
      <c r="I76" s="10">
        <v>45386</v>
      </c>
    </row>
    <row r="77" spans="1:9" x14ac:dyDescent="0.15">
      <c r="A77" s="9">
        <v>76</v>
      </c>
      <c r="B77" s="9" t="s">
        <v>9</v>
      </c>
      <c r="C77" s="9">
        <v>1926</v>
      </c>
      <c r="D77" s="10">
        <v>45722</v>
      </c>
      <c r="E77" s="11" t="str">
        <f>+HYPERLINK("http://trademark.i-assist.jp/data/china/image_1926th/77843584.pdf","77843584")</f>
        <v>77843584</v>
      </c>
      <c r="F77" s="9" t="s">
        <v>420</v>
      </c>
      <c r="G77" s="9" t="s">
        <v>421</v>
      </c>
      <c r="H77" s="12" t="s">
        <v>422</v>
      </c>
      <c r="I77" s="10">
        <v>45391</v>
      </c>
    </row>
    <row r="78" spans="1:9" x14ac:dyDescent="0.15">
      <c r="A78" s="9">
        <v>77</v>
      </c>
      <c r="B78" s="9" t="s">
        <v>9</v>
      </c>
      <c r="C78" s="9">
        <v>1926</v>
      </c>
      <c r="D78" s="10">
        <v>45722</v>
      </c>
      <c r="E78" s="11" t="str">
        <f>+HYPERLINK("http://trademark.i-assist.jp/data/china/image_1926th/77857313.pdf","77857313")</f>
        <v>77857313</v>
      </c>
      <c r="F78" s="9" t="s">
        <v>423</v>
      </c>
      <c r="G78" s="9" t="s">
        <v>424</v>
      </c>
      <c r="H78" s="9" t="s">
        <v>425</v>
      </c>
      <c r="I78" s="10">
        <v>45391</v>
      </c>
    </row>
    <row r="79" spans="1:9" x14ac:dyDescent="0.15">
      <c r="A79" s="9">
        <v>78</v>
      </c>
      <c r="B79" s="9" t="s">
        <v>9</v>
      </c>
      <c r="C79" s="9">
        <v>1926</v>
      </c>
      <c r="D79" s="10">
        <v>45722</v>
      </c>
      <c r="E79" s="11" t="str">
        <f>+HYPERLINK("http://trademark.i-assist.jp/data/china/image_1926th/77858355.pdf","77858355")</f>
        <v>77858355</v>
      </c>
      <c r="F79" s="12" t="s">
        <v>426</v>
      </c>
      <c r="G79" s="9" t="s">
        <v>421</v>
      </c>
      <c r="H79" s="9" t="s">
        <v>427</v>
      </c>
      <c r="I79" s="10">
        <v>45391</v>
      </c>
    </row>
    <row r="80" spans="1:9" x14ac:dyDescent="0.15">
      <c r="A80" s="9">
        <v>79</v>
      </c>
      <c r="B80" s="9" t="s">
        <v>9</v>
      </c>
      <c r="C80" s="9">
        <v>1926</v>
      </c>
      <c r="D80" s="10">
        <v>45722</v>
      </c>
      <c r="E80" s="11" t="str">
        <f>+HYPERLINK("http://trademark.i-assist.jp/data/china/image_1926th/77859904.pdf","77859904")</f>
        <v>77859904</v>
      </c>
      <c r="F80" s="9" t="s">
        <v>428</v>
      </c>
      <c r="G80" s="9" t="s">
        <v>421</v>
      </c>
      <c r="H80" s="9" t="s">
        <v>429</v>
      </c>
      <c r="I80" s="10">
        <v>45391</v>
      </c>
    </row>
    <row r="81" spans="1:9" x14ac:dyDescent="0.15">
      <c r="A81" s="9">
        <v>80</v>
      </c>
      <c r="B81" s="9" t="s">
        <v>9</v>
      </c>
      <c r="C81" s="9">
        <v>1926</v>
      </c>
      <c r="D81" s="10">
        <v>45722</v>
      </c>
      <c r="E81" s="11" t="str">
        <f>+HYPERLINK("http://trademark.i-assist.jp/data/china/image_1926th/77870826.pdf","77870826")</f>
        <v>77870826</v>
      </c>
      <c r="F81" s="9" t="s">
        <v>430</v>
      </c>
      <c r="G81" s="9" t="s">
        <v>431</v>
      </c>
      <c r="H81" s="9" t="s">
        <v>432</v>
      </c>
      <c r="I81" s="10">
        <v>45392</v>
      </c>
    </row>
    <row r="82" spans="1:9" x14ac:dyDescent="0.15">
      <c r="A82" s="9">
        <v>81</v>
      </c>
      <c r="B82" s="9" t="s">
        <v>9</v>
      </c>
      <c r="C82" s="9">
        <v>1926</v>
      </c>
      <c r="D82" s="10">
        <v>45722</v>
      </c>
      <c r="E82" s="11" t="str">
        <f>+HYPERLINK("http://trademark.i-assist.jp/data/china/image_1926th/77966267.pdf","77966267")</f>
        <v>77966267</v>
      </c>
      <c r="F82" s="12" t="s">
        <v>433</v>
      </c>
      <c r="G82" s="9" t="s">
        <v>434</v>
      </c>
      <c r="H82" s="12" t="s">
        <v>435</v>
      </c>
      <c r="I82" s="10">
        <v>45397</v>
      </c>
    </row>
    <row r="83" spans="1:9" x14ac:dyDescent="0.15">
      <c r="A83" s="9">
        <v>82</v>
      </c>
      <c r="B83" s="9" t="s">
        <v>9</v>
      </c>
      <c r="C83" s="9">
        <v>1926</v>
      </c>
      <c r="D83" s="10">
        <v>45722</v>
      </c>
      <c r="E83" s="11" t="str">
        <f>+HYPERLINK("http://trademark.i-assist.jp/data/china/image_1926th/77973454.pdf","77973454")</f>
        <v>77973454</v>
      </c>
      <c r="F83" s="9" t="s">
        <v>436</v>
      </c>
      <c r="G83" s="9" t="s">
        <v>437</v>
      </c>
      <c r="H83" s="9" t="s">
        <v>438</v>
      </c>
      <c r="I83" s="10">
        <v>45397</v>
      </c>
    </row>
    <row r="84" spans="1:9" x14ac:dyDescent="0.15">
      <c r="A84" s="9">
        <v>83</v>
      </c>
      <c r="B84" s="9" t="s">
        <v>9</v>
      </c>
      <c r="C84" s="9">
        <v>1926</v>
      </c>
      <c r="D84" s="10">
        <v>45722</v>
      </c>
      <c r="E84" s="11" t="str">
        <f>+HYPERLINK("http://trademark.i-assist.jp/data/china/image_1926th/78035783.pdf","78035783")</f>
        <v>78035783</v>
      </c>
      <c r="F84" s="12" t="s">
        <v>439</v>
      </c>
      <c r="G84" s="12" t="s">
        <v>440</v>
      </c>
      <c r="H84" s="9" t="s">
        <v>441</v>
      </c>
      <c r="I84" s="10">
        <v>45399</v>
      </c>
    </row>
    <row r="85" spans="1:9" x14ac:dyDescent="0.15">
      <c r="A85" s="9">
        <v>84</v>
      </c>
      <c r="B85" s="9" t="s">
        <v>9</v>
      </c>
      <c r="C85" s="9">
        <v>1926</v>
      </c>
      <c r="D85" s="10">
        <v>45722</v>
      </c>
      <c r="E85" s="11" t="str">
        <f>+HYPERLINK("http://trademark.i-assist.jp/data/china/image_1926th/78079518.pdf","78079518")</f>
        <v>78079518</v>
      </c>
      <c r="F85" s="9" t="s">
        <v>442</v>
      </c>
      <c r="G85" s="9" t="s">
        <v>443</v>
      </c>
      <c r="H85" s="9" t="s">
        <v>444</v>
      </c>
      <c r="I85" s="10">
        <v>45401</v>
      </c>
    </row>
    <row r="86" spans="1:9" x14ac:dyDescent="0.15">
      <c r="A86" s="9">
        <v>85</v>
      </c>
      <c r="B86" s="9" t="s">
        <v>9</v>
      </c>
      <c r="C86" s="9">
        <v>1926</v>
      </c>
      <c r="D86" s="10">
        <v>45722</v>
      </c>
      <c r="E86" s="11" t="str">
        <f>+HYPERLINK("http://trademark.i-assist.jp/data/china/image_1926th/78128583.pdf","78128583")</f>
        <v>78128583</v>
      </c>
      <c r="F86" s="9" t="s">
        <v>445</v>
      </c>
      <c r="G86" s="9" t="s">
        <v>446</v>
      </c>
      <c r="H86" s="9" t="s">
        <v>447</v>
      </c>
      <c r="I86" s="10">
        <v>45404</v>
      </c>
    </row>
    <row r="87" spans="1:9" x14ac:dyDescent="0.15">
      <c r="A87" s="9">
        <v>86</v>
      </c>
      <c r="B87" s="9" t="s">
        <v>9</v>
      </c>
      <c r="C87" s="9">
        <v>1926</v>
      </c>
      <c r="D87" s="10">
        <v>45722</v>
      </c>
      <c r="E87" s="11" t="str">
        <f>+HYPERLINK("http://trademark.i-assist.jp/data/china/image_1926th/78157285.pdf","78157285")</f>
        <v>78157285</v>
      </c>
      <c r="F87" s="9" t="s">
        <v>448</v>
      </c>
      <c r="G87" s="9" t="s">
        <v>131</v>
      </c>
      <c r="H87" s="9" t="s">
        <v>449</v>
      </c>
      <c r="I87" s="10">
        <v>45405</v>
      </c>
    </row>
    <row r="88" spans="1:9" x14ac:dyDescent="0.15">
      <c r="A88" s="9">
        <v>87</v>
      </c>
      <c r="B88" s="9" t="s">
        <v>9</v>
      </c>
      <c r="C88" s="9">
        <v>1926</v>
      </c>
      <c r="D88" s="10">
        <v>45722</v>
      </c>
      <c r="E88" s="11" t="str">
        <f>+HYPERLINK("http://trademark.i-assist.jp/data/china/image_1926th/78159567.pdf","78159567")</f>
        <v>78159567</v>
      </c>
      <c r="F88" s="9" t="s">
        <v>450</v>
      </c>
      <c r="G88" s="9" t="s">
        <v>451</v>
      </c>
      <c r="H88" s="9" t="s">
        <v>452</v>
      </c>
      <c r="I88" s="10">
        <v>45405</v>
      </c>
    </row>
    <row r="89" spans="1:9" x14ac:dyDescent="0.15">
      <c r="A89" s="9">
        <v>88</v>
      </c>
      <c r="B89" s="9" t="s">
        <v>9</v>
      </c>
      <c r="C89" s="9">
        <v>1926</v>
      </c>
      <c r="D89" s="10">
        <v>45722</v>
      </c>
      <c r="E89" s="11" t="str">
        <f>+HYPERLINK("http://trademark.i-assist.jp/data/china/image_1926th/78253573.pdf","78253573")</f>
        <v>78253573</v>
      </c>
      <c r="F89" s="9" t="s">
        <v>453</v>
      </c>
      <c r="G89" s="12" t="s">
        <v>454</v>
      </c>
      <c r="H89" s="9" t="s">
        <v>455</v>
      </c>
      <c r="I89" s="10">
        <v>45408</v>
      </c>
    </row>
    <row r="90" spans="1:9" x14ac:dyDescent="0.15">
      <c r="A90" s="9">
        <v>89</v>
      </c>
      <c r="B90" s="9" t="s">
        <v>9</v>
      </c>
      <c r="C90" s="9">
        <v>1926</v>
      </c>
      <c r="D90" s="10">
        <v>45722</v>
      </c>
      <c r="E90" s="11" t="str">
        <f>+HYPERLINK("http://trademark.i-assist.jp/data/china/image_1926th/78303566.pdf","78303566")</f>
        <v>78303566</v>
      </c>
      <c r="F90" s="9" t="s">
        <v>456</v>
      </c>
      <c r="G90" s="9" t="s">
        <v>451</v>
      </c>
      <c r="H90" s="9" t="s">
        <v>457</v>
      </c>
      <c r="I90" s="10">
        <v>45410</v>
      </c>
    </row>
    <row r="91" spans="1:9" x14ac:dyDescent="0.15">
      <c r="A91" s="9">
        <v>90</v>
      </c>
      <c r="B91" s="9" t="s">
        <v>9</v>
      </c>
      <c r="C91" s="9">
        <v>1926</v>
      </c>
      <c r="D91" s="10">
        <v>45722</v>
      </c>
      <c r="E91" s="11" t="str">
        <f>+HYPERLINK("http://trademark.i-assist.jp/data/china/image_1926th/78505192.pdf","78505192")</f>
        <v>78505192</v>
      </c>
      <c r="F91" s="9" t="s">
        <v>458</v>
      </c>
      <c r="G91" s="9" t="s">
        <v>459</v>
      </c>
      <c r="H91" s="9" t="s">
        <v>460</v>
      </c>
      <c r="I91" s="10">
        <v>45422</v>
      </c>
    </row>
    <row r="92" spans="1:9" x14ac:dyDescent="0.15">
      <c r="A92" s="9">
        <v>91</v>
      </c>
      <c r="B92" s="9" t="s">
        <v>9</v>
      </c>
      <c r="C92" s="9">
        <v>1926</v>
      </c>
      <c r="D92" s="10">
        <v>45722</v>
      </c>
      <c r="E92" s="11" t="str">
        <f>+HYPERLINK("http://trademark.i-assist.jp/data/china/image_1926th/78639281.pdf","78639281")</f>
        <v>78639281</v>
      </c>
      <c r="F92" s="9" t="s">
        <v>461</v>
      </c>
      <c r="G92" s="9" t="s">
        <v>462</v>
      </c>
      <c r="H92" s="9" t="s">
        <v>463</v>
      </c>
      <c r="I92" s="10">
        <v>45428</v>
      </c>
    </row>
    <row r="93" spans="1:9" x14ac:dyDescent="0.15">
      <c r="A93" s="9">
        <v>92</v>
      </c>
      <c r="B93" s="9" t="s">
        <v>9</v>
      </c>
      <c r="C93" s="9">
        <v>1926</v>
      </c>
      <c r="D93" s="10">
        <v>45722</v>
      </c>
      <c r="E93" s="11" t="str">
        <f>+HYPERLINK("http://trademark.i-assist.jp/data/china/image_1926th/78738437.pdf","78738437")</f>
        <v>78738437</v>
      </c>
      <c r="F93" s="9" t="s">
        <v>464</v>
      </c>
      <c r="G93" s="9" t="s">
        <v>465</v>
      </c>
      <c r="H93" s="9" t="s">
        <v>466</v>
      </c>
      <c r="I93" s="10">
        <v>45433</v>
      </c>
    </row>
    <row r="94" spans="1:9" x14ac:dyDescent="0.15">
      <c r="A94" s="9">
        <v>93</v>
      </c>
      <c r="B94" s="9" t="s">
        <v>9</v>
      </c>
      <c r="C94" s="9">
        <v>1926</v>
      </c>
      <c r="D94" s="10">
        <v>45722</v>
      </c>
      <c r="E94" s="11" t="str">
        <f>+HYPERLINK("http://trademark.i-assist.jp/data/china/image_1926th/78818321.pdf","78818321")</f>
        <v>78818321</v>
      </c>
      <c r="F94" s="9" t="s">
        <v>467</v>
      </c>
      <c r="G94" s="9" t="s">
        <v>468</v>
      </c>
      <c r="H94" s="9" t="s">
        <v>469</v>
      </c>
      <c r="I94" s="10">
        <v>45436</v>
      </c>
    </row>
    <row r="95" spans="1:9" x14ac:dyDescent="0.15">
      <c r="A95" s="9">
        <v>94</v>
      </c>
      <c r="B95" s="9" t="s">
        <v>9</v>
      </c>
      <c r="C95" s="9">
        <v>1926</v>
      </c>
      <c r="D95" s="10">
        <v>45722</v>
      </c>
      <c r="E95" s="11" t="str">
        <f>+HYPERLINK("http://trademark.i-assist.jp/data/china/image_1926th/79058881.pdf","79058881")</f>
        <v>79058881</v>
      </c>
      <c r="F95" s="12" t="s">
        <v>28</v>
      </c>
      <c r="G95" s="9" t="s">
        <v>29</v>
      </c>
      <c r="H95" s="9" t="s">
        <v>470</v>
      </c>
      <c r="I95" s="10">
        <v>45448</v>
      </c>
    </row>
    <row r="96" spans="1:9" x14ac:dyDescent="0.15">
      <c r="A96" s="9">
        <v>95</v>
      </c>
      <c r="B96" s="9" t="s">
        <v>9</v>
      </c>
      <c r="C96" s="9">
        <v>1926</v>
      </c>
      <c r="D96" s="10">
        <v>45722</v>
      </c>
      <c r="E96" s="11" t="str">
        <f>+HYPERLINK("http://trademark.i-assist.jp/data/china/image_1926th/79061476.pdf","79061476")</f>
        <v>79061476</v>
      </c>
      <c r="F96" s="9" t="s">
        <v>30</v>
      </c>
      <c r="G96" s="9" t="s">
        <v>29</v>
      </c>
      <c r="H96" s="9" t="s">
        <v>471</v>
      </c>
      <c r="I96" s="10">
        <v>45448</v>
      </c>
    </row>
    <row r="97" spans="1:9" x14ac:dyDescent="0.15">
      <c r="A97" s="9">
        <v>96</v>
      </c>
      <c r="B97" s="9" t="s">
        <v>9</v>
      </c>
      <c r="C97" s="9">
        <v>1926</v>
      </c>
      <c r="D97" s="10">
        <v>45722</v>
      </c>
      <c r="E97" s="11" t="str">
        <f>+HYPERLINK("http://trademark.i-assist.jp/data/china/image_1926th/79471508.pdf","79471508")</f>
        <v>79471508</v>
      </c>
      <c r="F97" s="12" t="s">
        <v>20</v>
      </c>
      <c r="G97" s="9" t="s">
        <v>472</v>
      </c>
      <c r="H97" s="9" t="s">
        <v>473</v>
      </c>
      <c r="I97" s="10">
        <v>45470</v>
      </c>
    </row>
    <row r="98" spans="1:9" x14ac:dyDescent="0.15">
      <c r="A98" s="9">
        <v>97</v>
      </c>
      <c r="B98" s="9" t="s">
        <v>9</v>
      </c>
      <c r="C98" s="9">
        <v>1926</v>
      </c>
      <c r="D98" s="10">
        <v>45722</v>
      </c>
      <c r="E98" s="11" t="str">
        <f>+HYPERLINK("http://trademark.i-assist.jp/data/china/image_1926th/79484320.pdf","79484320")</f>
        <v>79484320</v>
      </c>
      <c r="F98" s="9" t="s">
        <v>474</v>
      </c>
      <c r="G98" s="9" t="s">
        <v>472</v>
      </c>
      <c r="H98" s="9" t="s">
        <v>475</v>
      </c>
      <c r="I98" s="10">
        <v>45470</v>
      </c>
    </row>
    <row r="99" spans="1:9" x14ac:dyDescent="0.15">
      <c r="A99" s="9">
        <v>98</v>
      </c>
      <c r="B99" s="9" t="s">
        <v>9</v>
      </c>
      <c r="C99" s="9">
        <v>1926</v>
      </c>
      <c r="D99" s="10">
        <v>45722</v>
      </c>
      <c r="E99" s="11" t="str">
        <f>+HYPERLINK("http://trademark.i-assist.jp/data/china/image_1926th/79485817.pdf","79485817")</f>
        <v>79485817</v>
      </c>
      <c r="F99" s="9" t="s">
        <v>476</v>
      </c>
      <c r="G99" s="9" t="s">
        <v>472</v>
      </c>
      <c r="H99" s="9" t="s">
        <v>477</v>
      </c>
      <c r="I99" s="10">
        <v>45470</v>
      </c>
    </row>
    <row r="100" spans="1:9" x14ac:dyDescent="0.15">
      <c r="A100" s="9">
        <v>99</v>
      </c>
      <c r="B100" s="9" t="s">
        <v>9</v>
      </c>
      <c r="C100" s="9">
        <v>1926</v>
      </c>
      <c r="D100" s="10">
        <v>45722</v>
      </c>
      <c r="E100" s="11" t="str">
        <f>+HYPERLINK("http://trademark.i-assist.jp/data/china/image_1926th/79487184.pdf","79487184")</f>
        <v>79487184</v>
      </c>
      <c r="F100" s="9" t="s">
        <v>474</v>
      </c>
      <c r="G100" s="9" t="s">
        <v>472</v>
      </c>
      <c r="H100" s="9" t="s">
        <v>478</v>
      </c>
      <c r="I100" s="10">
        <v>45470</v>
      </c>
    </row>
    <row r="101" spans="1:9" x14ac:dyDescent="0.15">
      <c r="A101" s="9">
        <v>100</v>
      </c>
      <c r="B101" s="9" t="s">
        <v>9</v>
      </c>
      <c r="C101" s="9">
        <v>1926</v>
      </c>
      <c r="D101" s="10">
        <v>45722</v>
      </c>
      <c r="E101" s="11" t="str">
        <f>+HYPERLINK("http://trademark.i-assist.jp/data/china/image_1926th/79537973.pdf","79537973")</f>
        <v>79537973</v>
      </c>
      <c r="F101" s="9" t="s">
        <v>479</v>
      </c>
      <c r="G101" s="9" t="s">
        <v>480</v>
      </c>
      <c r="H101" s="12" t="s">
        <v>481</v>
      </c>
      <c r="I101" s="10">
        <v>45474</v>
      </c>
    </row>
    <row r="102" spans="1:9" x14ac:dyDescent="0.15">
      <c r="A102" s="9">
        <v>101</v>
      </c>
      <c r="B102" s="9" t="s">
        <v>9</v>
      </c>
      <c r="C102" s="9">
        <v>1926</v>
      </c>
      <c r="D102" s="10">
        <v>45722</v>
      </c>
      <c r="E102" s="11" t="str">
        <f>+HYPERLINK("http://trademark.i-assist.jp/data/china/image_1926th/79972633.pdf","79972633")</f>
        <v>79972633</v>
      </c>
      <c r="F102" s="12" t="s">
        <v>482</v>
      </c>
      <c r="G102" s="12" t="s">
        <v>483</v>
      </c>
      <c r="H102" s="9" t="s">
        <v>484</v>
      </c>
      <c r="I102" s="10">
        <v>45497</v>
      </c>
    </row>
    <row r="103" spans="1:9" x14ac:dyDescent="0.15">
      <c r="A103" s="9">
        <v>102</v>
      </c>
      <c r="B103" s="9" t="s">
        <v>9</v>
      </c>
      <c r="C103" s="9">
        <v>1926</v>
      </c>
      <c r="D103" s="10">
        <v>45722</v>
      </c>
      <c r="E103" s="11" t="str">
        <f>+HYPERLINK("http://trademark.i-assist.jp/data/china/image_1926th/80289411.pdf","80289411")</f>
        <v>80289411</v>
      </c>
      <c r="F103" s="9" t="s">
        <v>485</v>
      </c>
      <c r="G103" s="9" t="s">
        <v>486</v>
      </c>
      <c r="H103" s="9" t="s">
        <v>487</v>
      </c>
      <c r="I103" s="10">
        <v>45513</v>
      </c>
    </row>
    <row r="104" spans="1:9" x14ac:dyDescent="0.15">
      <c r="A104" s="9">
        <v>103</v>
      </c>
      <c r="B104" s="9" t="s">
        <v>9</v>
      </c>
      <c r="C104" s="9">
        <v>1926</v>
      </c>
      <c r="D104" s="10">
        <v>45722</v>
      </c>
      <c r="E104" s="11" t="str">
        <f>+HYPERLINK("http://trademark.i-assist.jp/data/china/image_1926th/80297529.pdf","80297529")</f>
        <v>80297529</v>
      </c>
      <c r="F104" s="9" t="s">
        <v>488</v>
      </c>
      <c r="G104" s="9" t="s">
        <v>489</v>
      </c>
      <c r="H104" s="9" t="s">
        <v>490</v>
      </c>
      <c r="I104" s="10">
        <v>45515</v>
      </c>
    </row>
    <row r="105" spans="1:9" x14ac:dyDescent="0.15">
      <c r="A105" s="9">
        <v>104</v>
      </c>
      <c r="B105" s="9" t="s">
        <v>9</v>
      </c>
      <c r="C105" s="9">
        <v>1926</v>
      </c>
      <c r="D105" s="10">
        <v>45722</v>
      </c>
      <c r="E105" s="11" t="str">
        <f>+HYPERLINK("http://trademark.i-assist.jp/data/china/image_1926th/80526964.pdf","80526964")</f>
        <v>80526964</v>
      </c>
      <c r="F105" s="9" t="s">
        <v>491</v>
      </c>
      <c r="G105" s="9" t="s">
        <v>492</v>
      </c>
      <c r="H105" s="9" t="s">
        <v>493</v>
      </c>
      <c r="I105" s="10">
        <v>45527</v>
      </c>
    </row>
    <row r="106" spans="1:9" x14ac:dyDescent="0.15">
      <c r="A106" s="9">
        <v>105</v>
      </c>
      <c r="B106" s="9" t="s">
        <v>9</v>
      </c>
      <c r="C106" s="9">
        <v>1926</v>
      </c>
      <c r="D106" s="10">
        <v>45722</v>
      </c>
      <c r="E106" s="11" t="str">
        <f>+HYPERLINK("http://trademark.i-assist.jp/data/china/image_1926th/80530224.pdf","80530224")</f>
        <v>80530224</v>
      </c>
      <c r="F106" s="9" t="s">
        <v>494</v>
      </c>
      <c r="G106" s="9" t="s">
        <v>495</v>
      </c>
      <c r="H106" s="12" t="s">
        <v>496</v>
      </c>
      <c r="I106" s="10">
        <v>45527</v>
      </c>
    </row>
    <row r="107" spans="1:9" x14ac:dyDescent="0.15">
      <c r="A107" s="9">
        <v>106</v>
      </c>
      <c r="B107" s="9" t="s">
        <v>9</v>
      </c>
      <c r="C107" s="9">
        <v>1926</v>
      </c>
      <c r="D107" s="10">
        <v>45722</v>
      </c>
      <c r="E107" s="11" t="str">
        <f>+HYPERLINK("http://trademark.i-assist.jp/data/china/image_1926th/80581953.pdf","80581953")</f>
        <v>80581953</v>
      </c>
      <c r="F107" s="12" t="s">
        <v>20</v>
      </c>
      <c r="G107" s="9" t="s">
        <v>102</v>
      </c>
      <c r="H107" s="9" t="s">
        <v>497</v>
      </c>
      <c r="I107" s="10">
        <v>45531</v>
      </c>
    </row>
    <row r="108" spans="1:9" x14ac:dyDescent="0.15">
      <c r="A108" s="9">
        <v>107</v>
      </c>
      <c r="B108" s="9" t="s">
        <v>9</v>
      </c>
      <c r="C108" s="9">
        <v>1926</v>
      </c>
      <c r="D108" s="10">
        <v>45722</v>
      </c>
      <c r="E108" s="11" t="str">
        <f>+HYPERLINK("http://trademark.i-assist.jp/data/china/image_1926th/80692698.pdf","80692698")</f>
        <v>80692698</v>
      </c>
      <c r="F108" s="12" t="s">
        <v>20</v>
      </c>
      <c r="G108" s="9" t="s">
        <v>498</v>
      </c>
      <c r="H108" s="9" t="s">
        <v>499</v>
      </c>
      <c r="I108" s="10">
        <v>45537</v>
      </c>
    </row>
    <row r="109" spans="1:9" x14ac:dyDescent="0.15">
      <c r="A109" s="9">
        <v>108</v>
      </c>
      <c r="B109" s="9" t="s">
        <v>9</v>
      </c>
      <c r="C109" s="9">
        <v>1926</v>
      </c>
      <c r="D109" s="10">
        <v>45722</v>
      </c>
      <c r="E109" s="11" t="str">
        <f>+HYPERLINK("http://trademark.i-assist.jp/data/china/image_1926th/80739938.pdf","80739938")</f>
        <v>80739938</v>
      </c>
      <c r="F109" s="12" t="s">
        <v>500</v>
      </c>
      <c r="G109" s="9" t="s">
        <v>26</v>
      </c>
      <c r="H109" s="9" t="s">
        <v>501</v>
      </c>
      <c r="I109" s="10">
        <v>45539</v>
      </c>
    </row>
    <row r="110" spans="1:9" x14ac:dyDescent="0.15">
      <c r="A110" s="9">
        <v>109</v>
      </c>
      <c r="B110" s="9" t="s">
        <v>9</v>
      </c>
      <c r="C110" s="9">
        <v>1926</v>
      </c>
      <c r="D110" s="10">
        <v>45722</v>
      </c>
      <c r="E110" s="11" t="str">
        <f>+HYPERLINK("http://trademark.i-assist.jp/data/china/image_1926th/80743046.pdf","80743046")</f>
        <v>80743046</v>
      </c>
      <c r="F110" s="9" t="s">
        <v>502</v>
      </c>
      <c r="G110" s="9" t="s">
        <v>26</v>
      </c>
      <c r="H110" s="9" t="s">
        <v>503</v>
      </c>
      <c r="I110" s="10">
        <v>45539</v>
      </c>
    </row>
    <row r="111" spans="1:9" x14ac:dyDescent="0.15">
      <c r="A111" s="9">
        <v>110</v>
      </c>
      <c r="B111" s="9" t="s">
        <v>9</v>
      </c>
      <c r="C111" s="9">
        <v>1926</v>
      </c>
      <c r="D111" s="10">
        <v>45722</v>
      </c>
      <c r="E111" s="11" t="str">
        <f>+HYPERLINK("http://trademark.i-assist.jp/data/china/image_1926th/80791514.pdf","80791514")</f>
        <v>80791514</v>
      </c>
      <c r="F111" s="9" t="s">
        <v>504</v>
      </c>
      <c r="G111" s="9" t="s">
        <v>480</v>
      </c>
      <c r="H111" s="9" t="s">
        <v>505</v>
      </c>
      <c r="I111" s="10">
        <v>45541</v>
      </c>
    </row>
    <row r="112" spans="1:9" x14ac:dyDescent="0.15">
      <c r="A112" s="9">
        <v>111</v>
      </c>
      <c r="B112" s="9" t="s">
        <v>9</v>
      </c>
      <c r="C112" s="9">
        <v>1926</v>
      </c>
      <c r="D112" s="10">
        <v>45722</v>
      </c>
      <c r="E112" s="11" t="str">
        <f>+HYPERLINK("http://trademark.i-assist.jp/data/china/image_1926th/80792483.pdf","80792483")</f>
        <v>80792483</v>
      </c>
      <c r="F112" s="9" t="s">
        <v>506</v>
      </c>
      <c r="G112" s="9" t="s">
        <v>480</v>
      </c>
      <c r="H112" s="9" t="s">
        <v>507</v>
      </c>
      <c r="I112" s="10">
        <v>45541</v>
      </c>
    </row>
    <row r="113" spans="1:9" x14ac:dyDescent="0.15">
      <c r="A113" s="9">
        <v>112</v>
      </c>
      <c r="B113" s="9" t="s">
        <v>9</v>
      </c>
      <c r="C113" s="9">
        <v>1926</v>
      </c>
      <c r="D113" s="10">
        <v>45722</v>
      </c>
      <c r="E113" s="11" t="str">
        <f>+HYPERLINK("http://trademark.i-assist.jp/data/china/image_1926th/80812203.pdf","80812203")</f>
        <v>80812203</v>
      </c>
      <c r="F113" s="12" t="s">
        <v>508</v>
      </c>
      <c r="G113" s="9" t="s">
        <v>509</v>
      </c>
      <c r="H113" s="9" t="s">
        <v>510</v>
      </c>
      <c r="I113" s="10">
        <v>45544</v>
      </c>
    </row>
    <row r="114" spans="1:9" x14ac:dyDescent="0.15">
      <c r="A114" s="9">
        <v>113</v>
      </c>
      <c r="B114" s="9" t="s">
        <v>9</v>
      </c>
      <c r="C114" s="9">
        <v>1926</v>
      </c>
      <c r="D114" s="10">
        <v>45722</v>
      </c>
      <c r="E114" s="11" t="str">
        <f>+HYPERLINK("http://trademark.i-assist.jp/data/china/image_1926th/80872223.pdf","80872223")</f>
        <v>80872223</v>
      </c>
      <c r="F114" s="9" t="s">
        <v>511</v>
      </c>
      <c r="G114" s="9" t="s">
        <v>25</v>
      </c>
      <c r="H114" s="9" t="s">
        <v>512</v>
      </c>
      <c r="I114" s="10">
        <v>45546</v>
      </c>
    </row>
    <row r="115" spans="1:9" x14ac:dyDescent="0.15">
      <c r="A115" s="9">
        <v>114</v>
      </c>
      <c r="B115" s="9" t="s">
        <v>9</v>
      </c>
      <c r="C115" s="9">
        <v>1926</v>
      </c>
      <c r="D115" s="10">
        <v>45722</v>
      </c>
      <c r="E115" s="11" t="str">
        <f>+HYPERLINK("http://trademark.i-assist.jp/data/china/image_1926th/80880762.pdf","80880762")</f>
        <v>80880762</v>
      </c>
      <c r="F115" s="12" t="s">
        <v>513</v>
      </c>
      <c r="G115" s="9" t="s">
        <v>514</v>
      </c>
      <c r="H115" s="9" t="s">
        <v>515</v>
      </c>
      <c r="I115" s="10">
        <v>45547</v>
      </c>
    </row>
    <row r="116" spans="1:9" x14ac:dyDescent="0.15">
      <c r="A116" s="9">
        <v>115</v>
      </c>
      <c r="B116" s="9" t="s">
        <v>9</v>
      </c>
      <c r="C116" s="9">
        <v>1926</v>
      </c>
      <c r="D116" s="10">
        <v>45722</v>
      </c>
      <c r="E116" s="11" t="str">
        <f>+HYPERLINK("http://trademark.i-assist.jp/data/china/image_1926th/80928001.pdf","80928001")</f>
        <v>80928001</v>
      </c>
      <c r="F116" s="9" t="s">
        <v>516</v>
      </c>
      <c r="G116" s="9" t="s">
        <v>517</v>
      </c>
      <c r="H116" s="9" t="s">
        <v>518</v>
      </c>
      <c r="I116" s="10">
        <v>45549</v>
      </c>
    </row>
    <row r="117" spans="1:9" x14ac:dyDescent="0.15">
      <c r="A117" s="9">
        <v>116</v>
      </c>
      <c r="B117" s="9" t="s">
        <v>9</v>
      </c>
      <c r="C117" s="9">
        <v>1926</v>
      </c>
      <c r="D117" s="10">
        <v>45722</v>
      </c>
      <c r="E117" s="11" t="str">
        <f>+HYPERLINK("http://trademark.i-assist.jp/data/china/image_1926th/80984636.pdf","80984636")</f>
        <v>80984636</v>
      </c>
      <c r="F117" s="9" t="s">
        <v>519</v>
      </c>
      <c r="G117" s="9" t="s">
        <v>520</v>
      </c>
      <c r="H117" s="9" t="s">
        <v>521</v>
      </c>
      <c r="I117" s="10">
        <v>45554</v>
      </c>
    </row>
    <row r="118" spans="1:9" x14ac:dyDescent="0.15">
      <c r="A118" s="9">
        <v>117</v>
      </c>
      <c r="B118" s="9" t="s">
        <v>9</v>
      </c>
      <c r="C118" s="9">
        <v>1926</v>
      </c>
      <c r="D118" s="10">
        <v>45722</v>
      </c>
      <c r="E118" s="11" t="str">
        <f>+HYPERLINK("http://trademark.i-assist.jp/data/china/image_1926th/81010123.pdf","81010123")</f>
        <v>81010123</v>
      </c>
      <c r="F118" s="9" t="s">
        <v>522</v>
      </c>
      <c r="G118" s="9" t="s">
        <v>523</v>
      </c>
      <c r="H118" s="9" t="s">
        <v>524</v>
      </c>
      <c r="I118" s="10">
        <v>45555</v>
      </c>
    </row>
    <row r="119" spans="1:9" x14ac:dyDescent="0.15">
      <c r="A119" s="9">
        <v>118</v>
      </c>
      <c r="B119" s="9" t="s">
        <v>9</v>
      </c>
      <c r="C119" s="9">
        <v>1926</v>
      </c>
      <c r="D119" s="10">
        <v>45722</v>
      </c>
      <c r="E119" s="11" t="str">
        <f>+HYPERLINK("http://trademark.i-assist.jp/data/china/image_1926th/81018244.pdf","81018244")</f>
        <v>81018244</v>
      </c>
      <c r="F119" s="9" t="s">
        <v>522</v>
      </c>
      <c r="G119" s="9" t="s">
        <v>523</v>
      </c>
      <c r="H119" s="9" t="s">
        <v>525</v>
      </c>
      <c r="I119" s="10">
        <v>45555</v>
      </c>
    </row>
    <row r="120" spans="1:9" x14ac:dyDescent="0.15">
      <c r="A120" s="9">
        <v>119</v>
      </c>
      <c r="B120" s="9" t="s">
        <v>9</v>
      </c>
      <c r="C120" s="9">
        <v>1926</v>
      </c>
      <c r="D120" s="10">
        <v>45722</v>
      </c>
      <c r="E120" s="11" t="str">
        <f>+HYPERLINK("http://trademark.i-assist.jp/data/china/image_1926th/81048669.pdf","81048669")</f>
        <v>81048669</v>
      </c>
      <c r="F120" s="9" t="s">
        <v>526</v>
      </c>
      <c r="G120" s="9" t="s">
        <v>527</v>
      </c>
      <c r="H120" s="9" t="s">
        <v>528</v>
      </c>
      <c r="I120" s="10">
        <v>45558</v>
      </c>
    </row>
    <row r="121" spans="1:9" x14ac:dyDescent="0.15">
      <c r="A121" s="9">
        <v>120</v>
      </c>
      <c r="B121" s="9" t="s">
        <v>9</v>
      </c>
      <c r="C121" s="9">
        <v>1926</v>
      </c>
      <c r="D121" s="10">
        <v>45722</v>
      </c>
      <c r="E121" s="11" t="str">
        <f>+HYPERLINK("http://trademark.i-assist.jp/data/china/image_1926th/81059231.pdf","81059231")</f>
        <v>81059231</v>
      </c>
      <c r="F121" s="9" t="s">
        <v>529</v>
      </c>
      <c r="G121" s="9" t="s">
        <v>530</v>
      </c>
      <c r="H121" s="9" t="s">
        <v>531</v>
      </c>
      <c r="I121" s="10">
        <v>45558</v>
      </c>
    </row>
    <row r="122" spans="1:9" x14ac:dyDescent="0.15">
      <c r="A122" s="9">
        <v>121</v>
      </c>
      <c r="B122" s="9" t="s">
        <v>9</v>
      </c>
      <c r="C122" s="9">
        <v>1926</v>
      </c>
      <c r="D122" s="10">
        <v>45722</v>
      </c>
      <c r="E122" s="11" t="str">
        <f>+HYPERLINK("http://trademark.i-assist.jp/data/china/image_1926th/81089096.pdf","81089096")</f>
        <v>81089096</v>
      </c>
      <c r="F122" s="9" t="s">
        <v>532</v>
      </c>
      <c r="G122" s="9" t="s">
        <v>533</v>
      </c>
      <c r="H122" s="12" t="s">
        <v>534</v>
      </c>
      <c r="I122" s="10">
        <v>45559</v>
      </c>
    </row>
    <row r="123" spans="1:9" x14ac:dyDescent="0.15">
      <c r="A123" s="9">
        <v>122</v>
      </c>
      <c r="B123" s="9" t="s">
        <v>9</v>
      </c>
      <c r="C123" s="9">
        <v>1926</v>
      </c>
      <c r="D123" s="10">
        <v>45722</v>
      </c>
      <c r="E123" s="11" t="str">
        <f>+HYPERLINK("http://trademark.i-assist.jp/data/china/image_1926th/81129690.pdf","81129690")</f>
        <v>81129690</v>
      </c>
      <c r="F123" s="9" t="s">
        <v>535</v>
      </c>
      <c r="G123" s="12" t="s">
        <v>536</v>
      </c>
      <c r="H123" s="9" t="s">
        <v>537</v>
      </c>
      <c r="I123" s="10">
        <v>45561</v>
      </c>
    </row>
    <row r="124" spans="1:9" x14ac:dyDescent="0.15">
      <c r="A124" s="9">
        <v>123</v>
      </c>
      <c r="B124" s="9" t="s">
        <v>9</v>
      </c>
      <c r="C124" s="9">
        <v>1926</v>
      </c>
      <c r="D124" s="10">
        <v>45722</v>
      </c>
      <c r="E124" s="11" t="str">
        <f>+HYPERLINK("http://trademark.i-assist.jp/data/china/image_1926th/81132579.pdf","81132579")</f>
        <v>81132579</v>
      </c>
      <c r="F124" s="9" t="s">
        <v>538</v>
      </c>
      <c r="G124" s="9" t="s">
        <v>539</v>
      </c>
      <c r="H124" s="9" t="s">
        <v>540</v>
      </c>
      <c r="I124" s="10">
        <v>45561</v>
      </c>
    </row>
    <row r="125" spans="1:9" x14ac:dyDescent="0.15">
      <c r="A125" s="9">
        <v>124</v>
      </c>
      <c r="B125" s="9" t="s">
        <v>9</v>
      </c>
      <c r="C125" s="9">
        <v>1926</v>
      </c>
      <c r="D125" s="10">
        <v>45722</v>
      </c>
      <c r="E125" s="11" t="str">
        <f>+HYPERLINK("http://trademark.i-assist.jp/data/china/image_1926th/81133872.pdf","81133872")</f>
        <v>81133872</v>
      </c>
      <c r="F125" s="9" t="s">
        <v>541</v>
      </c>
      <c r="G125" s="12" t="s">
        <v>536</v>
      </c>
      <c r="H125" s="9" t="s">
        <v>542</v>
      </c>
      <c r="I125" s="10">
        <v>45561</v>
      </c>
    </row>
    <row r="126" spans="1:9" x14ac:dyDescent="0.15">
      <c r="A126" s="9">
        <v>125</v>
      </c>
      <c r="B126" s="9" t="s">
        <v>9</v>
      </c>
      <c r="C126" s="9">
        <v>1926</v>
      </c>
      <c r="D126" s="10">
        <v>45722</v>
      </c>
      <c r="E126" s="11" t="str">
        <f>+HYPERLINK("http://trademark.i-assist.jp/data/china/image_1926th/81141915.pdf","81141915")</f>
        <v>81141915</v>
      </c>
      <c r="F126" s="9" t="s">
        <v>543</v>
      </c>
      <c r="G126" s="12" t="s">
        <v>536</v>
      </c>
      <c r="H126" s="9" t="s">
        <v>544</v>
      </c>
      <c r="I126" s="10">
        <v>45561</v>
      </c>
    </row>
    <row r="127" spans="1:9" x14ac:dyDescent="0.15">
      <c r="A127" s="9">
        <v>126</v>
      </c>
      <c r="B127" s="9" t="s">
        <v>9</v>
      </c>
      <c r="C127" s="9">
        <v>1926</v>
      </c>
      <c r="D127" s="10">
        <v>45722</v>
      </c>
      <c r="E127" s="11" t="str">
        <f>+HYPERLINK("http://trademark.i-assist.jp/data/china/image_1926th/81148191.pdf","81148191")</f>
        <v>81148191</v>
      </c>
      <c r="F127" s="9" t="s">
        <v>545</v>
      </c>
      <c r="G127" s="12" t="s">
        <v>546</v>
      </c>
      <c r="H127" s="9" t="s">
        <v>547</v>
      </c>
      <c r="I127" s="10">
        <v>45562</v>
      </c>
    </row>
    <row r="128" spans="1:9" x14ac:dyDescent="0.15">
      <c r="A128" s="9">
        <v>127</v>
      </c>
      <c r="B128" s="9" t="s">
        <v>9</v>
      </c>
      <c r="C128" s="9">
        <v>1926</v>
      </c>
      <c r="D128" s="10">
        <v>45722</v>
      </c>
      <c r="E128" s="11" t="str">
        <f>+HYPERLINK("http://trademark.i-assist.jp/data/china/image_1926th/81158248.pdf","81158248")</f>
        <v>81158248</v>
      </c>
      <c r="F128" s="9" t="s">
        <v>548</v>
      </c>
      <c r="G128" s="9" t="s">
        <v>26</v>
      </c>
      <c r="H128" s="9" t="s">
        <v>549</v>
      </c>
      <c r="I128" s="10">
        <v>45562</v>
      </c>
    </row>
    <row r="129" spans="1:9" x14ac:dyDescent="0.15">
      <c r="A129" s="9">
        <v>128</v>
      </c>
      <c r="B129" s="9" t="s">
        <v>9</v>
      </c>
      <c r="C129" s="9">
        <v>1926</v>
      </c>
      <c r="D129" s="10">
        <v>45722</v>
      </c>
      <c r="E129" s="11" t="str">
        <f>+HYPERLINK("http://trademark.i-assist.jp/data/china/image_1926th/81195613.pdf","81195613")</f>
        <v>81195613</v>
      </c>
      <c r="F129" s="12" t="s">
        <v>550</v>
      </c>
      <c r="G129" s="9" t="s">
        <v>551</v>
      </c>
      <c r="H129" s="9" t="s">
        <v>552</v>
      </c>
      <c r="I129" s="10">
        <v>45564</v>
      </c>
    </row>
    <row r="130" spans="1:9" x14ac:dyDescent="0.15">
      <c r="A130" s="9">
        <v>129</v>
      </c>
      <c r="B130" s="9" t="s">
        <v>9</v>
      </c>
      <c r="C130" s="9">
        <v>1926</v>
      </c>
      <c r="D130" s="10">
        <v>45722</v>
      </c>
      <c r="E130" s="11" t="str">
        <f>+HYPERLINK("http://trademark.i-assist.jp/data/china/image_1926th/81208890.pdf","81208890")</f>
        <v>81208890</v>
      </c>
      <c r="F130" s="9" t="s">
        <v>553</v>
      </c>
      <c r="G130" s="9" t="s">
        <v>554</v>
      </c>
      <c r="H130" s="9" t="s">
        <v>555</v>
      </c>
      <c r="I130" s="10">
        <v>45565</v>
      </c>
    </row>
    <row r="131" spans="1:9" x14ac:dyDescent="0.15">
      <c r="A131" s="9">
        <v>130</v>
      </c>
      <c r="B131" s="9" t="s">
        <v>9</v>
      </c>
      <c r="C131" s="9">
        <v>1926</v>
      </c>
      <c r="D131" s="10">
        <v>45722</v>
      </c>
      <c r="E131" s="11" t="str">
        <f>+HYPERLINK("http://trademark.i-assist.jp/data/china/image_1926th/81241466.pdf","81241466")</f>
        <v>81241466</v>
      </c>
      <c r="F131" s="9" t="s">
        <v>556</v>
      </c>
      <c r="G131" s="9" t="s">
        <v>557</v>
      </c>
      <c r="H131" s="9" t="s">
        <v>558</v>
      </c>
      <c r="I131" s="10">
        <v>45573</v>
      </c>
    </row>
    <row r="132" spans="1:9" x14ac:dyDescent="0.15">
      <c r="A132" s="9">
        <v>131</v>
      </c>
      <c r="B132" s="9" t="s">
        <v>9</v>
      </c>
      <c r="C132" s="9">
        <v>1926</v>
      </c>
      <c r="D132" s="10">
        <v>45722</v>
      </c>
      <c r="E132" s="11" t="str">
        <f>+HYPERLINK("http://trademark.i-assist.jp/data/china/image_1926th/81270465.pdf","81270465")</f>
        <v>81270465</v>
      </c>
      <c r="F132" s="12" t="s">
        <v>559</v>
      </c>
      <c r="G132" s="12" t="s">
        <v>560</v>
      </c>
      <c r="H132" s="9" t="s">
        <v>561</v>
      </c>
      <c r="I132" s="10">
        <v>45574</v>
      </c>
    </row>
    <row r="133" spans="1:9" x14ac:dyDescent="0.15">
      <c r="A133" s="9">
        <v>132</v>
      </c>
      <c r="B133" s="9" t="s">
        <v>9</v>
      </c>
      <c r="C133" s="9">
        <v>1926</v>
      </c>
      <c r="D133" s="10">
        <v>45722</v>
      </c>
      <c r="E133" s="11" t="str">
        <f>+HYPERLINK("http://trademark.i-assist.jp/data/china/image_1926th/81280781.pdf","81280781")</f>
        <v>81280781</v>
      </c>
      <c r="F133" s="9" t="s">
        <v>562</v>
      </c>
      <c r="G133" s="9" t="s">
        <v>563</v>
      </c>
      <c r="H133" s="9" t="s">
        <v>564</v>
      </c>
      <c r="I133" s="10">
        <v>45574</v>
      </c>
    </row>
    <row r="134" spans="1:9" x14ac:dyDescent="0.15">
      <c r="A134" s="9">
        <v>133</v>
      </c>
      <c r="B134" s="9" t="s">
        <v>9</v>
      </c>
      <c r="C134" s="9">
        <v>1926</v>
      </c>
      <c r="D134" s="10">
        <v>45722</v>
      </c>
      <c r="E134" s="11" t="str">
        <f>+HYPERLINK("http://trademark.i-assist.jp/data/china/image_1926th/81294564.pdf","81294564")</f>
        <v>81294564</v>
      </c>
      <c r="F134" s="9" t="s">
        <v>565</v>
      </c>
      <c r="G134" s="12" t="s">
        <v>566</v>
      </c>
      <c r="H134" s="9" t="s">
        <v>567</v>
      </c>
      <c r="I134" s="10">
        <v>45575</v>
      </c>
    </row>
    <row r="135" spans="1:9" x14ac:dyDescent="0.15">
      <c r="A135" s="9">
        <v>134</v>
      </c>
      <c r="B135" s="9" t="s">
        <v>9</v>
      </c>
      <c r="C135" s="9">
        <v>1926</v>
      </c>
      <c r="D135" s="10">
        <v>45722</v>
      </c>
      <c r="E135" s="11" t="str">
        <f>+HYPERLINK("http://trademark.i-assist.jp/data/china/image_1926th/81330058.pdf","81330058")</f>
        <v>81330058</v>
      </c>
      <c r="F135" s="9" t="s">
        <v>568</v>
      </c>
      <c r="G135" s="9" t="s">
        <v>569</v>
      </c>
      <c r="H135" s="9" t="s">
        <v>570</v>
      </c>
      <c r="I135" s="10">
        <v>45576</v>
      </c>
    </row>
    <row r="136" spans="1:9" x14ac:dyDescent="0.15">
      <c r="A136" s="9">
        <v>135</v>
      </c>
      <c r="B136" s="9" t="s">
        <v>9</v>
      </c>
      <c r="C136" s="9">
        <v>1926</v>
      </c>
      <c r="D136" s="10">
        <v>45722</v>
      </c>
      <c r="E136" s="11" t="str">
        <f>+HYPERLINK("http://trademark.i-assist.jp/data/china/image_1926th/81334428.pdf","81334428")</f>
        <v>81334428</v>
      </c>
      <c r="F136" s="9" t="s">
        <v>571</v>
      </c>
      <c r="G136" s="9" t="s">
        <v>26</v>
      </c>
      <c r="H136" s="9" t="s">
        <v>572</v>
      </c>
      <c r="I136" s="10">
        <v>45577</v>
      </c>
    </row>
    <row r="137" spans="1:9" x14ac:dyDescent="0.15">
      <c r="A137" s="9">
        <v>136</v>
      </c>
      <c r="B137" s="9" t="s">
        <v>9</v>
      </c>
      <c r="C137" s="9">
        <v>1926</v>
      </c>
      <c r="D137" s="10">
        <v>45722</v>
      </c>
      <c r="E137" s="11" t="str">
        <f>+HYPERLINK("http://trademark.i-assist.jp/data/china/image_1926th/81352749.pdf","81352749")</f>
        <v>81352749</v>
      </c>
      <c r="F137" s="9" t="s">
        <v>573</v>
      </c>
      <c r="G137" s="12" t="s">
        <v>574</v>
      </c>
      <c r="H137" s="9" t="s">
        <v>575</v>
      </c>
      <c r="I137" s="10">
        <v>45577</v>
      </c>
    </row>
    <row r="138" spans="1:9" x14ac:dyDescent="0.15">
      <c r="A138" s="9">
        <v>137</v>
      </c>
      <c r="B138" s="9" t="s">
        <v>9</v>
      </c>
      <c r="C138" s="9">
        <v>1926</v>
      </c>
      <c r="D138" s="10">
        <v>45722</v>
      </c>
      <c r="E138" s="11" t="str">
        <f>+HYPERLINK("http://trademark.i-assist.jp/data/china/image_1926th/81352762.pdf","81352762")</f>
        <v>81352762</v>
      </c>
      <c r="F138" s="12" t="s">
        <v>576</v>
      </c>
      <c r="G138" s="9" t="s">
        <v>577</v>
      </c>
      <c r="H138" s="9" t="s">
        <v>578</v>
      </c>
      <c r="I138" s="10">
        <v>45577</v>
      </c>
    </row>
    <row r="139" spans="1:9" x14ac:dyDescent="0.15">
      <c r="A139" s="9">
        <v>138</v>
      </c>
      <c r="B139" s="9" t="s">
        <v>9</v>
      </c>
      <c r="C139" s="9">
        <v>1926</v>
      </c>
      <c r="D139" s="10">
        <v>45722</v>
      </c>
      <c r="E139" s="11" t="str">
        <f>+HYPERLINK("http://trademark.i-assist.jp/data/china/image_1926th/81387163.pdf","81387163")</f>
        <v>81387163</v>
      </c>
      <c r="F139" s="9" t="s">
        <v>579</v>
      </c>
      <c r="G139" s="9" t="s">
        <v>580</v>
      </c>
      <c r="H139" s="9" t="s">
        <v>581</v>
      </c>
      <c r="I139" s="10">
        <v>45580</v>
      </c>
    </row>
    <row r="140" spans="1:9" x14ac:dyDescent="0.15">
      <c r="A140" s="9">
        <v>139</v>
      </c>
      <c r="B140" s="9" t="s">
        <v>9</v>
      </c>
      <c r="C140" s="9">
        <v>1926</v>
      </c>
      <c r="D140" s="10">
        <v>45722</v>
      </c>
      <c r="E140" s="11" t="str">
        <f>+HYPERLINK("http://trademark.i-assist.jp/data/china/image_1926th/81395844.pdf","81395844")</f>
        <v>81395844</v>
      </c>
      <c r="F140" s="9" t="s">
        <v>582</v>
      </c>
      <c r="G140" s="9" t="s">
        <v>77</v>
      </c>
      <c r="H140" s="12" t="s">
        <v>583</v>
      </c>
      <c r="I140" s="10">
        <v>45580</v>
      </c>
    </row>
    <row r="141" spans="1:9" x14ac:dyDescent="0.15">
      <c r="A141" s="9">
        <v>140</v>
      </c>
      <c r="B141" s="9" t="s">
        <v>9</v>
      </c>
      <c r="C141" s="9">
        <v>1926</v>
      </c>
      <c r="D141" s="10">
        <v>45722</v>
      </c>
      <c r="E141" s="11" t="str">
        <f>+HYPERLINK("http://trademark.i-assist.jp/data/china/image_1926th/81396910.pdf","81396910")</f>
        <v>81396910</v>
      </c>
      <c r="F141" s="9" t="s">
        <v>584</v>
      </c>
      <c r="G141" s="9" t="s">
        <v>585</v>
      </c>
      <c r="H141" s="9" t="s">
        <v>586</v>
      </c>
      <c r="I141" s="10">
        <v>45580</v>
      </c>
    </row>
    <row r="142" spans="1:9" x14ac:dyDescent="0.15">
      <c r="A142" s="9">
        <v>141</v>
      </c>
      <c r="B142" s="9" t="s">
        <v>9</v>
      </c>
      <c r="C142" s="9">
        <v>1926</v>
      </c>
      <c r="D142" s="10">
        <v>45722</v>
      </c>
      <c r="E142" s="11" t="str">
        <f>+HYPERLINK("http://trademark.i-assist.jp/data/china/image_1926th/81401952.pdf","81401952")</f>
        <v>81401952</v>
      </c>
      <c r="F142" s="12" t="s">
        <v>587</v>
      </c>
      <c r="G142" s="9" t="s">
        <v>588</v>
      </c>
      <c r="H142" s="9" t="s">
        <v>589</v>
      </c>
      <c r="I142" s="10">
        <v>45580</v>
      </c>
    </row>
    <row r="143" spans="1:9" x14ac:dyDescent="0.15">
      <c r="A143" s="9">
        <v>142</v>
      </c>
      <c r="B143" s="9" t="s">
        <v>9</v>
      </c>
      <c r="C143" s="9">
        <v>1926</v>
      </c>
      <c r="D143" s="10">
        <v>45722</v>
      </c>
      <c r="E143" s="11" t="str">
        <f>+HYPERLINK("http://trademark.i-assist.jp/data/china/image_1926th/81403892.pdf","81403892")</f>
        <v>81403892</v>
      </c>
      <c r="F143" s="12" t="s">
        <v>590</v>
      </c>
      <c r="G143" s="9" t="s">
        <v>591</v>
      </c>
      <c r="H143" s="9" t="s">
        <v>592</v>
      </c>
      <c r="I143" s="10">
        <v>45580</v>
      </c>
    </row>
    <row r="144" spans="1:9" x14ac:dyDescent="0.15">
      <c r="A144" s="9">
        <v>143</v>
      </c>
      <c r="B144" s="9" t="s">
        <v>9</v>
      </c>
      <c r="C144" s="9">
        <v>1926</v>
      </c>
      <c r="D144" s="10">
        <v>45722</v>
      </c>
      <c r="E144" s="11" t="str">
        <f>+HYPERLINK("http://trademark.i-assist.jp/data/china/image_1926th/81406821.pdf","81406821")</f>
        <v>81406821</v>
      </c>
      <c r="F144" s="12" t="s">
        <v>593</v>
      </c>
      <c r="G144" s="12" t="s">
        <v>594</v>
      </c>
      <c r="H144" s="9" t="s">
        <v>595</v>
      </c>
      <c r="I144" s="10">
        <v>45581</v>
      </c>
    </row>
    <row r="145" spans="1:9" x14ac:dyDescent="0.15">
      <c r="A145" s="9">
        <v>144</v>
      </c>
      <c r="B145" s="9" t="s">
        <v>9</v>
      </c>
      <c r="C145" s="9">
        <v>1926</v>
      </c>
      <c r="D145" s="10">
        <v>45722</v>
      </c>
      <c r="E145" s="11" t="str">
        <f>+HYPERLINK("http://trademark.i-assist.jp/data/china/image_1926th/81414488.pdf","81414488")</f>
        <v>81414488</v>
      </c>
      <c r="F145" s="9" t="s">
        <v>596</v>
      </c>
      <c r="G145" s="9" t="s">
        <v>597</v>
      </c>
      <c r="H145" s="9" t="s">
        <v>598</v>
      </c>
      <c r="I145" s="10">
        <v>45581</v>
      </c>
    </row>
    <row r="146" spans="1:9" x14ac:dyDescent="0.15">
      <c r="A146" s="9">
        <v>145</v>
      </c>
      <c r="B146" s="9" t="s">
        <v>9</v>
      </c>
      <c r="C146" s="9">
        <v>1926</v>
      </c>
      <c r="D146" s="10">
        <v>45722</v>
      </c>
      <c r="E146" s="11" t="str">
        <f>+HYPERLINK("http://trademark.i-assist.jp/data/china/image_1926th/81420906.pdf","81420906")</f>
        <v>81420906</v>
      </c>
      <c r="F146" s="9" t="s">
        <v>599</v>
      </c>
      <c r="G146" s="9" t="s">
        <v>600</v>
      </c>
      <c r="H146" s="9" t="s">
        <v>601</v>
      </c>
      <c r="I146" s="10">
        <v>45581</v>
      </c>
    </row>
    <row r="147" spans="1:9" x14ac:dyDescent="0.15">
      <c r="A147" s="9">
        <v>146</v>
      </c>
      <c r="B147" s="9" t="s">
        <v>9</v>
      </c>
      <c r="C147" s="9">
        <v>1926</v>
      </c>
      <c r="D147" s="10">
        <v>45722</v>
      </c>
      <c r="E147" s="11" t="str">
        <f>+HYPERLINK("http://trademark.i-assist.jp/data/china/image_1926th/81423245.pdf","81423245")</f>
        <v>81423245</v>
      </c>
      <c r="F147" s="9" t="s">
        <v>602</v>
      </c>
      <c r="G147" s="9" t="s">
        <v>603</v>
      </c>
      <c r="H147" s="9" t="s">
        <v>604</v>
      </c>
      <c r="I147" s="10">
        <v>45581</v>
      </c>
    </row>
    <row r="148" spans="1:9" x14ac:dyDescent="0.15">
      <c r="A148" s="9">
        <v>147</v>
      </c>
      <c r="B148" s="9" t="s">
        <v>9</v>
      </c>
      <c r="C148" s="9">
        <v>1926</v>
      </c>
      <c r="D148" s="10">
        <v>45722</v>
      </c>
      <c r="E148" s="11" t="str">
        <f>+HYPERLINK("http://trademark.i-assist.jp/data/china/image_1926th/81426509.pdf","81426509")</f>
        <v>81426509</v>
      </c>
      <c r="F148" s="9" t="s">
        <v>605</v>
      </c>
      <c r="G148" s="9" t="s">
        <v>600</v>
      </c>
      <c r="H148" s="9" t="s">
        <v>606</v>
      </c>
      <c r="I148" s="10">
        <v>45581</v>
      </c>
    </row>
    <row r="149" spans="1:9" x14ac:dyDescent="0.15">
      <c r="A149" s="9">
        <v>148</v>
      </c>
      <c r="B149" s="9" t="s">
        <v>9</v>
      </c>
      <c r="C149" s="9">
        <v>1926</v>
      </c>
      <c r="D149" s="10">
        <v>45722</v>
      </c>
      <c r="E149" s="11" t="str">
        <f>+HYPERLINK("http://trademark.i-assist.jp/data/china/image_1926th/81428408.pdf","81428408")</f>
        <v>81428408</v>
      </c>
      <c r="F149" s="9" t="s">
        <v>607</v>
      </c>
      <c r="G149" s="9" t="s">
        <v>600</v>
      </c>
      <c r="H149" s="9" t="s">
        <v>608</v>
      </c>
      <c r="I149" s="10">
        <v>45581</v>
      </c>
    </row>
    <row r="150" spans="1:9" x14ac:dyDescent="0.15">
      <c r="A150" s="9">
        <v>149</v>
      </c>
      <c r="B150" s="9" t="s">
        <v>9</v>
      </c>
      <c r="C150" s="9">
        <v>1926</v>
      </c>
      <c r="D150" s="10">
        <v>45722</v>
      </c>
      <c r="E150" s="11" t="str">
        <f>+HYPERLINK("http://trademark.i-assist.jp/data/china/image_1926th/81515595.pdf","81515595")</f>
        <v>81515595</v>
      </c>
      <c r="F150" s="9" t="s">
        <v>609</v>
      </c>
      <c r="G150" s="12" t="s">
        <v>610</v>
      </c>
      <c r="H150" s="9" t="s">
        <v>611</v>
      </c>
      <c r="I150" s="10">
        <v>45587</v>
      </c>
    </row>
    <row r="151" spans="1:9" x14ac:dyDescent="0.15">
      <c r="A151" s="9">
        <v>150</v>
      </c>
      <c r="B151" s="9" t="s">
        <v>9</v>
      </c>
      <c r="C151" s="9">
        <v>1926</v>
      </c>
      <c r="D151" s="10">
        <v>45722</v>
      </c>
      <c r="E151" s="11" t="str">
        <f>+HYPERLINK("http://trademark.i-assist.jp/data/china/image_1926th/81591743.pdf","81591743")</f>
        <v>81591743</v>
      </c>
      <c r="F151" s="9" t="s">
        <v>612</v>
      </c>
      <c r="G151" s="9" t="s">
        <v>613</v>
      </c>
      <c r="H151" s="9" t="s">
        <v>614</v>
      </c>
      <c r="I151" s="10">
        <v>45590</v>
      </c>
    </row>
    <row r="152" spans="1:9" x14ac:dyDescent="0.15">
      <c r="A152" s="9">
        <v>151</v>
      </c>
      <c r="B152" s="9" t="s">
        <v>9</v>
      </c>
      <c r="C152" s="9">
        <v>1926</v>
      </c>
      <c r="D152" s="10">
        <v>45722</v>
      </c>
      <c r="E152" s="11" t="str">
        <f>+HYPERLINK("http://trademark.i-assist.jp/data/china/image_1926th/81593276.pdf","81593276")</f>
        <v>81593276</v>
      </c>
      <c r="F152" s="9" t="s">
        <v>615</v>
      </c>
      <c r="G152" s="12" t="s">
        <v>616</v>
      </c>
      <c r="H152" s="9" t="s">
        <v>617</v>
      </c>
      <c r="I152" s="10">
        <v>45590</v>
      </c>
    </row>
    <row r="153" spans="1:9" x14ac:dyDescent="0.15">
      <c r="A153" s="9">
        <v>152</v>
      </c>
      <c r="B153" s="9" t="s">
        <v>9</v>
      </c>
      <c r="C153" s="9">
        <v>1926</v>
      </c>
      <c r="D153" s="10">
        <v>45722</v>
      </c>
      <c r="E153" s="11" t="str">
        <f>+HYPERLINK("http://trademark.i-assist.jp/data/china/image_1926th/81593279.pdf","81593279")</f>
        <v>81593279</v>
      </c>
      <c r="F153" s="9" t="s">
        <v>618</v>
      </c>
      <c r="G153" s="12" t="s">
        <v>616</v>
      </c>
      <c r="H153" s="9" t="s">
        <v>619</v>
      </c>
      <c r="I153" s="10">
        <v>45590</v>
      </c>
    </row>
    <row r="154" spans="1:9" x14ac:dyDescent="0.15">
      <c r="A154" s="9">
        <v>153</v>
      </c>
      <c r="B154" s="9" t="s">
        <v>9</v>
      </c>
      <c r="C154" s="9">
        <v>1926</v>
      </c>
      <c r="D154" s="10">
        <v>45722</v>
      </c>
      <c r="E154" s="11" t="str">
        <f>+HYPERLINK("http://trademark.i-assist.jp/data/china/image_1926th/81597097.pdf","81597097")</f>
        <v>81597097</v>
      </c>
      <c r="F154" s="9" t="s">
        <v>620</v>
      </c>
      <c r="G154" s="9" t="s">
        <v>12</v>
      </c>
      <c r="H154" s="9" t="s">
        <v>621</v>
      </c>
      <c r="I154" s="10">
        <v>45590</v>
      </c>
    </row>
    <row r="155" spans="1:9" x14ac:dyDescent="0.15">
      <c r="A155" s="9">
        <v>154</v>
      </c>
      <c r="B155" s="9" t="s">
        <v>9</v>
      </c>
      <c r="C155" s="9">
        <v>1926</v>
      </c>
      <c r="D155" s="10">
        <v>45722</v>
      </c>
      <c r="E155" s="11" t="str">
        <f>+HYPERLINK("http://trademark.i-assist.jp/data/china/image_1926th/81606326.pdf","81606326")</f>
        <v>81606326</v>
      </c>
      <c r="F155" s="9" t="s">
        <v>622</v>
      </c>
      <c r="G155" s="12" t="s">
        <v>623</v>
      </c>
      <c r="H155" s="9" t="s">
        <v>624</v>
      </c>
      <c r="I155" s="10">
        <v>45591</v>
      </c>
    </row>
    <row r="156" spans="1:9" x14ac:dyDescent="0.15">
      <c r="A156" s="9">
        <v>155</v>
      </c>
      <c r="B156" s="9" t="s">
        <v>9</v>
      </c>
      <c r="C156" s="9">
        <v>1926</v>
      </c>
      <c r="D156" s="10">
        <v>45722</v>
      </c>
      <c r="E156" s="11" t="str">
        <f>+HYPERLINK("http://trademark.i-assist.jp/data/china/image_1926th/81634823.pdf","81634823")</f>
        <v>81634823</v>
      </c>
      <c r="F156" s="12" t="s">
        <v>625</v>
      </c>
      <c r="G156" s="9" t="s">
        <v>51</v>
      </c>
      <c r="H156" s="9" t="s">
        <v>626</v>
      </c>
      <c r="I156" s="10">
        <v>45593</v>
      </c>
    </row>
    <row r="157" spans="1:9" x14ac:dyDescent="0.15">
      <c r="A157" s="9">
        <v>156</v>
      </c>
      <c r="B157" s="9" t="s">
        <v>9</v>
      </c>
      <c r="C157" s="9">
        <v>1926</v>
      </c>
      <c r="D157" s="10">
        <v>45722</v>
      </c>
      <c r="E157" s="11" t="str">
        <f>+HYPERLINK("http://trademark.i-assist.jp/data/china/image_1926th/81639100.pdf","81639100")</f>
        <v>81639100</v>
      </c>
      <c r="F157" s="9" t="s">
        <v>627</v>
      </c>
      <c r="G157" s="9" t="s">
        <v>35</v>
      </c>
      <c r="H157" s="9" t="s">
        <v>628</v>
      </c>
      <c r="I157" s="10">
        <v>45594</v>
      </c>
    </row>
    <row r="158" spans="1:9" x14ac:dyDescent="0.15">
      <c r="A158" s="9">
        <v>157</v>
      </c>
      <c r="B158" s="9" t="s">
        <v>9</v>
      </c>
      <c r="C158" s="9">
        <v>1926</v>
      </c>
      <c r="D158" s="10">
        <v>45722</v>
      </c>
      <c r="E158" s="11" t="str">
        <f>+HYPERLINK("http://trademark.i-assist.jp/data/china/image_1926th/81643400.pdf","81643400")</f>
        <v>81643400</v>
      </c>
      <c r="F158" s="9" t="s">
        <v>629</v>
      </c>
      <c r="G158" s="12" t="s">
        <v>630</v>
      </c>
      <c r="H158" s="9" t="s">
        <v>631</v>
      </c>
      <c r="I158" s="10">
        <v>45594</v>
      </c>
    </row>
    <row r="159" spans="1:9" x14ac:dyDescent="0.15">
      <c r="A159" s="9">
        <v>158</v>
      </c>
      <c r="B159" s="9" t="s">
        <v>9</v>
      </c>
      <c r="C159" s="9">
        <v>1926</v>
      </c>
      <c r="D159" s="10">
        <v>45722</v>
      </c>
      <c r="E159" s="11" t="str">
        <f>+HYPERLINK("http://trademark.i-assist.jp/data/china/image_1926th/81643845.pdf","81643845")</f>
        <v>81643845</v>
      </c>
      <c r="F159" s="9" t="s">
        <v>632</v>
      </c>
      <c r="G159" s="9" t="s">
        <v>633</v>
      </c>
      <c r="H159" s="9" t="s">
        <v>634</v>
      </c>
      <c r="I159" s="10">
        <v>45594</v>
      </c>
    </row>
    <row r="160" spans="1:9" x14ac:dyDescent="0.15">
      <c r="A160" s="9">
        <v>159</v>
      </c>
      <c r="B160" s="9" t="s">
        <v>9</v>
      </c>
      <c r="C160" s="9">
        <v>1926</v>
      </c>
      <c r="D160" s="10">
        <v>45722</v>
      </c>
      <c r="E160" s="11" t="str">
        <f>+HYPERLINK("http://trademark.i-assist.jp/data/china/image_1926th/81645263.pdf","81645263")</f>
        <v>81645263</v>
      </c>
      <c r="F160" s="9" t="s">
        <v>635</v>
      </c>
      <c r="G160" s="9" t="s">
        <v>636</v>
      </c>
      <c r="H160" s="12" t="s">
        <v>637</v>
      </c>
      <c r="I160" s="10">
        <v>45594</v>
      </c>
    </row>
    <row r="161" spans="1:9" x14ac:dyDescent="0.15">
      <c r="A161" s="9">
        <v>160</v>
      </c>
      <c r="B161" s="9" t="s">
        <v>9</v>
      </c>
      <c r="C161" s="9">
        <v>1926</v>
      </c>
      <c r="D161" s="10">
        <v>45722</v>
      </c>
      <c r="E161" s="11" t="str">
        <f>+HYPERLINK("http://trademark.i-assist.jp/data/china/image_1926th/81649618.pdf","81649618")</f>
        <v>81649618</v>
      </c>
      <c r="F161" s="9" t="s">
        <v>638</v>
      </c>
      <c r="G161" s="9" t="s">
        <v>639</v>
      </c>
      <c r="H161" s="9" t="s">
        <v>640</v>
      </c>
      <c r="I161" s="10">
        <v>45594</v>
      </c>
    </row>
    <row r="162" spans="1:9" x14ac:dyDescent="0.15">
      <c r="A162" s="9">
        <v>161</v>
      </c>
      <c r="B162" s="9" t="s">
        <v>9</v>
      </c>
      <c r="C162" s="9">
        <v>1926</v>
      </c>
      <c r="D162" s="10">
        <v>45722</v>
      </c>
      <c r="E162" s="11" t="str">
        <f>+HYPERLINK("http://trademark.i-assist.jp/data/china/image_1926th/81651129.pdf","81651129")</f>
        <v>81651129</v>
      </c>
      <c r="F162" s="9" t="s">
        <v>635</v>
      </c>
      <c r="G162" s="9" t="s">
        <v>636</v>
      </c>
      <c r="H162" s="9" t="s">
        <v>641</v>
      </c>
      <c r="I162" s="10">
        <v>45594</v>
      </c>
    </row>
    <row r="163" spans="1:9" x14ac:dyDescent="0.15">
      <c r="A163" s="9">
        <v>162</v>
      </c>
      <c r="B163" s="9" t="s">
        <v>9</v>
      </c>
      <c r="C163" s="9">
        <v>1926</v>
      </c>
      <c r="D163" s="10">
        <v>45722</v>
      </c>
      <c r="E163" s="11" t="str">
        <f>+HYPERLINK("http://trademark.i-assist.jp/data/china/image_1926th/81653410A.pdf","81653410A")</f>
        <v>81653410A</v>
      </c>
      <c r="F163" s="9" t="s">
        <v>642</v>
      </c>
      <c r="G163" s="9" t="s">
        <v>643</v>
      </c>
      <c r="H163" s="9" t="s">
        <v>644</v>
      </c>
      <c r="I163" s="10">
        <v>45594</v>
      </c>
    </row>
    <row r="164" spans="1:9" x14ac:dyDescent="0.15">
      <c r="A164" s="9">
        <v>163</v>
      </c>
      <c r="B164" s="9" t="s">
        <v>9</v>
      </c>
      <c r="C164" s="9">
        <v>1926</v>
      </c>
      <c r="D164" s="10">
        <v>45722</v>
      </c>
      <c r="E164" s="11" t="str">
        <f>+HYPERLINK("http://trademark.i-assist.jp/data/china/image_1926th/81662297.pdf","81662297")</f>
        <v>81662297</v>
      </c>
      <c r="F164" s="9" t="s">
        <v>645</v>
      </c>
      <c r="G164" s="9" t="s">
        <v>646</v>
      </c>
      <c r="H164" s="12" t="s">
        <v>647</v>
      </c>
      <c r="I164" s="10">
        <v>45594</v>
      </c>
    </row>
    <row r="165" spans="1:9" x14ac:dyDescent="0.15">
      <c r="A165" s="9">
        <v>164</v>
      </c>
      <c r="B165" s="9" t="s">
        <v>9</v>
      </c>
      <c r="C165" s="9">
        <v>1926</v>
      </c>
      <c r="D165" s="10">
        <v>45722</v>
      </c>
      <c r="E165" s="11" t="str">
        <f>+HYPERLINK("http://trademark.i-assist.jp/data/china/image_1926th/81665330.pdf","81665330")</f>
        <v>81665330</v>
      </c>
      <c r="F165" s="12" t="s">
        <v>648</v>
      </c>
      <c r="G165" s="9" t="s">
        <v>649</v>
      </c>
      <c r="H165" s="9" t="s">
        <v>650</v>
      </c>
      <c r="I165" s="10">
        <v>45595</v>
      </c>
    </row>
    <row r="166" spans="1:9" x14ac:dyDescent="0.15">
      <c r="A166" s="9">
        <v>165</v>
      </c>
      <c r="B166" s="9" t="s">
        <v>9</v>
      </c>
      <c r="C166" s="9">
        <v>1926</v>
      </c>
      <c r="D166" s="10">
        <v>45722</v>
      </c>
      <c r="E166" s="11" t="str">
        <f>+HYPERLINK("http://trademark.i-assist.jp/data/china/image_1926th/81675345.pdf","81675345")</f>
        <v>81675345</v>
      </c>
      <c r="F166" s="9" t="s">
        <v>651</v>
      </c>
      <c r="G166" s="12" t="s">
        <v>652</v>
      </c>
      <c r="H166" s="12" t="s">
        <v>653</v>
      </c>
      <c r="I166" s="10">
        <v>45595</v>
      </c>
    </row>
    <row r="167" spans="1:9" x14ac:dyDescent="0.15">
      <c r="A167" s="9">
        <v>166</v>
      </c>
      <c r="B167" s="9" t="s">
        <v>9</v>
      </c>
      <c r="C167" s="9">
        <v>1926</v>
      </c>
      <c r="D167" s="10">
        <v>45722</v>
      </c>
      <c r="E167" s="11" t="str">
        <f>+HYPERLINK("http://trademark.i-assist.jp/data/china/image_1926th/81685959.pdf","81685959")</f>
        <v>81685959</v>
      </c>
      <c r="F167" s="12" t="s">
        <v>654</v>
      </c>
      <c r="G167" s="9" t="s">
        <v>655</v>
      </c>
      <c r="H167" s="9" t="s">
        <v>656</v>
      </c>
      <c r="I167" s="10">
        <v>45595</v>
      </c>
    </row>
    <row r="168" spans="1:9" x14ac:dyDescent="0.15">
      <c r="A168" s="9">
        <v>167</v>
      </c>
      <c r="B168" s="9" t="s">
        <v>9</v>
      </c>
      <c r="C168" s="9">
        <v>1926</v>
      </c>
      <c r="D168" s="10">
        <v>45722</v>
      </c>
      <c r="E168" s="11" t="str">
        <f>+HYPERLINK("http://trademark.i-assist.jp/data/china/image_1926th/81690844.pdf","81690844")</f>
        <v>81690844</v>
      </c>
      <c r="F168" s="9" t="s">
        <v>657</v>
      </c>
      <c r="G168" s="9" t="s">
        <v>658</v>
      </c>
      <c r="H168" s="9" t="s">
        <v>659</v>
      </c>
      <c r="I168" s="10">
        <v>45596</v>
      </c>
    </row>
    <row r="169" spans="1:9" x14ac:dyDescent="0.15">
      <c r="A169" s="9">
        <v>168</v>
      </c>
      <c r="B169" s="9" t="s">
        <v>9</v>
      </c>
      <c r="C169" s="9">
        <v>1926</v>
      </c>
      <c r="D169" s="10">
        <v>45722</v>
      </c>
      <c r="E169" s="11" t="str">
        <f>+HYPERLINK("http://trademark.i-assist.jp/data/china/image_1926th/81702876.pdf","81702876")</f>
        <v>81702876</v>
      </c>
      <c r="F169" s="9" t="s">
        <v>660</v>
      </c>
      <c r="G169" s="12" t="s">
        <v>661</v>
      </c>
      <c r="H169" s="9" t="s">
        <v>662</v>
      </c>
      <c r="I169" s="10">
        <v>45596</v>
      </c>
    </row>
    <row r="170" spans="1:9" x14ac:dyDescent="0.15">
      <c r="A170" s="9">
        <v>169</v>
      </c>
      <c r="B170" s="9" t="s">
        <v>9</v>
      </c>
      <c r="C170" s="9">
        <v>1926</v>
      </c>
      <c r="D170" s="10">
        <v>45722</v>
      </c>
      <c r="E170" s="11" t="str">
        <f>+HYPERLINK("http://trademark.i-assist.jp/data/china/image_1926th/81702892.pdf","81702892")</f>
        <v>81702892</v>
      </c>
      <c r="F170" s="9" t="s">
        <v>663</v>
      </c>
      <c r="G170" s="12" t="s">
        <v>661</v>
      </c>
      <c r="H170" s="9" t="s">
        <v>664</v>
      </c>
      <c r="I170" s="10">
        <v>45596</v>
      </c>
    </row>
    <row r="171" spans="1:9" x14ac:dyDescent="0.15">
      <c r="A171" s="9">
        <v>170</v>
      </c>
      <c r="B171" s="9" t="s">
        <v>9</v>
      </c>
      <c r="C171" s="9">
        <v>1926</v>
      </c>
      <c r="D171" s="10">
        <v>45722</v>
      </c>
      <c r="E171" s="11" t="str">
        <f>+HYPERLINK("http://trademark.i-assist.jp/data/china/image_1926th/81704271.pdf","81704271")</f>
        <v>81704271</v>
      </c>
      <c r="F171" s="9" t="s">
        <v>665</v>
      </c>
      <c r="G171" s="9" t="s">
        <v>666</v>
      </c>
      <c r="H171" s="9" t="s">
        <v>667</v>
      </c>
      <c r="I171" s="10">
        <v>45596</v>
      </c>
    </row>
    <row r="172" spans="1:9" x14ac:dyDescent="0.15">
      <c r="A172" s="9">
        <v>171</v>
      </c>
      <c r="B172" s="9" t="s">
        <v>9</v>
      </c>
      <c r="C172" s="9">
        <v>1926</v>
      </c>
      <c r="D172" s="10">
        <v>45722</v>
      </c>
      <c r="E172" s="11" t="str">
        <f>+HYPERLINK("http://trademark.i-assist.jp/data/china/image_1926th/81707627.pdf","81707627")</f>
        <v>81707627</v>
      </c>
      <c r="F172" s="9" t="s">
        <v>668</v>
      </c>
      <c r="G172" s="9" t="s">
        <v>37</v>
      </c>
      <c r="H172" s="9" t="s">
        <v>669</v>
      </c>
      <c r="I172" s="10">
        <v>45596</v>
      </c>
    </row>
    <row r="173" spans="1:9" x14ac:dyDescent="0.15">
      <c r="A173" s="9">
        <v>172</v>
      </c>
      <c r="B173" s="9" t="s">
        <v>9</v>
      </c>
      <c r="C173" s="9">
        <v>1926</v>
      </c>
      <c r="D173" s="10">
        <v>45722</v>
      </c>
      <c r="E173" s="11" t="str">
        <f>+HYPERLINK("http://trademark.i-assist.jp/data/china/image_1926th/81718122.pdf","81718122")</f>
        <v>81718122</v>
      </c>
      <c r="F173" s="12" t="s">
        <v>20</v>
      </c>
      <c r="G173" s="9" t="s">
        <v>670</v>
      </c>
      <c r="H173" s="12" t="s">
        <v>671</v>
      </c>
      <c r="I173" s="10">
        <v>45597</v>
      </c>
    </row>
    <row r="174" spans="1:9" x14ac:dyDescent="0.15">
      <c r="A174" s="9">
        <v>173</v>
      </c>
      <c r="B174" s="9" t="s">
        <v>9</v>
      </c>
      <c r="C174" s="9">
        <v>1926</v>
      </c>
      <c r="D174" s="10">
        <v>45722</v>
      </c>
      <c r="E174" s="11" t="str">
        <f>+HYPERLINK("http://trademark.i-assist.jp/data/china/image_1926th/81720705.pdf","81720705")</f>
        <v>81720705</v>
      </c>
      <c r="F174" s="12" t="s">
        <v>672</v>
      </c>
      <c r="G174" s="9" t="s">
        <v>673</v>
      </c>
      <c r="H174" s="9" t="s">
        <v>674</v>
      </c>
      <c r="I174" s="10">
        <v>45597</v>
      </c>
    </row>
    <row r="175" spans="1:9" x14ac:dyDescent="0.15">
      <c r="A175" s="9">
        <v>174</v>
      </c>
      <c r="B175" s="9" t="s">
        <v>9</v>
      </c>
      <c r="C175" s="9">
        <v>1926</v>
      </c>
      <c r="D175" s="10">
        <v>45722</v>
      </c>
      <c r="E175" s="11" t="str">
        <f>+HYPERLINK("http://trademark.i-assist.jp/data/china/image_1926th/81723496.pdf","81723496")</f>
        <v>81723496</v>
      </c>
      <c r="F175" s="9" t="s">
        <v>675</v>
      </c>
      <c r="G175" s="9" t="s">
        <v>39</v>
      </c>
      <c r="H175" s="9" t="s">
        <v>676</v>
      </c>
      <c r="I175" s="10">
        <v>45597</v>
      </c>
    </row>
    <row r="176" spans="1:9" x14ac:dyDescent="0.15">
      <c r="A176" s="9">
        <v>175</v>
      </c>
      <c r="B176" s="9" t="s">
        <v>9</v>
      </c>
      <c r="C176" s="9">
        <v>1926</v>
      </c>
      <c r="D176" s="10">
        <v>45722</v>
      </c>
      <c r="E176" s="11" t="str">
        <f>+HYPERLINK("http://trademark.i-assist.jp/data/china/image_1926th/81723581.pdf","81723581")</f>
        <v>81723581</v>
      </c>
      <c r="F176" s="9" t="s">
        <v>677</v>
      </c>
      <c r="G176" s="9" t="s">
        <v>39</v>
      </c>
      <c r="H176" s="9" t="s">
        <v>678</v>
      </c>
      <c r="I176" s="10">
        <v>45597</v>
      </c>
    </row>
    <row r="177" spans="1:9" x14ac:dyDescent="0.15">
      <c r="A177" s="9">
        <v>176</v>
      </c>
      <c r="B177" s="9" t="s">
        <v>9</v>
      </c>
      <c r="C177" s="9">
        <v>1926</v>
      </c>
      <c r="D177" s="10">
        <v>45722</v>
      </c>
      <c r="E177" s="11" t="str">
        <f>+HYPERLINK("http://trademark.i-assist.jp/data/china/image_1926th/81725213.pdf","81725213")</f>
        <v>81725213</v>
      </c>
      <c r="F177" s="9" t="s">
        <v>679</v>
      </c>
      <c r="G177" s="9" t="s">
        <v>39</v>
      </c>
      <c r="H177" s="9" t="s">
        <v>680</v>
      </c>
      <c r="I177" s="10">
        <v>45597</v>
      </c>
    </row>
    <row r="178" spans="1:9" x14ac:dyDescent="0.15">
      <c r="A178" s="9">
        <v>177</v>
      </c>
      <c r="B178" s="9" t="s">
        <v>9</v>
      </c>
      <c r="C178" s="9">
        <v>1926</v>
      </c>
      <c r="D178" s="10">
        <v>45722</v>
      </c>
      <c r="E178" s="11" t="str">
        <f>+HYPERLINK("http://trademark.i-assist.jp/data/china/image_1926th/81725232.pdf","81725232")</f>
        <v>81725232</v>
      </c>
      <c r="F178" s="9" t="s">
        <v>681</v>
      </c>
      <c r="G178" s="9" t="s">
        <v>39</v>
      </c>
      <c r="H178" s="9" t="s">
        <v>682</v>
      </c>
      <c r="I178" s="10">
        <v>45597</v>
      </c>
    </row>
    <row r="179" spans="1:9" x14ac:dyDescent="0.15">
      <c r="A179" s="9">
        <v>178</v>
      </c>
      <c r="B179" s="9" t="s">
        <v>9</v>
      </c>
      <c r="C179" s="9">
        <v>1926</v>
      </c>
      <c r="D179" s="10">
        <v>45722</v>
      </c>
      <c r="E179" s="11" t="str">
        <f>+HYPERLINK("http://trademark.i-assist.jp/data/china/image_1926th/81725241.pdf","81725241")</f>
        <v>81725241</v>
      </c>
      <c r="F179" s="9" t="s">
        <v>683</v>
      </c>
      <c r="G179" s="9" t="s">
        <v>39</v>
      </c>
      <c r="H179" s="9" t="s">
        <v>684</v>
      </c>
      <c r="I179" s="10">
        <v>45597</v>
      </c>
    </row>
    <row r="180" spans="1:9" x14ac:dyDescent="0.15">
      <c r="A180" s="9">
        <v>179</v>
      </c>
      <c r="B180" s="9" t="s">
        <v>9</v>
      </c>
      <c r="C180" s="9">
        <v>1926</v>
      </c>
      <c r="D180" s="10">
        <v>45722</v>
      </c>
      <c r="E180" s="11" t="str">
        <f>+HYPERLINK("http://trademark.i-assist.jp/data/china/image_1926th/81725508.pdf","81725508")</f>
        <v>81725508</v>
      </c>
      <c r="F180" s="9" t="s">
        <v>685</v>
      </c>
      <c r="G180" s="9" t="s">
        <v>39</v>
      </c>
      <c r="H180" s="9" t="s">
        <v>686</v>
      </c>
      <c r="I180" s="10">
        <v>45597</v>
      </c>
    </row>
    <row r="181" spans="1:9" x14ac:dyDescent="0.15">
      <c r="A181" s="9">
        <v>180</v>
      </c>
      <c r="B181" s="9" t="s">
        <v>9</v>
      </c>
      <c r="C181" s="9">
        <v>1926</v>
      </c>
      <c r="D181" s="10">
        <v>45722</v>
      </c>
      <c r="E181" s="11" t="str">
        <f>+HYPERLINK("http://trademark.i-assist.jp/data/china/image_1926th/81726076.pdf","81726076")</f>
        <v>81726076</v>
      </c>
      <c r="F181" s="9" t="s">
        <v>687</v>
      </c>
      <c r="G181" s="9" t="s">
        <v>688</v>
      </c>
      <c r="H181" s="9" t="s">
        <v>689</v>
      </c>
      <c r="I181" s="10">
        <v>45597</v>
      </c>
    </row>
    <row r="182" spans="1:9" x14ac:dyDescent="0.15">
      <c r="A182" s="9">
        <v>181</v>
      </c>
      <c r="B182" s="9" t="s">
        <v>9</v>
      </c>
      <c r="C182" s="9">
        <v>1926</v>
      </c>
      <c r="D182" s="10">
        <v>45722</v>
      </c>
      <c r="E182" s="11" t="str">
        <f>+HYPERLINK("http://trademark.i-assist.jp/data/china/image_1926th/81727708.pdf","81727708")</f>
        <v>81727708</v>
      </c>
      <c r="F182" s="12" t="s">
        <v>690</v>
      </c>
      <c r="G182" s="9" t="s">
        <v>691</v>
      </c>
      <c r="H182" s="9" t="s">
        <v>692</v>
      </c>
      <c r="I182" s="10">
        <v>45597</v>
      </c>
    </row>
    <row r="183" spans="1:9" x14ac:dyDescent="0.15">
      <c r="A183" s="9">
        <v>182</v>
      </c>
      <c r="B183" s="9" t="s">
        <v>9</v>
      </c>
      <c r="C183" s="9">
        <v>1926</v>
      </c>
      <c r="D183" s="10">
        <v>45722</v>
      </c>
      <c r="E183" s="11" t="str">
        <f>+HYPERLINK("http://trademark.i-assist.jp/data/china/image_1926th/81728560.pdf","81728560")</f>
        <v>81728560</v>
      </c>
      <c r="F183" s="9" t="s">
        <v>693</v>
      </c>
      <c r="G183" s="9" t="s">
        <v>694</v>
      </c>
      <c r="H183" s="9" t="s">
        <v>695</v>
      </c>
      <c r="I183" s="10">
        <v>45597</v>
      </c>
    </row>
    <row r="184" spans="1:9" x14ac:dyDescent="0.15">
      <c r="A184" s="9">
        <v>183</v>
      </c>
      <c r="B184" s="9" t="s">
        <v>9</v>
      </c>
      <c r="C184" s="9">
        <v>1926</v>
      </c>
      <c r="D184" s="10">
        <v>45722</v>
      </c>
      <c r="E184" s="11" t="str">
        <f>+HYPERLINK("http://trademark.i-assist.jp/data/china/image_1926th/81728963.pdf","81728963")</f>
        <v>81728963</v>
      </c>
      <c r="F184" s="9" t="s">
        <v>696</v>
      </c>
      <c r="G184" s="12" t="s">
        <v>697</v>
      </c>
      <c r="H184" s="9" t="s">
        <v>698</v>
      </c>
      <c r="I184" s="10">
        <v>45597</v>
      </c>
    </row>
    <row r="185" spans="1:9" x14ac:dyDescent="0.15">
      <c r="A185" s="9">
        <v>184</v>
      </c>
      <c r="B185" s="9" t="s">
        <v>9</v>
      </c>
      <c r="C185" s="9">
        <v>1926</v>
      </c>
      <c r="D185" s="10">
        <v>45722</v>
      </c>
      <c r="E185" s="11" t="str">
        <f>+HYPERLINK("http://trademark.i-assist.jp/data/china/image_1926th/81729204.pdf","81729204")</f>
        <v>81729204</v>
      </c>
      <c r="F185" s="12" t="s">
        <v>699</v>
      </c>
      <c r="G185" s="9" t="s">
        <v>673</v>
      </c>
      <c r="H185" s="9" t="s">
        <v>700</v>
      </c>
      <c r="I185" s="10">
        <v>45597</v>
      </c>
    </row>
    <row r="186" spans="1:9" x14ac:dyDescent="0.15">
      <c r="A186" s="9">
        <v>185</v>
      </c>
      <c r="B186" s="9" t="s">
        <v>9</v>
      </c>
      <c r="C186" s="9">
        <v>1926</v>
      </c>
      <c r="D186" s="10">
        <v>45722</v>
      </c>
      <c r="E186" s="11" t="str">
        <f>+HYPERLINK("http://trademark.i-assist.jp/data/china/image_1926th/81729758.pdf","81729758")</f>
        <v>81729758</v>
      </c>
      <c r="F186" s="9" t="s">
        <v>701</v>
      </c>
      <c r="G186" s="9" t="s">
        <v>702</v>
      </c>
      <c r="H186" s="9" t="s">
        <v>703</v>
      </c>
      <c r="I186" s="10">
        <v>45597</v>
      </c>
    </row>
    <row r="187" spans="1:9" x14ac:dyDescent="0.15">
      <c r="A187" s="9">
        <v>186</v>
      </c>
      <c r="B187" s="9" t="s">
        <v>9</v>
      </c>
      <c r="C187" s="9">
        <v>1926</v>
      </c>
      <c r="D187" s="10">
        <v>45722</v>
      </c>
      <c r="E187" s="11" t="str">
        <f>+HYPERLINK("http://trademark.i-assist.jp/data/china/image_1926th/81735625.pdf","81735625")</f>
        <v>81735625</v>
      </c>
      <c r="F187" s="9" t="s">
        <v>704</v>
      </c>
      <c r="G187" s="9" t="s">
        <v>673</v>
      </c>
      <c r="H187" s="9" t="s">
        <v>705</v>
      </c>
      <c r="I187" s="10">
        <v>45597</v>
      </c>
    </row>
    <row r="188" spans="1:9" x14ac:dyDescent="0.15">
      <c r="A188" s="9">
        <v>187</v>
      </c>
      <c r="B188" s="9" t="s">
        <v>9</v>
      </c>
      <c r="C188" s="9">
        <v>1926</v>
      </c>
      <c r="D188" s="10">
        <v>45722</v>
      </c>
      <c r="E188" s="11" t="str">
        <f>+HYPERLINK("http://trademark.i-assist.jp/data/china/image_1926th/81744403.pdf","81744403")</f>
        <v>81744403</v>
      </c>
      <c r="F188" s="12" t="s">
        <v>706</v>
      </c>
      <c r="G188" s="9" t="s">
        <v>707</v>
      </c>
      <c r="H188" s="9" t="s">
        <v>708</v>
      </c>
      <c r="I188" s="10">
        <v>45600</v>
      </c>
    </row>
    <row r="189" spans="1:9" x14ac:dyDescent="0.15">
      <c r="A189" s="9">
        <v>188</v>
      </c>
      <c r="B189" s="9" t="s">
        <v>9</v>
      </c>
      <c r="C189" s="9">
        <v>1926</v>
      </c>
      <c r="D189" s="10">
        <v>45722</v>
      </c>
      <c r="E189" s="11" t="str">
        <f>+HYPERLINK("http://trademark.i-assist.jp/data/china/image_1926th/81747297.pdf","81747297")</f>
        <v>81747297</v>
      </c>
      <c r="F189" s="12" t="s">
        <v>709</v>
      </c>
      <c r="G189" s="9" t="s">
        <v>710</v>
      </c>
      <c r="H189" s="12" t="s">
        <v>711</v>
      </c>
      <c r="I189" s="10">
        <v>45600</v>
      </c>
    </row>
    <row r="190" spans="1:9" x14ac:dyDescent="0.15">
      <c r="A190" s="9">
        <v>189</v>
      </c>
      <c r="B190" s="9" t="s">
        <v>9</v>
      </c>
      <c r="C190" s="9">
        <v>1926</v>
      </c>
      <c r="D190" s="10">
        <v>45722</v>
      </c>
      <c r="E190" s="11" t="str">
        <f>+HYPERLINK("http://trademark.i-assist.jp/data/china/image_1926th/81747727.pdf","81747727")</f>
        <v>81747727</v>
      </c>
      <c r="F190" s="12" t="s">
        <v>712</v>
      </c>
      <c r="G190" s="9" t="s">
        <v>713</v>
      </c>
      <c r="H190" s="12" t="s">
        <v>714</v>
      </c>
      <c r="I190" s="10">
        <v>45600</v>
      </c>
    </row>
    <row r="191" spans="1:9" x14ac:dyDescent="0.15">
      <c r="A191" s="9">
        <v>190</v>
      </c>
      <c r="B191" s="9" t="s">
        <v>9</v>
      </c>
      <c r="C191" s="9">
        <v>1926</v>
      </c>
      <c r="D191" s="10">
        <v>45722</v>
      </c>
      <c r="E191" s="11" t="str">
        <f>+HYPERLINK("http://trademark.i-assist.jp/data/china/image_1926th/81750025.pdf","81750025")</f>
        <v>81750025</v>
      </c>
      <c r="F191" s="9" t="s">
        <v>715</v>
      </c>
      <c r="G191" s="12" t="s">
        <v>716</v>
      </c>
      <c r="H191" s="9" t="s">
        <v>717</v>
      </c>
      <c r="I191" s="10">
        <v>45600</v>
      </c>
    </row>
    <row r="192" spans="1:9" x14ac:dyDescent="0.15">
      <c r="A192" s="9">
        <v>191</v>
      </c>
      <c r="B192" s="9" t="s">
        <v>9</v>
      </c>
      <c r="C192" s="9">
        <v>1926</v>
      </c>
      <c r="D192" s="10">
        <v>45722</v>
      </c>
      <c r="E192" s="11" t="str">
        <f>+HYPERLINK("http://trademark.i-assist.jp/data/china/image_1926th/81753056.pdf","81753056")</f>
        <v>81753056</v>
      </c>
      <c r="F192" s="9" t="s">
        <v>718</v>
      </c>
      <c r="G192" s="9" t="s">
        <v>719</v>
      </c>
      <c r="H192" s="9" t="s">
        <v>720</v>
      </c>
      <c r="I192" s="10">
        <v>45600</v>
      </c>
    </row>
    <row r="193" spans="1:9" x14ac:dyDescent="0.15">
      <c r="A193" s="9">
        <v>192</v>
      </c>
      <c r="B193" s="9" t="s">
        <v>9</v>
      </c>
      <c r="C193" s="9">
        <v>1926</v>
      </c>
      <c r="D193" s="10">
        <v>45722</v>
      </c>
      <c r="E193" s="11" t="str">
        <f>+HYPERLINK("http://trademark.i-assist.jp/data/china/image_1926th/81755507.pdf","81755507")</f>
        <v>81755507</v>
      </c>
      <c r="F193" s="9" t="s">
        <v>721</v>
      </c>
      <c r="G193" s="12" t="s">
        <v>722</v>
      </c>
      <c r="H193" s="9" t="s">
        <v>723</v>
      </c>
      <c r="I193" s="10">
        <v>45601</v>
      </c>
    </row>
    <row r="194" spans="1:9" x14ac:dyDescent="0.15">
      <c r="A194" s="9">
        <v>193</v>
      </c>
      <c r="B194" s="9" t="s">
        <v>9</v>
      </c>
      <c r="C194" s="9">
        <v>1926</v>
      </c>
      <c r="D194" s="10">
        <v>45722</v>
      </c>
      <c r="E194" s="11" t="str">
        <f>+HYPERLINK("http://trademark.i-assist.jp/data/china/image_1926th/81756660.pdf","81756660")</f>
        <v>81756660</v>
      </c>
      <c r="F194" s="9" t="s">
        <v>724</v>
      </c>
      <c r="G194" s="12" t="s">
        <v>716</v>
      </c>
      <c r="H194" s="9" t="s">
        <v>725</v>
      </c>
      <c r="I194" s="10">
        <v>45600</v>
      </c>
    </row>
    <row r="195" spans="1:9" x14ac:dyDescent="0.15">
      <c r="A195" s="9">
        <v>194</v>
      </c>
      <c r="B195" s="9" t="s">
        <v>9</v>
      </c>
      <c r="C195" s="9">
        <v>1926</v>
      </c>
      <c r="D195" s="10">
        <v>45722</v>
      </c>
      <c r="E195" s="11" t="str">
        <f>+HYPERLINK("http://trademark.i-assist.jp/data/china/image_1926th/81757854.pdf","81757854")</f>
        <v>81757854</v>
      </c>
      <c r="F195" s="9" t="s">
        <v>726</v>
      </c>
      <c r="G195" s="9" t="s">
        <v>44</v>
      </c>
      <c r="H195" s="9" t="s">
        <v>727</v>
      </c>
      <c r="I195" s="10">
        <v>45600</v>
      </c>
    </row>
    <row r="196" spans="1:9" x14ac:dyDescent="0.15">
      <c r="A196" s="9">
        <v>195</v>
      </c>
      <c r="B196" s="9" t="s">
        <v>9</v>
      </c>
      <c r="C196" s="9">
        <v>1926</v>
      </c>
      <c r="D196" s="10">
        <v>45722</v>
      </c>
      <c r="E196" s="11" t="str">
        <f>+HYPERLINK("http://trademark.i-assist.jp/data/china/image_1926th/81759138.pdf","81759138")</f>
        <v>81759138</v>
      </c>
      <c r="F196" s="9" t="s">
        <v>728</v>
      </c>
      <c r="G196" s="9" t="s">
        <v>729</v>
      </c>
      <c r="H196" s="9" t="s">
        <v>730</v>
      </c>
      <c r="I196" s="10">
        <v>45601</v>
      </c>
    </row>
    <row r="197" spans="1:9" x14ac:dyDescent="0.15">
      <c r="A197" s="9">
        <v>196</v>
      </c>
      <c r="B197" s="9" t="s">
        <v>9</v>
      </c>
      <c r="C197" s="9">
        <v>1926</v>
      </c>
      <c r="D197" s="10">
        <v>45722</v>
      </c>
      <c r="E197" s="11" t="str">
        <f>+HYPERLINK("http://trademark.i-assist.jp/data/china/image_1926th/81762192.pdf","81762192")</f>
        <v>81762192</v>
      </c>
      <c r="F197" s="9" t="s">
        <v>731</v>
      </c>
      <c r="G197" s="9" t="s">
        <v>732</v>
      </c>
      <c r="H197" s="9" t="s">
        <v>733</v>
      </c>
      <c r="I197" s="10">
        <v>45601</v>
      </c>
    </row>
    <row r="198" spans="1:9" x14ac:dyDescent="0.15">
      <c r="A198" s="9">
        <v>197</v>
      </c>
      <c r="B198" s="9" t="s">
        <v>9</v>
      </c>
      <c r="C198" s="9">
        <v>1926</v>
      </c>
      <c r="D198" s="10">
        <v>45722</v>
      </c>
      <c r="E198" s="11" t="str">
        <f>+HYPERLINK("http://trademark.i-assist.jp/data/china/image_1926th/81766021.pdf","81766021")</f>
        <v>81766021</v>
      </c>
      <c r="F198" s="9" t="s">
        <v>734</v>
      </c>
      <c r="G198" s="9" t="s">
        <v>735</v>
      </c>
      <c r="H198" s="9" t="s">
        <v>736</v>
      </c>
      <c r="I198" s="10">
        <v>45601</v>
      </c>
    </row>
    <row r="199" spans="1:9" x14ac:dyDescent="0.15">
      <c r="A199" s="9">
        <v>198</v>
      </c>
      <c r="B199" s="9" t="s">
        <v>9</v>
      </c>
      <c r="C199" s="9">
        <v>1926</v>
      </c>
      <c r="D199" s="10">
        <v>45722</v>
      </c>
      <c r="E199" s="11" t="str">
        <f>+HYPERLINK("http://trademark.i-assist.jp/data/china/image_1926th/81766288.pdf","81766288")</f>
        <v>81766288</v>
      </c>
      <c r="F199" s="12" t="s">
        <v>737</v>
      </c>
      <c r="G199" s="9" t="s">
        <v>738</v>
      </c>
      <c r="H199" s="9" t="s">
        <v>739</v>
      </c>
      <c r="I199" s="10">
        <v>45601</v>
      </c>
    </row>
    <row r="200" spans="1:9" x14ac:dyDescent="0.15">
      <c r="A200" s="9">
        <v>199</v>
      </c>
      <c r="B200" s="9" t="s">
        <v>9</v>
      </c>
      <c r="C200" s="9">
        <v>1926</v>
      </c>
      <c r="D200" s="10">
        <v>45722</v>
      </c>
      <c r="E200" s="11" t="str">
        <f>+HYPERLINK("http://trademark.i-assist.jp/data/china/image_1926th/81767358.pdf","81767358")</f>
        <v>81767358</v>
      </c>
      <c r="F200" s="12" t="s">
        <v>740</v>
      </c>
      <c r="G200" s="9" t="s">
        <v>741</v>
      </c>
      <c r="H200" s="9" t="s">
        <v>742</v>
      </c>
      <c r="I200" s="10">
        <v>45601</v>
      </c>
    </row>
    <row r="201" spans="1:9" x14ac:dyDescent="0.15">
      <c r="A201" s="9">
        <v>200</v>
      </c>
      <c r="B201" s="9" t="s">
        <v>9</v>
      </c>
      <c r="C201" s="9">
        <v>1926</v>
      </c>
      <c r="D201" s="10">
        <v>45722</v>
      </c>
      <c r="E201" s="11" t="str">
        <f>+HYPERLINK("http://trademark.i-assist.jp/data/china/image_1926th/81771075.pdf","81771075")</f>
        <v>81771075</v>
      </c>
      <c r="F201" s="9" t="s">
        <v>743</v>
      </c>
      <c r="G201" s="12" t="s">
        <v>744</v>
      </c>
      <c r="H201" s="12" t="s">
        <v>745</v>
      </c>
      <c r="I201" s="10">
        <v>45601</v>
      </c>
    </row>
    <row r="202" spans="1:9" x14ac:dyDescent="0.15">
      <c r="A202" s="9">
        <v>201</v>
      </c>
      <c r="B202" s="9" t="s">
        <v>9</v>
      </c>
      <c r="C202" s="9">
        <v>1926</v>
      </c>
      <c r="D202" s="10">
        <v>45722</v>
      </c>
      <c r="E202" s="11" t="str">
        <f>+HYPERLINK("http://trademark.i-assist.jp/data/china/image_1926th/81775843.pdf","81775843")</f>
        <v>81775843</v>
      </c>
      <c r="F202" s="9" t="s">
        <v>728</v>
      </c>
      <c r="G202" s="9" t="s">
        <v>729</v>
      </c>
      <c r="H202" s="9" t="s">
        <v>746</v>
      </c>
      <c r="I202" s="10">
        <v>45601</v>
      </c>
    </row>
    <row r="203" spans="1:9" x14ac:dyDescent="0.15">
      <c r="A203" s="9">
        <v>202</v>
      </c>
      <c r="B203" s="9" t="s">
        <v>9</v>
      </c>
      <c r="C203" s="9">
        <v>1926</v>
      </c>
      <c r="D203" s="10">
        <v>45722</v>
      </c>
      <c r="E203" s="11" t="str">
        <f>+HYPERLINK("http://trademark.i-assist.jp/data/china/image_1926th/81777113.pdf","81777113")</f>
        <v>81777113</v>
      </c>
      <c r="F203" s="12" t="s">
        <v>747</v>
      </c>
      <c r="G203" s="9" t="s">
        <v>748</v>
      </c>
      <c r="H203" s="9" t="s">
        <v>749</v>
      </c>
      <c r="I203" s="10">
        <v>45601</v>
      </c>
    </row>
    <row r="204" spans="1:9" x14ac:dyDescent="0.15">
      <c r="A204" s="9">
        <v>203</v>
      </c>
      <c r="B204" s="9" t="s">
        <v>9</v>
      </c>
      <c r="C204" s="9">
        <v>1926</v>
      </c>
      <c r="D204" s="10">
        <v>45722</v>
      </c>
      <c r="E204" s="11" t="str">
        <f>+HYPERLINK("http://trademark.i-assist.jp/data/china/image_1926th/81777710.pdf","81777710")</f>
        <v>81777710</v>
      </c>
      <c r="F204" s="9" t="s">
        <v>728</v>
      </c>
      <c r="G204" s="9" t="s">
        <v>729</v>
      </c>
      <c r="H204" s="9" t="s">
        <v>750</v>
      </c>
      <c r="I204" s="10">
        <v>45601</v>
      </c>
    </row>
    <row r="205" spans="1:9" x14ac:dyDescent="0.15">
      <c r="A205" s="9">
        <v>204</v>
      </c>
      <c r="B205" s="9" t="s">
        <v>9</v>
      </c>
      <c r="C205" s="9">
        <v>1926</v>
      </c>
      <c r="D205" s="10">
        <v>45722</v>
      </c>
      <c r="E205" s="11" t="str">
        <f>+HYPERLINK("http://trademark.i-assist.jp/data/china/image_1926th/81781324.pdf","81781324")</f>
        <v>81781324</v>
      </c>
      <c r="F205" s="12" t="s">
        <v>20</v>
      </c>
      <c r="G205" s="9" t="s">
        <v>751</v>
      </c>
      <c r="H205" s="9" t="s">
        <v>752</v>
      </c>
      <c r="I205" s="10">
        <v>45601</v>
      </c>
    </row>
    <row r="206" spans="1:9" x14ac:dyDescent="0.15">
      <c r="A206" s="9">
        <v>205</v>
      </c>
      <c r="B206" s="9" t="s">
        <v>9</v>
      </c>
      <c r="C206" s="9">
        <v>1926</v>
      </c>
      <c r="D206" s="10">
        <v>45722</v>
      </c>
      <c r="E206" s="11" t="str">
        <f>+HYPERLINK("http://trademark.i-assist.jp/data/china/image_1926th/81782995.pdf","81782995")</f>
        <v>81782995</v>
      </c>
      <c r="F206" s="9" t="s">
        <v>728</v>
      </c>
      <c r="G206" s="9" t="s">
        <v>729</v>
      </c>
      <c r="H206" s="9" t="s">
        <v>753</v>
      </c>
      <c r="I206" s="10">
        <v>45601</v>
      </c>
    </row>
    <row r="207" spans="1:9" x14ac:dyDescent="0.15">
      <c r="A207" s="9">
        <v>206</v>
      </c>
      <c r="B207" s="9" t="s">
        <v>9</v>
      </c>
      <c r="C207" s="9">
        <v>1926</v>
      </c>
      <c r="D207" s="10">
        <v>45722</v>
      </c>
      <c r="E207" s="11" t="str">
        <f>+HYPERLINK("http://trademark.i-assist.jp/data/china/image_1926th/81783009.pdf","81783009")</f>
        <v>81783009</v>
      </c>
      <c r="F207" s="12" t="s">
        <v>20</v>
      </c>
      <c r="G207" s="9" t="s">
        <v>754</v>
      </c>
      <c r="H207" s="9" t="s">
        <v>755</v>
      </c>
      <c r="I207" s="10">
        <v>45601</v>
      </c>
    </row>
    <row r="208" spans="1:9" x14ac:dyDescent="0.15">
      <c r="A208" s="9">
        <v>207</v>
      </c>
      <c r="B208" s="9" t="s">
        <v>9</v>
      </c>
      <c r="C208" s="9">
        <v>1926</v>
      </c>
      <c r="D208" s="10">
        <v>45722</v>
      </c>
      <c r="E208" s="11" t="str">
        <f>+HYPERLINK("http://trademark.i-assist.jp/data/china/image_1926th/81787164.pdf","81787164")</f>
        <v>81787164</v>
      </c>
      <c r="F208" s="9" t="s">
        <v>756</v>
      </c>
      <c r="G208" s="9" t="s">
        <v>757</v>
      </c>
      <c r="H208" s="9" t="s">
        <v>758</v>
      </c>
      <c r="I208" s="10">
        <v>45600</v>
      </c>
    </row>
    <row r="209" spans="1:9" x14ac:dyDescent="0.15">
      <c r="A209" s="9">
        <v>208</v>
      </c>
      <c r="B209" s="9" t="s">
        <v>9</v>
      </c>
      <c r="C209" s="9">
        <v>1926</v>
      </c>
      <c r="D209" s="10">
        <v>45722</v>
      </c>
      <c r="E209" s="11" t="str">
        <f>+HYPERLINK("http://trademark.i-assist.jp/data/china/image_1926th/81792488.pdf","81792488")</f>
        <v>81792488</v>
      </c>
      <c r="F209" s="9" t="s">
        <v>715</v>
      </c>
      <c r="G209" s="12" t="s">
        <v>716</v>
      </c>
      <c r="H209" s="9" t="s">
        <v>759</v>
      </c>
      <c r="I209" s="10">
        <v>45600</v>
      </c>
    </row>
    <row r="210" spans="1:9" x14ac:dyDescent="0.15">
      <c r="A210" s="9">
        <v>209</v>
      </c>
      <c r="B210" s="9" t="s">
        <v>9</v>
      </c>
      <c r="C210" s="9">
        <v>1926</v>
      </c>
      <c r="D210" s="10">
        <v>45722</v>
      </c>
      <c r="E210" s="11" t="str">
        <f>+HYPERLINK("http://trademark.i-assist.jp/data/china/image_1926th/81793374.pdf","81793374")</f>
        <v>81793374</v>
      </c>
      <c r="F210" s="9" t="s">
        <v>760</v>
      </c>
      <c r="G210" s="9" t="s">
        <v>761</v>
      </c>
      <c r="H210" s="9" t="s">
        <v>762</v>
      </c>
      <c r="I210" s="10">
        <v>45602</v>
      </c>
    </row>
    <row r="211" spans="1:9" x14ac:dyDescent="0.15">
      <c r="A211" s="9">
        <v>210</v>
      </c>
      <c r="B211" s="9" t="s">
        <v>9</v>
      </c>
      <c r="C211" s="9">
        <v>1926</v>
      </c>
      <c r="D211" s="10">
        <v>45722</v>
      </c>
      <c r="E211" s="11" t="str">
        <f>+HYPERLINK("http://trademark.i-assist.jp/data/china/image_1926th/81793984.pdf","81793984")</f>
        <v>81793984</v>
      </c>
      <c r="F211" s="9" t="s">
        <v>763</v>
      </c>
      <c r="G211" s="9" t="s">
        <v>764</v>
      </c>
      <c r="H211" s="9" t="s">
        <v>765</v>
      </c>
      <c r="I211" s="10">
        <v>45602</v>
      </c>
    </row>
    <row r="212" spans="1:9" x14ac:dyDescent="0.15">
      <c r="A212" s="9">
        <v>211</v>
      </c>
      <c r="B212" s="9" t="s">
        <v>9</v>
      </c>
      <c r="C212" s="9">
        <v>1926</v>
      </c>
      <c r="D212" s="10">
        <v>45722</v>
      </c>
      <c r="E212" s="11" t="str">
        <f>+HYPERLINK("http://trademark.i-assist.jp/data/china/image_1926th/81800082.pdf","81800082")</f>
        <v>81800082</v>
      </c>
      <c r="F212" s="9" t="s">
        <v>766</v>
      </c>
      <c r="G212" s="9" t="s">
        <v>767</v>
      </c>
      <c r="H212" s="9" t="s">
        <v>768</v>
      </c>
      <c r="I212" s="10">
        <v>45602</v>
      </c>
    </row>
    <row r="213" spans="1:9" x14ac:dyDescent="0.15">
      <c r="A213" s="9">
        <v>212</v>
      </c>
      <c r="B213" s="9" t="s">
        <v>9</v>
      </c>
      <c r="C213" s="9">
        <v>1926</v>
      </c>
      <c r="D213" s="10">
        <v>45722</v>
      </c>
      <c r="E213" s="11" t="str">
        <f>+HYPERLINK("http://trademark.i-assist.jp/data/china/image_1926th/81800140.pdf","81800140")</f>
        <v>81800140</v>
      </c>
      <c r="F213" s="9" t="s">
        <v>769</v>
      </c>
      <c r="G213" s="9" t="s">
        <v>770</v>
      </c>
      <c r="H213" s="12" t="s">
        <v>771</v>
      </c>
      <c r="I213" s="10">
        <v>45602</v>
      </c>
    </row>
    <row r="214" spans="1:9" x14ac:dyDescent="0.15">
      <c r="A214" s="9">
        <v>213</v>
      </c>
      <c r="B214" s="9" t="s">
        <v>9</v>
      </c>
      <c r="C214" s="9">
        <v>1926</v>
      </c>
      <c r="D214" s="10">
        <v>45722</v>
      </c>
      <c r="E214" s="11" t="str">
        <f>+HYPERLINK("http://trademark.i-assist.jp/data/china/image_1926th/81800794.pdf","81800794")</f>
        <v>81800794</v>
      </c>
      <c r="F214" s="12" t="s">
        <v>772</v>
      </c>
      <c r="G214" s="12" t="s">
        <v>773</v>
      </c>
      <c r="H214" s="12" t="s">
        <v>774</v>
      </c>
      <c r="I214" s="10">
        <v>45602</v>
      </c>
    </row>
    <row r="215" spans="1:9" x14ac:dyDescent="0.15">
      <c r="A215" s="9">
        <v>214</v>
      </c>
      <c r="B215" s="9" t="s">
        <v>9</v>
      </c>
      <c r="C215" s="9">
        <v>1926</v>
      </c>
      <c r="D215" s="10">
        <v>45722</v>
      </c>
      <c r="E215" s="11" t="str">
        <f>+HYPERLINK("http://trademark.i-assist.jp/data/china/image_1926th/81801858.pdf","81801858")</f>
        <v>81801858</v>
      </c>
      <c r="F215" s="9" t="s">
        <v>775</v>
      </c>
      <c r="G215" s="9" t="s">
        <v>776</v>
      </c>
      <c r="H215" s="12" t="s">
        <v>777</v>
      </c>
      <c r="I215" s="10">
        <v>45602</v>
      </c>
    </row>
    <row r="216" spans="1:9" x14ac:dyDescent="0.15">
      <c r="A216" s="9">
        <v>215</v>
      </c>
      <c r="B216" s="9" t="s">
        <v>9</v>
      </c>
      <c r="C216" s="9">
        <v>1926</v>
      </c>
      <c r="D216" s="10">
        <v>45722</v>
      </c>
      <c r="E216" s="11" t="str">
        <f>+HYPERLINK("http://trademark.i-assist.jp/data/china/image_1926th/81805553.pdf","81805553")</f>
        <v>81805553</v>
      </c>
      <c r="F216" s="9" t="s">
        <v>778</v>
      </c>
      <c r="G216" s="12" t="s">
        <v>779</v>
      </c>
      <c r="H216" s="9" t="s">
        <v>780</v>
      </c>
      <c r="I216" s="10">
        <v>45602</v>
      </c>
    </row>
    <row r="217" spans="1:9" x14ac:dyDescent="0.15">
      <c r="A217" s="9">
        <v>216</v>
      </c>
      <c r="B217" s="9" t="s">
        <v>9</v>
      </c>
      <c r="C217" s="9">
        <v>1926</v>
      </c>
      <c r="D217" s="10">
        <v>45722</v>
      </c>
      <c r="E217" s="11" t="str">
        <f>+HYPERLINK("http://trademark.i-assist.jp/data/china/image_1926th/81806342.pdf","81806342")</f>
        <v>81806342</v>
      </c>
      <c r="F217" s="9" t="s">
        <v>781</v>
      </c>
      <c r="G217" s="12" t="s">
        <v>782</v>
      </c>
      <c r="H217" s="9" t="s">
        <v>783</v>
      </c>
      <c r="I217" s="10">
        <v>45602</v>
      </c>
    </row>
    <row r="218" spans="1:9" x14ac:dyDescent="0.15">
      <c r="A218" s="9">
        <v>217</v>
      </c>
      <c r="B218" s="9" t="s">
        <v>9</v>
      </c>
      <c r="C218" s="9">
        <v>1926</v>
      </c>
      <c r="D218" s="10">
        <v>45722</v>
      </c>
      <c r="E218" s="11" t="str">
        <f>+HYPERLINK("http://trademark.i-assist.jp/data/china/image_1926th/81806621.pdf","81806621")</f>
        <v>81806621</v>
      </c>
      <c r="F218" s="9" t="s">
        <v>784</v>
      </c>
      <c r="G218" s="9" t="s">
        <v>785</v>
      </c>
      <c r="H218" s="9" t="s">
        <v>786</v>
      </c>
      <c r="I218" s="10">
        <v>45602</v>
      </c>
    </row>
    <row r="219" spans="1:9" x14ac:dyDescent="0.15">
      <c r="A219" s="9">
        <v>218</v>
      </c>
      <c r="B219" s="9" t="s">
        <v>9</v>
      </c>
      <c r="C219" s="9">
        <v>1926</v>
      </c>
      <c r="D219" s="10">
        <v>45722</v>
      </c>
      <c r="E219" s="11" t="str">
        <f>+HYPERLINK("http://trademark.i-assist.jp/data/china/image_1926th/81808810.pdf","81808810")</f>
        <v>81808810</v>
      </c>
      <c r="F219" s="9" t="s">
        <v>787</v>
      </c>
      <c r="G219" s="9" t="s">
        <v>788</v>
      </c>
      <c r="H219" s="9" t="s">
        <v>789</v>
      </c>
      <c r="I219" s="10">
        <v>45602</v>
      </c>
    </row>
    <row r="220" spans="1:9" x14ac:dyDescent="0.15">
      <c r="A220" s="9">
        <v>219</v>
      </c>
      <c r="B220" s="9" t="s">
        <v>9</v>
      </c>
      <c r="C220" s="9">
        <v>1926</v>
      </c>
      <c r="D220" s="10">
        <v>45722</v>
      </c>
      <c r="E220" s="11" t="str">
        <f>+HYPERLINK("http://trademark.i-assist.jp/data/china/image_1926th/81810354.pdf","81810354")</f>
        <v>81810354</v>
      </c>
      <c r="F220" s="9" t="s">
        <v>790</v>
      </c>
      <c r="G220" s="9" t="s">
        <v>791</v>
      </c>
      <c r="H220" s="9" t="s">
        <v>792</v>
      </c>
      <c r="I220" s="10">
        <v>45602</v>
      </c>
    </row>
    <row r="221" spans="1:9" x14ac:dyDescent="0.15">
      <c r="A221" s="9">
        <v>220</v>
      </c>
      <c r="B221" s="9" t="s">
        <v>9</v>
      </c>
      <c r="C221" s="9">
        <v>1926</v>
      </c>
      <c r="D221" s="10">
        <v>45722</v>
      </c>
      <c r="E221" s="11" t="str">
        <f>+HYPERLINK("http://trademark.i-assist.jp/data/china/image_1926th/81811930.pdf","81811930")</f>
        <v>81811930</v>
      </c>
      <c r="F221" s="12" t="s">
        <v>793</v>
      </c>
      <c r="G221" s="9" t="s">
        <v>794</v>
      </c>
      <c r="H221" s="9" t="s">
        <v>795</v>
      </c>
      <c r="I221" s="10">
        <v>45602</v>
      </c>
    </row>
    <row r="222" spans="1:9" x14ac:dyDescent="0.15">
      <c r="A222" s="9">
        <v>221</v>
      </c>
      <c r="B222" s="9" t="s">
        <v>9</v>
      </c>
      <c r="C222" s="9">
        <v>1926</v>
      </c>
      <c r="D222" s="10">
        <v>45722</v>
      </c>
      <c r="E222" s="11" t="str">
        <f>+HYPERLINK("http://trademark.i-assist.jp/data/china/image_1926th/81814684.pdf","81814684")</f>
        <v>81814684</v>
      </c>
      <c r="F222" s="12" t="s">
        <v>20</v>
      </c>
      <c r="G222" s="9" t="s">
        <v>796</v>
      </c>
      <c r="H222" s="9" t="s">
        <v>797</v>
      </c>
      <c r="I222" s="10">
        <v>45602</v>
      </c>
    </row>
    <row r="223" spans="1:9" x14ac:dyDescent="0.15">
      <c r="A223" s="9">
        <v>222</v>
      </c>
      <c r="B223" s="9" t="s">
        <v>9</v>
      </c>
      <c r="C223" s="9">
        <v>1926</v>
      </c>
      <c r="D223" s="10">
        <v>45722</v>
      </c>
      <c r="E223" s="11" t="str">
        <f>+HYPERLINK("http://trademark.i-assist.jp/data/china/image_1926th/81817403.pdf","81817403")</f>
        <v>81817403</v>
      </c>
      <c r="F223" s="9" t="s">
        <v>798</v>
      </c>
      <c r="G223" s="9" t="s">
        <v>799</v>
      </c>
      <c r="H223" s="12" t="s">
        <v>800</v>
      </c>
      <c r="I223" s="10">
        <v>45603</v>
      </c>
    </row>
    <row r="224" spans="1:9" x14ac:dyDescent="0.15">
      <c r="A224" s="9">
        <v>223</v>
      </c>
      <c r="B224" s="9" t="s">
        <v>9</v>
      </c>
      <c r="C224" s="9">
        <v>1926</v>
      </c>
      <c r="D224" s="10">
        <v>45722</v>
      </c>
      <c r="E224" s="11" t="str">
        <f>+HYPERLINK("http://trademark.i-assist.jp/data/china/image_1926th/81823896.pdf","81823896")</f>
        <v>81823896</v>
      </c>
      <c r="F224" s="12" t="s">
        <v>801</v>
      </c>
      <c r="G224" s="12" t="s">
        <v>802</v>
      </c>
      <c r="H224" s="9" t="s">
        <v>803</v>
      </c>
      <c r="I224" s="10">
        <v>45603</v>
      </c>
    </row>
    <row r="225" spans="1:9" x14ac:dyDescent="0.15">
      <c r="A225" s="9">
        <v>224</v>
      </c>
      <c r="B225" s="9" t="s">
        <v>9</v>
      </c>
      <c r="C225" s="9">
        <v>1926</v>
      </c>
      <c r="D225" s="10">
        <v>45722</v>
      </c>
      <c r="E225" s="11" t="str">
        <f>+HYPERLINK("http://trademark.i-assist.jp/data/china/image_1926th/81824871.pdf","81824871")</f>
        <v>81824871</v>
      </c>
      <c r="F225" s="9" t="s">
        <v>804</v>
      </c>
      <c r="G225" s="9" t="s">
        <v>805</v>
      </c>
      <c r="H225" s="9" t="s">
        <v>806</v>
      </c>
      <c r="I225" s="10">
        <v>45603</v>
      </c>
    </row>
    <row r="226" spans="1:9" x14ac:dyDescent="0.15">
      <c r="A226" s="9">
        <v>225</v>
      </c>
      <c r="B226" s="9" t="s">
        <v>9</v>
      </c>
      <c r="C226" s="9">
        <v>1926</v>
      </c>
      <c r="D226" s="10">
        <v>45722</v>
      </c>
      <c r="E226" s="11" t="str">
        <f>+HYPERLINK("http://trademark.i-assist.jp/data/china/image_1926th/81832403.pdf","81832403")</f>
        <v>81832403</v>
      </c>
      <c r="F226" s="9" t="s">
        <v>807</v>
      </c>
      <c r="G226" s="9" t="s">
        <v>808</v>
      </c>
      <c r="H226" s="12" t="s">
        <v>809</v>
      </c>
      <c r="I226" s="10">
        <v>45603</v>
      </c>
    </row>
    <row r="227" spans="1:9" x14ac:dyDescent="0.15">
      <c r="A227" s="9">
        <v>226</v>
      </c>
      <c r="B227" s="9" t="s">
        <v>9</v>
      </c>
      <c r="C227" s="9">
        <v>1926</v>
      </c>
      <c r="D227" s="10">
        <v>45722</v>
      </c>
      <c r="E227" s="11" t="str">
        <f>+HYPERLINK("http://trademark.i-assist.jp/data/china/image_1926th/81833306.pdf","81833306")</f>
        <v>81833306</v>
      </c>
      <c r="F227" s="9" t="s">
        <v>810</v>
      </c>
      <c r="G227" s="12" t="s">
        <v>811</v>
      </c>
      <c r="H227" s="12" t="s">
        <v>812</v>
      </c>
      <c r="I227" s="10">
        <v>45603</v>
      </c>
    </row>
    <row r="228" spans="1:9" x14ac:dyDescent="0.15">
      <c r="A228" s="9">
        <v>227</v>
      </c>
      <c r="B228" s="9" t="s">
        <v>9</v>
      </c>
      <c r="C228" s="9">
        <v>1926</v>
      </c>
      <c r="D228" s="10">
        <v>45722</v>
      </c>
      <c r="E228" s="11" t="str">
        <f>+HYPERLINK("http://trademark.i-assist.jp/data/china/image_1926th/81833796.pdf","81833796")</f>
        <v>81833796</v>
      </c>
      <c r="F228" s="12" t="s">
        <v>813</v>
      </c>
      <c r="G228" s="12" t="s">
        <v>814</v>
      </c>
      <c r="H228" s="9" t="s">
        <v>815</v>
      </c>
      <c r="I228" s="10">
        <v>45603</v>
      </c>
    </row>
    <row r="229" spans="1:9" x14ac:dyDescent="0.15">
      <c r="A229" s="9">
        <v>228</v>
      </c>
      <c r="B229" s="9" t="s">
        <v>9</v>
      </c>
      <c r="C229" s="9">
        <v>1926</v>
      </c>
      <c r="D229" s="10">
        <v>45722</v>
      </c>
      <c r="E229" s="11" t="str">
        <f>+HYPERLINK("http://trademark.i-assist.jp/data/china/image_1926th/81836071.pdf","81836071")</f>
        <v>81836071</v>
      </c>
      <c r="F229" s="9" t="s">
        <v>816</v>
      </c>
      <c r="G229" s="9" t="s">
        <v>42</v>
      </c>
      <c r="H229" s="9" t="s">
        <v>817</v>
      </c>
      <c r="I229" s="10">
        <v>45603</v>
      </c>
    </row>
    <row r="230" spans="1:9" x14ac:dyDescent="0.15">
      <c r="A230" s="9">
        <v>229</v>
      </c>
      <c r="B230" s="9" t="s">
        <v>9</v>
      </c>
      <c r="C230" s="9">
        <v>1926</v>
      </c>
      <c r="D230" s="10">
        <v>45722</v>
      </c>
      <c r="E230" s="11" t="str">
        <f>+HYPERLINK("http://trademark.i-assist.jp/data/china/image_1926th/81838923.pdf","81838923")</f>
        <v>81838923</v>
      </c>
      <c r="F230" s="9" t="s">
        <v>818</v>
      </c>
      <c r="G230" s="9" t="s">
        <v>819</v>
      </c>
      <c r="H230" s="12" t="s">
        <v>820</v>
      </c>
      <c r="I230" s="10">
        <v>45603</v>
      </c>
    </row>
    <row r="231" spans="1:9" x14ac:dyDescent="0.15">
      <c r="A231" s="9">
        <v>230</v>
      </c>
      <c r="B231" s="9" t="s">
        <v>9</v>
      </c>
      <c r="C231" s="9">
        <v>1926</v>
      </c>
      <c r="D231" s="10">
        <v>45722</v>
      </c>
      <c r="E231" s="11" t="str">
        <f>+HYPERLINK("http://trademark.i-assist.jp/data/china/image_1926th/81840658.pdf","81840658")</f>
        <v>81840658</v>
      </c>
      <c r="F231" s="9" t="s">
        <v>821</v>
      </c>
      <c r="G231" s="12" t="s">
        <v>822</v>
      </c>
      <c r="H231" s="12" t="s">
        <v>823</v>
      </c>
      <c r="I231" s="10">
        <v>45603</v>
      </c>
    </row>
    <row r="232" spans="1:9" x14ac:dyDescent="0.15">
      <c r="A232" s="9">
        <v>231</v>
      </c>
      <c r="B232" s="9" t="s">
        <v>9</v>
      </c>
      <c r="C232" s="9">
        <v>1926</v>
      </c>
      <c r="D232" s="10">
        <v>45722</v>
      </c>
      <c r="E232" s="11" t="str">
        <f>+HYPERLINK("http://trademark.i-assist.jp/data/china/image_1926th/81845430.pdf","81845430")</f>
        <v>81845430</v>
      </c>
      <c r="F232" s="9" t="s">
        <v>824</v>
      </c>
      <c r="G232" s="9" t="s">
        <v>825</v>
      </c>
      <c r="H232" s="9" t="s">
        <v>826</v>
      </c>
      <c r="I232" s="10">
        <v>45604</v>
      </c>
    </row>
    <row r="233" spans="1:9" x14ac:dyDescent="0.15">
      <c r="A233" s="9">
        <v>232</v>
      </c>
      <c r="B233" s="9" t="s">
        <v>9</v>
      </c>
      <c r="C233" s="9">
        <v>1926</v>
      </c>
      <c r="D233" s="10">
        <v>45722</v>
      </c>
      <c r="E233" s="11" t="str">
        <f>+HYPERLINK("http://trademark.i-assist.jp/data/china/image_1926th/81849294.pdf","81849294")</f>
        <v>81849294</v>
      </c>
      <c r="F233" s="9" t="s">
        <v>827</v>
      </c>
      <c r="G233" s="9" t="s">
        <v>828</v>
      </c>
      <c r="H233" s="9" t="s">
        <v>829</v>
      </c>
      <c r="I233" s="10">
        <v>45604</v>
      </c>
    </row>
    <row r="234" spans="1:9" x14ac:dyDescent="0.15">
      <c r="A234" s="9">
        <v>233</v>
      </c>
      <c r="B234" s="9" t="s">
        <v>9</v>
      </c>
      <c r="C234" s="9">
        <v>1926</v>
      </c>
      <c r="D234" s="10">
        <v>45722</v>
      </c>
      <c r="E234" s="11" t="str">
        <f>+HYPERLINK("http://trademark.i-assist.jp/data/china/image_1926th/81852656.pdf","81852656")</f>
        <v>81852656</v>
      </c>
      <c r="F234" s="9" t="s">
        <v>830</v>
      </c>
      <c r="G234" s="9" t="s">
        <v>831</v>
      </c>
      <c r="H234" s="9" t="s">
        <v>832</v>
      </c>
      <c r="I234" s="10">
        <v>45604</v>
      </c>
    </row>
    <row r="235" spans="1:9" x14ac:dyDescent="0.15">
      <c r="A235" s="9">
        <v>234</v>
      </c>
      <c r="B235" s="9" t="s">
        <v>9</v>
      </c>
      <c r="C235" s="9">
        <v>1926</v>
      </c>
      <c r="D235" s="10">
        <v>45722</v>
      </c>
      <c r="E235" s="11" t="str">
        <f>+HYPERLINK("http://trademark.i-assist.jp/data/china/image_1926th/81856217.pdf","81856217")</f>
        <v>81856217</v>
      </c>
      <c r="F235" s="9" t="s">
        <v>833</v>
      </c>
      <c r="G235" s="9" t="s">
        <v>834</v>
      </c>
      <c r="H235" s="12" t="s">
        <v>835</v>
      </c>
      <c r="I235" s="10">
        <v>45604</v>
      </c>
    </row>
    <row r="236" spans="1:9" x14ac:dyDescent="0.15">
      <c r="A236" s="9">
        <v>235</v>
      </c>
      <c r="B236" s="9" t="s">
        <v>9</v>
      </c>
      <c r="C236" s="9">
        <v>1926</v>
      </c>
      <c r="D236" s="10">
        <v>45722</v>
      </c>
      <c r="E236" s="11" t="str">
        <f>+HYPERLINK("http://trademark.i-assist.jp/data/china/image_1926th/81856764.pdf","81856764")</f>
        <v>81856764</v>
      </c>
      <c r="F236" s="9" t="s">
        <v>836</v>
      </c>
      <c r="G236" s="9" t="s">
        <v>837</v>
      </c>
      <c r="H236" s="9" t="s">
        <v>838</v>
      </c>
      <c r="I236" s="10">
        <v>45604</v>
      </c>
    </row>
    <row r="237" spans="1:9" x14ac:dyDescent="0.15">
      <c r="A237" s="9">
        <v>236</v>
      </c>
      <c r="B237" s="9" t="s">
        <v>9</v>
      </c>
      <c r="C237" s="9">
        <v>1926</v>
      </c>
      <c r="D237" s="10">
        <v>45722</v>
      </c>
      <c r="E237" s="11" t="str">
        <f>+HYPERLINK("http://trademark.i-assist.jp/data/china/image_1926th/81858550.pdf","81858550")</f>
        <v>81858550</v>
      </c>
      <c r="F237" s="9" t="s">
        <v>839</v>
      </c>
      <c r="G237" s="9" t="s">
        <v>691</v>
      </c>
      <c r="H237" s="9" t="s">
        <v>840</v>
      </c>
      <c r="I237" s="10">
        <v>45604</v>
      </c>
    </row>
    <row r="238" spans="1:9" x14ac:dyDescent="0.15">
      <c r="A238" s="9">
        <v>237</v>
      </c>
      <c r="B238" s="9" t="s">
        <v>9</v>
      </c>
      <c r="C238" s="9">
        <v>1926</v>
      </c>
      <c r="D238" s="10">
        <v>45722</v>
      </c>
      <c r="E238" s="11" t="str">
        <f>+HYPERLINK("http://trademark.i-assist.jp/data/china/image_1926th/81860084.pdf","81860084")</f>
        <v>81860084</v>
      </c>
      <c r="F238" s="9" t="s">
        <v>841</v>
      </c>
      <c r="G238" s="9" t="s">
        <v>842</v>
      </c>
      <c r="H238" s="9" t="s">
        <v>843</v>
      </c>
      <c r="I238" s="10">
        <v>45604</v>
      </c>
    </row>
    <row r="239" spans="1:9" x14ac:dyDescent="0.15">
      <c r="A239" s="9">
        <v>238</v>
      </c>
      <c r="B239" s="9" t="s">
        <v>9</v>
      </c>
      <c r="C239" s="9">
        <v>1926</v>
      </c>
      <c r="D239" s="10">
        <v>45722</v>
      </c>
      <c r="E239" s="11" t="str">
        <f>+HYPERLINK("http://trademark.i-assist.jp/data/china/image_1926th/81863507.pdf","81863507")</f>
        <v>81863507</v>
      </c>
      <c r="F239" s="9" t="s">
        <v>844</v>
      </c>
      <c r="G239" s="9" t="s">
        <v>845</v>
      </c>
      <c r="H239" s="9" t="s">
        <v>846</v>
      </c>
      <c r="I239" s="10">
        <v>45604</v>
      </c>
    </row>
    <row r="240" spans="1:9" x14ac:dyDescent="0.15">
      <c r="A240" s="9">
        <v>239</v>
      </c>
      <c r="B240" s="9" t="s">
        <v>9</v>
      </c>
      <c r="C240" s="9">
        <v>1926</v>
      </c>
      <c r="D240" s="10">
        <v>45722</v>
      </c>
      <c r="E240" s="11" t="str">
        <f>+HYPERLINK("http://trademark.i-assist.jp/data/china/image_1926th/81865430.pdf","81865430")</f>
        <v>81865430</v>
      </c>
      <c r="F240" s="9" t="s">
        <v>847</v>
      </c>
      <c r="G240" s="9" t="s">
        <v>848</v>
      </c>
      <c r="H240" s="9" t="s">
        <v>849</v>
      </c>
      <c r="I240" s="10">
        <v>45604</v>
      </c>
    </row>
    <row r="241" spans="1:9" x14ac:dyDescent="0.15">
      <c r="A241" s="9">
        <v>240</v>
      </c>
      <c r="B241" s="9" t="s">
        <v>9</v>
      </c>
      <c r="C241" s="9">
        <v>1926</v>
      </c>
      <c r="D241" s="10">
        <v>45722</v>
      </c>
      <c r="E241" s="11" t="str">
        <f>+HYPERLINK("http://trademark.i-assist.jp/data/china/image_1926th/81865919.pdf","81865919")</f>
        <v>81865919</v>
      </c>
      <c r="F241" s="9" t="s">
        <v>850</v>
      </c>
      <c r="G241" s="12" t="s">
        <v>851</v>
      </c>
      <c r="H241" s="9" t="s">
        <v>852</v>
      </c>
      <c r="I241" s="10">
        <v>45604</v>
      </c>
    </row>
    <row r="242" spans="1:9" x14ac:dyDescent="0.15">
      <c r="A242" s="9">
        <v>241</v>
      </c>
      <c r="B242" s="9" t="s">
        <v>9</v>
      </c>
      <c r="C242" s="9">
        <v>1926</v>
      </c>
      <c r="D242" s="10">
        <v>45722</v>
      </c>
      <c r="E242" s="11" t="str">
        <f>+HYPERLINK("http://trademark.i-assist.jp/data/china/image_1926th/81866095.pdf","81866095")</f>
        <v>81866095</v>
      </c>
      <c r="F242" s="9" t="s">
        <v>853</v>
      </c>
      <c r="G242" s="9" t="s">
        <v>854</v>
      </c>
      <c r="H242" s="9" t="s">
        <v>855</v>
      </c>
      <c r="I242" s="10">
        <v>45604</v>
      </c>
    </row>
    <row r="243" spans="1:9" x14ac:dyDescent="0.15">
      <c r="A243" s="9">
        <v>242</v>
      </c>
      <c r="B243" s="9" t="s">
        <v>9</v>
      </c>
      <c r="C243" s="9">
        <v>1926</v>
      </c>
      <c r="D243" s="10">
        <v>45722</v>
      </c>
      <c r="E243" s="11" t="str">
        <f>+HYPERLINK("http://trademark.i-assist.jp/data/china/image_1926th/81867687.pdf","81867687")</f>
        <v>81867687</v>
      </c>
      <c r="F243" s="9" t="s">
        <v>856</v>
      </c>
      <c r="G243" s="9" t="s">
        <v>857</v>
      </c>
      <c r="H243" s="9" t="s">
        <v>858</v>
      </c>
      <c r="I243" s="10">
        <v>45605</v>
      </c>
    </row>
    <row r="244" spans="1:9" x14ac:dyDescent="0.15">
      <c r="A244" s="9">
        <v>243</v>
      </c>
      <c r="B244" s="9" t="s">
        <v>9</v>
      </c>
      <c r="C244" s="9">
        <v>1926</v>
      </c>
      <c r="D244" s="10">
        <v>45722</v>
      </c>
      <c r="E244" s="11" t="str">
        <f>+HYPERLINK("http://trademark.i-assist.jp/data/china/image_1926th/81868106.pdf","81868106")</f>
        <v>81868106</v>
      </c>
      <c r="F244" s="9" t="s">
        <v>859</v>
      </c>
      <c r="G244" s="9" t="s">
        <v>860</v>
      </c>
      <c r="H244" s="9" t="s">
        <v>861</v>
      </c>
      <c r="I244" s="10">
        <v>45605</v>
      </c>
    </row>
    <row r="245" spans="1:9" x14ac:dyDescent="0.15">
      <c r="A245" s="9">
        <v>244</v>
      </c>
      <c r="B245" s="9" t="s">
        <v>9</v>
      </c>
      <c r="C245" s="9">
        <v>1926</v>
      </c>
      <c r="D245" s="10">
        <v>45722</v>
      </c>
      <c r="E245" s="11" t="str">
        <f>+HYPERLINK("http://trademark.i-assist.jp/data/china/image_1926th/81869034.pdf","81869034")</f>
        <v>81869034</v>
      </c>
      <c r="F245" s="9" t="s">
        <v>862</v>
      </c>
      <c r="G245" s="9" t="s">
        <v>863</v>
      </c>
      <c r="H245" s="9" t="s">
        <v>864</v>
      </c>
      <c r="I245" s="10">
        <v>45605</v>
      </c>
    </row>
    <row r="246" spans="1:9" x14ac:dyDescent="0.15">
      <c r="A246" s="9">
        <v>245</v>
      </c>
      <c r="B246" s="9" t="s">
        <v>9</v>
      </c>
      <c r="C246" s="9">
        <v>1926</v>
      </c>
      <c r="D246" s="10">
        <v>45722</v>
      </c>
      <c r="E246" s="11" t="str">
        <f>+HYPERLINK("http://trademark.i-assist.jp/data/china/image_1926th/81871328.pdf","81871328")</f>
        <v>81871328</v>
      </c>
      <c r="F246" s="9" t="s">
        <v>865</v>
      </c>
      <c r="G246" s="12" t="s">
        <v>866</v>
      </c>
      <c r="H246" s="12" t="s">
        <v>867</v>
      </c>
      <c r="I246" s="10">
        <v>45605</v>
      </c>
    </row>
    <row r="247" spans="1:9" x14ac:dyDescent="0.15">
      <c r="A247" s="9">
        <v>246</v>
      </c>
      <c r="B247" s="9" t="s">
        <v>9</v>
      </c>
      <c r="C247" s="9">
        <v>1926</v>
      </c>
      <c r="D247" s="10">
        <v>45722</v>
      </c>
      <c r="E247" s="11" t="str">
        <f>+HYPERLINK("http://trademark.i-assist.jp/data/china/image_1926th/81873000.pdf","81873000")</f>
        <v>81873000</v>
      </c>
      <c r="F247" s="9" t="s">
        <v>868</v>
      </c>
      <c r="G247" s="9" t="s">
        <v>869</v>
      </c>
      <c r="H247" s="9" t="s">
        <v>870</v>
      </c>
      <c r="I247" s="10">
        <v>45606</v>
      </c>
    </row>
    <row r="248" spans="1:9" x14ac:dyDescent="0.15">
      <c r="A248" s="9">
        <v>247</v>
      </c>
      <c r="B248" s="9" t="s">
        <v>9</v>
      </c>
      <c r="C248" s="9">
        <v>1926</v>
      </c>
      <c r="D248" s="10">
        <v>45722</v>
      </c>
      <c r="E248" s="11" t="str">
        <f>+HYPERLINK("http://trademark.i-assist.jp/data/china/image_1926th/81876863.pdf","81876863")</f>
        <v>81876863</v>
      </c>
      <c r="F248" s="12" t="s">
        <v>20</v>
      </c>
      <c r="G248" s="9" t="s">
        <v>871</v>
      </c>
      <c r="H248" s="9" t="s">
        <v>872</v>
      </c>
      <c r="I248" s="10">
        <v>45607</v>
      </c>
    </row>
    <row r="249" spans="1:9" x14ac:dyDescent="0.15">
      <c r="A249" s="9">
        <v>248</v>
      </c>
      <c r="B249" s="9" t="s">
        <v>9</v>
      </c>
      <c r="C249" s="9">
        <v>1926</v>
      </c>
      <c r="D249" s="10">
        <v>45722</v>
      </c>
      <c r="E249" s="11" t="str">
        <f>+HYPERLINK("http://trademark.i-assist.jp/data/china/image_1926th/81876963.pdf","81876963")</f>
        <v>81876963</v>
      </c>
      <c r="F249" s="12" t="s">
        <v>873</v>
      </c>
      <c r="G249" s="9" t="s">
        <v>874</v>
      </c>
      <c r="H249" s="12" t="s">
        <v>875</v>
      </c>
      <c r="I249" s="10">
        <v>45607</v>
      </c>
    </row>
    <row r="250" spans="1:9" x14ac:dyDescent="0.15">
      <c r="A250" s="9">
        <v>249</v>
      </c>
      <c r="B250" s="9" t="s">
        <v>9</v>
      </c>
      <c r="C250" s="9">
        <v>1926</v>
      </c>
      <c r="D250" s="10">
        <v>45722</v>
      </c>
      <c r="E250" s="11" t="str">
        <f>+HYPERLINK("http://trademark.i-assist.jp/data/china/image_1926th/81880216.pdf","81880216")</f>
        <v>81880216</v>
      </c>
      <c r="F250" s="9" t="s">
        <v>876</v>
      </c>
      <c r="G250" s="12" t="s">
        <v>101</v>
      </c>
      <c r="H250" s="9" t="s">
        <v>877</v>
      </c>
      <c r="I250" s="10">
        <v>45607</v>
      </c>
    </row>
    <row r="251" spans="1:9" x14ac:dyDescent="0.15">
      <c r="A251" s="9">
        <v>250</v>
      </c>
      <c r="B251" s="9" t="s">
        <v>9</v>
      </c>
      <c r="C251" s="9">
        <v>1926</v>
      </c>
      <c r="D251" s="10">
        <v>45722</v>
      </c>
      <c r="E251" s="11" t="str">
        <f>+HYPERLINK("http://trademark.i-assist.jp/data/china/image_1926th/81881623.pdf","81881623")</f>
        <v>81881623</v>
      </c>
      <c r="F251" s="9" t="s">
        <v>878</v>
      </c>
      <c r="G251" s="9" t="s">
        <v>879</v>
      </c>
      <c r="H251" s="12" t="s">
        <v>880</v>
      </c>
      <c r="I251" s="10">
        <v>45607</v>
      </c>
    </row>
    <row r="252" spans="1:9" x14ac:dyDescent="0.15">
      <c r="A252" s="9">
        <v>251</v>
      </c>
      <c r="B252" s="9" t="s">
        <v>9</v>
      </c>
      <c r="C252" s="9">
        <v>1926</v>
      </c>
      <c r="D252" s="10">
        <v>45722</v>
      </c>
      <c r="E252" s="11" t="str">
        <f>+HYPERLINK("http://trademark.i-assist.jp/data/china/image_1926th/81882038.pdf","81882038")</f>
        <v>81882038</v>
      </c>
      <c r="F252" s="9" t="s">
        <v>881</v>
      </c>
      <c r="G252" s="12" t="s">
        <v>882</v>
      </c>
      <c r="H252" s="9" t="s">
        <v>883</v>
      </c>
      <c r="I252" s="10">
        <v>45607</v>
      </c>
    </row>
    <row r="253" spans="1:9" x14ac:dyDescent="0.15">
      <c r="A253" s="9">
        <v>252</v>
      </c>
      <c r="B253" s="9" t="s">
        <v>9</v>
      </c>
      <c r="C253" s="9">
        <v>1926</v>
      </c>
      <c r="D253" s="10">
        <v>45722</v>
      </c>
      <c r="E253" s="11" t="str">
        <f>+HYPERLINK("http://trademark.i-assist.jp/data/china/image_1926th/81884520.pdf","81884520")</f>
        <v>81884520</v>
      </c>
      <c r="F253" s="9" t="s">
        <v>884</v>
      </c>
      <c r="G253" s="9" t="s">
        <v>885</v>
      </c>
      <c r="H253" s="9" t="s">
        <v>886</v>
      </c>
      <c r="I253" s="10">
        <v>45607</v>
      </c>
    </row>
    <row r="254" spans="1:9" x14ac:dyDescent="0.15">
      <c r="A254" s="9">
        <v>253</v>
      </c>
      <c r="B254" s="9" t="s">
        <v>9</v>
      </c>
      <c r="C254" s="9">
        <v>1926</v>
      </c>
      <c r="D254" s="10">
        <v>45722</v>
      </c>
      <c r="E254" s="11" t="str">
        <f>+HYPERLINK("http://trademark.i-assist.jp/data/china/image_1926th/81888644.pdf","81888644")</f>
        <v>81888644</v>
      </c>
      <c r="F254" s="12" t="s">
        <v>20</v>
      </c>
      <c r="G254" s="9" t="s">
        <v>887</v>
      </c>
      <c r="H254" s="9" t="s">
        <v>888</v>
      </c>
      <c r="I254" s="10">
        <v>45607</v>
      </c>
    </row>
    <row r="255" spans="1:9" x14ac:dyDescent="0.15">
      <c r="A255" s="9">
        <v>254</v>
      </c>
      <c r="B255" s="9" t="s">
        <v>9</v>
      </c>
      <c r="C255" s="9">
        <v>1926</v>
      </c>
      <c r="D255" s="10">
        <v>45722</v>
      </c>
      <c r="E255" s="11" t="str">
        <f>+HYPERLINK("http://trademark.i-assist.jp/data/china/image_1926th/81889315.pdf","81889315")</f>
        <v>81889315</v>
      </c>
      <c r="F255" s="9" t="s">
        <v>889</v>
      </c>
      <c r="G255" s="12" t="s">
        <v>890</v>
      </c>
      <c r="H255" s="9" t="s">
        <v>891</v>
      </c>
      <c r="I255" s="10">
        <v>45607</v>
      </c>
    </row>
    <row r="256" spans="1:9" x14ac:dyDescent="0.15">
      <c r="A256" s="9">
        <v>255</v>
      </c>
      <c r="B256" s="9" t="s">
        <v>9</v>
      </c>
      <c r="C256" s="9">
        <v>1926</v>
      </c>
      <c r="D256" s="10">
        <v>45722</v>
      </c>
      <c r="E256" s="11" t="str">
        <f>+HYPERLINK("http://trademark.i-assist.jp/data/china/image_1926th/81890224.pdf","81890224")</f>
        <v>81890224</v>
      </c>
      <c r="F256" s="9" t="s">
        <v>892</v>
      </c>
      <c r="G256" s="9" t="s">
        <v>152</v>
      </c>
      <c r="H256" s="9" t="s">
        <v>893</v>
      </c>
      <c r="I256" s="10">
        <v>45607</v>
      </c>
    </row>
    <row r="257" spans="1:9" x14ac:dyDescent="0.15">
      <c r="A257" s="9">
        <v>256</v>
      </c>
      <c r="B257" s="9" t="s">
        <v>9</v>
      </c>
      <c r="C257" s="9">
        <v>1926</v>
      </c>
      <c r="D257" s="10">
        <v>45722</v>
      </c>
      <c r="E257" s="11" t="str">
        <f>+HYPERLINK("http://trademark.i-assist.jp/data/china/image_1926th/81890882.pdf","81890882")</f>
        <v>81890882</v>
      </c>
      <c r="F257" s="13" t="s">
        <v>894</v>
      </c>
      <c r="G257" s="9" t="s">
        <v>88</v>
      </c>
      <c r="H257" s="9" t="s">
        <v>895</v>
      </c>
      <c r="I257" s="10">
        <v>45607</v>
      </c>
    </row>
    <row r="258" spans="1:9" x14ac:dyDescent="0.15">
      <c r="A258" s="9">
        <v>257</v>
      </c>
      <c r="B258" s="9" t="s">
        <v>9</v>
      </c>
      <c r="C258" s="9">
        <v>1926</v>
      </c>
      <c r="D258" s="10">
        <v>45722</v>
      </c>
      <c r="E258" s="11" t="str">
        <f>+HYPERLINK("http://trademark.i-assist.jp/data/china/image_1926th/81891471.pdf","81891471")</f>
        <v>81891471</v>
      </c>
      <c r="F258" s="12" t="s">
        <v>896</v>
      </c>
      <c r="G258" s="9" t="s">
        <v>897</v>
      </c>
      <c r="H258" s="9" t="s">
        <v>898</v>
      </c>
      <c r="I258" s="10">
        <v>45607</v>
      </c>
    </row>
    <row r="259" spans="1:9" x14ac:dyDescent="0.15">
      <c r="A259" s="9">
        <v>258</v>
      </c>
      <c r="B259" s="9" t="s">
        <v>9</v>
      </c>
      <c r="C259" s="9">
        <v>1926</v>
      </c>
      <c r="D259" s="10">
        <v>45722</v>
      </c>
      <c r="E259" s="11" t="str">
        <f>+HYPERLINK("http://trademark.i-assist.jp/data/china/image_1926th/81892028.pdf","81892028")</f>
        <v>81892028</v>
      </c>
      <c r="F259" s="9" t="s">
        <v>899</v>
      </c>
      <c r="G259" s="9" t="s">
        <v>900</v>
      </c>
      <c r="H259" s="9" t="s">
        <v>901</v>
      </c>
      <c r="I259" s="10">
        <v>45607</v>
      </c>
    </row>
    <row r="260" spans="1:9" x14ac:dyDescent="0.15">
      <c r="A260" s="9">
        <v>259</v>
      </c>
      <c r="B260" s="9" t="s">
        <v>9</v>
      </c>
      <c r="C260" s="9">
        <v>1926</v>
      </c>
      <c r="D260" s="10">
        <v>45722</v>
      </c>
      <c r="E260" s="11" t="str">
        <f>+HYPERLINK("http://trademark.i-assist.jp/data/china/image_1926th/81892923.pdf","81892923")</f>
        <v>81892923</v>
      </c>
      <c r="F260" s="12" t="s">
        <v>20</v>
      </c>
      <c r="G260" s="9" t="s">
        <v>902</v>
      </c>
      <c r="H260" s="9" t="s">
        <v>903</v>
      </c>
      <c r="I260" s="10">
        <v>45607</v>
      </c>
    </row>
    <row r="261" spans="1:9" x14ac:dyDescent="0.15">
      <c r="A261" s="9">
        <v>260</v>
      </c>
      <c r="B261" s="9" t="s">
        <v>9</v>
      </c>
      <c r="C261" s="9">
        <v>1926</v>
      </c>
      <c r="D261" s="10">
        <v>45722</v>
      </c>
      <c r="E261" s="11" t="str">
        <f>+HYPERLINK("http://trademark.i-assist.jp/data/china/image_1926th/81895104.pdf","81895104")</f>
        <v>81895104</v>
      </c>
      <c r="F261" s="9" t="s">
        <v>904</v>
      </c>
      <c r="G261" s="9" t="s">
        <v>905</v>
      </c>
      <c r="H261" s="9" t="s">
        <v>906</v>
      </c>
      <c r="I261" s="10">
        <v>45607</v>
      </c>
    </row>
    <row r="262" spans="1:9" x14ac:dyDescent="0.15">
      <c r="A262" s="9">
        <v>261</v>
      </c>
      <c r="B262" s="9" t="s">
        <v>9</v>
      </c>
      <c r="C262" s="9">
        <v>1926</v>
      </c>
      <c r="D262" s="10">
        <v>45722</v>
      </c>
      <c r="E262" s="11" t="str">
        <f>+HYPERLINK("http://trademark.i-assist.jp/data/china/image_1926th/81897629.pdf","81897629")</f>
        <v>81897629</v>
      </c>
      <c r="F262" s="9" t="s">
        <v>907</v>
      </c>
      <c r="G262" s="9" t="s">
        <v>908</v>
      </c>
      <c r="H262" s="9" t="s">
        <v>909</v>
      </c>
      <c r="I262" s="10">
        <v>45607</v>
      </c>
    </row>
    <row r="263" spans="1:9" x14ac:dyDescent="0.15">
      <c r="A263" s="9">
        <v>262</v>
      </c>
      <c r="B263" s="9" t="s">
        <v>9</v>
      </c>
      <c r="C263" s="9">
        <v>1926</v>
      </c>
      <c r="D263" s="10">
        <v>45722</v>
      </c>
      <c r="E263" s="11" t="str">
        <f>+HYPERLINK("http://trademark.i-assist.jp/data/china/image_1926th/81897679.pdf","81897679")</f>
        <v>81897679</v>
      </c>
      <c r="F263" s="9" t="s">
        <v>910</v>
      </c>
      <c r="G263" s="9" t="s">
        <v>911</v>
      </c>
      <c r="H263" s="9" t="s">
        <v>912</v>
      </c>
      <c r="I263" s="10">
        <v>45607</v>
      </c>
    </row>
    <row r="264" spans="1:9" x14ac:dyDescent="0.15">
      <c r="A264" s="9">
        <v>263</v>
      </c>
      <c r="B264" s="9" t="s">
        <v>9</v>
      </c>
      <c r="C264" s="9">
        <v>1926</v>
      </c>
      <c r="D264" s="10">
        <v>45722</v>
      </c>
      <c r="E264" s="11" t="str">
        <f>+HYPERLINK("http://trademark.i-assist.jp/data/china/image_1926th/81901416.pdf","81901416")</f>
        <v>81901416</v>
      </c>
      <c r="F264" s="9" t="s">
        <v>913</v>
      </c>
      <c r="G264" s="12" t="s">
        <v>914</v>
      </c>
      <c r="H264" s="9" t="s">
        <v>915</v>
      </c>
      <c r="I264" s="10">
        <v>45607</v>
      </c>
    </row>
    <row r="265" spans="1:9" x14ac:dyDescent="0.15">
      <c r="A265" s="9">
        <v>264</v>
      </c>
      <c r="B265" s="9" t="s">
        <v>9</v>
      </c>
      <c r="C265" s="9">
        <v>1926</v>
      </c>
      <c r="D265" s="10">
        <v>45722</v>
      </c>
      <c r="E265" s="11" t="str">
        <f>+HYPERLINK("http://trademark.i-assist.jp/data/china/image_1926th/81903078.pdf","81903078")</f>
        <v>81903078</v>
      </c>
      <c r="F265" s="9" t="s">
        <v>916</v>
      </c>
      <c r="G265" s="12" t="s">
        <v>917</v>
      </c>
      <c r="H265" s="9" t="s">
        <v>918</v>
      </c>
      <c r="I265" s="10">
        <v>45608</v>
      </c>
    </row>
    <row r="266" spans="1:9" x14ac:dyDescent="0.15">
      <c r="A266" s="9">
        <v>265</v>
      </c>
      <c r="B266" s="9" t="s">
        <v>9</v>
      </c>
      <c r="C266" s="9">
        <v>1926</v>
      </c>
      <c r="D266" s="10">
        <v>45722</v>
      </c>
      <c r="E266" s="11" t="str">
        <f>+HYPERLINK("http://trademark.i-assist.jp/data/china/image_1926th/81904739.pdf","81904739")</f>
        <v>81904739</v>
      </c>
      <c r="F266" s="9" t="s">
        <v>919</v>
      </c>
      <c r="G266" s="9" t="s">
        <v>26</v>
      </c>
      <c r="H266" s="9" t="s">
        <v>920</v>
      </c>
      <c r="I266" s="10">
        <v>45608</v>
      </c>
    </row>
    <row r="267" spans="1:9" x14ac:dyDescent="0.15">
      <c r="A267" s="9">
        <v>266</v>
      </c>
      <c r="B267" s="9" t="s">
        <v>9</v>
      </c>
      <c r="C267" s="9">
        <v>1926</v>
      </c>
      <c r="D267" s="10">
        <v>45722</v>
      </c>
      <c r="E267" s="11" t="str">
        <f>+HYPERLINK("http://trademark.i-assist.jp/data/china/image_1926th/81904743.pdf","81904743")</f>
        <v>81904743</v>
      </c>
      <c r="F267" s="9" t="s">
        <v>921</v>
      </c>
      <c r="G267" s="9" t="s">
        <v>922</v>
      </c>
      <c r="H267" s="9" t="s">
        <v>923</v>
      </c>
      <c r="I267" s="10">
        <v>45608</v>
      </c>
    </row>
    <row r="268" spans="1:9" x14ac:dyDescent="0.15">
      <c r="A268" s="9">
        <v>267</v>
      </c>
      <c r="B268" s="9" t="s">
        <v>9</v>
      </c>
      <c r="C268" s="9">
        <v>1926</v>
      </c>
      <c r="D268" s="10">
        <v>45722</v>
      </c>
      <c r="E268" s="11" t="str">
        <f>+HYPERLINK("http://trademark.i-assist.jp/data/china/image_1926th/81905699.pdf","81905699")</f>
        <v>81905699</v>
      </c>
      <c r="F268" s="12" t="s">
        <v>924</v>
      </c>
      <c r="G268" s="12" t="s">
        <v>925</v>
      </c>
      <c r="H268" s="9" t="s">
        <v>926</v>
      </c>
      <c r="I268" s="10">
        <v>45608</v>
      </c>
    </row>
    <row r="269" spans="1:9" x14ac:dyDescent="0.15">
      <c r="A269" s="9">
        <v>268</v>
      </c>
      <c r="B269" s="9" t="s">
        <v>9</v>
      </c>
      <c r="C269" s="9">
        <v>1926</v>
      </c>
      <c r="D269" s="10">
        <v>45722</v>
      </c>
      <c r="E269" s="11" t="str">
        <f>+HYPERLINK("http://trademark.i-assist.jp/data/china/image_1926th/81908278.pdf","81908278")</f>
        <v>81908278</v>
      </c>
      <c r="F269" s="9" t="s">
        <v>927</v>
      </c>
      <c r="G269" s="9" t="s">
        <v>928</v>
      </c>
      <c r="H269" s="9" t="s">
        <v>929</v>
      </c>
      <c r="I269" s="10">
        <v>45608</v>
      </c>
    </row>
    <row r="270" spans="1:9" x14ac:dyDescent="0.15">
      <c r="A270" s="9">
        <v>269</v>
      </c>
      <c r="B270" s="9" t="s">
        <v>9</v>
      </c>
      <c r="C270" s="9">
        <v>1926</v>
      </c>
      <c r="D270" s="10">
        <v>45722</v>
      </c>
      <c r="E270" s="11" t="str">
        <f>+HYPERLINK("http://trademark.i-assist.jp/data/china/image_1926th/81909093.pdf","81909093")</f>
        <v>81909093</v>
      </c>
      <c r="F270" s="9" t="s">
        <v>930</v>
      </c>
      <c r="G270" s="9" t="s">
        <v>931</v>
      </c>
      <c r="H270" s="9" t="s">
        <v>932</v>
      </c>
      <c r="I270" s="10">
        <v>45608</v>
      </c>
    </row>
    <row r="271" spans="1:9" x14ac:dyDescent="0.15">
      <c r="A271" s="9">
        <v>270</v>
      </c>
      <c r="B271" s="9" t="s">
        <v>9</v>
      </c>
      <c r="C271" s="9">
        <v>1926</v>
      </c>
      <c r="D271" s="10">
        <v>45722</v>
      </c>
      <c r="E271" s="11" t="str">
        <f>+HYPERLINK("http://trademark.i-assist.jp/data/china/image_1926th/81910745.pdf","81910745")</f>
        <v>81910745</v>
      </c>
      <c r="F271" s="9" t="s">
        <v>933</v>
      </c>
      <c r="G271" s="12" t="s">
        <v>49</v>
      </c>
      <c r="H271" s="9" t="s">
        <v>934</v>
      </c>
      <c r="I271" s="10">
        <v>45608</v>
      </c>
    </row>
    <row r="272" spans="1:9" x14ac:dyDescent="0.15">
      <c r="A272" s="9">
        <v>271</v>
      </c>
      <c r="B272" s="9" t="s">
        <v>9</v>
      </c>
      <c r="C272" s="9">
        <v>1926</v>
      </c>
      <c r="D272" s="10">
        <v>45722</v>
      </c>
      <c r="E272" s="11" t="str">
        <f>+HYPERLINK("http://trademark.i-assist.jp/data/china/image_1926th/81910881.pdf","81910881")</f>
        <v>81910881</v>
      </c>
      <c r="F272" s="9" t="s">
        <v>935</v>
      </c>
      <c r="G272" s="9" t="s">
        <v>47</v>
      </c>
      <c r="H272" s="9" t="s">
        <v>936</v>
      </c>
      <c r="I272" s="10">
        <v>45608</v>
      </c>
    </row>
    <row r="273" spans="1:9" x14ac:dyDescent="0.15">
      <c r="A273" s="9">
        <v>272</v>
      </c>
      <c r="B273" s="9" t="s">
        <v>9</v>
      </c>
      <c r="C273" s="9">
        <v>1926</v>
      </c>
      <c r="D273" s="10">
        <v>45722</v>
      </c>
      <c r="E273" s="11" t="str">
        <f>+HYPERLINK("http://trademark.i-assist.jp/data/china/image_1926th/81912262.pdf","81912262")</f>
        <v>81912262</v>
      </c>
      <c r="F273" s="9" t="s">
        <v>937</v>
      </c>
      <c r="G273" s="9" t="s">
        <v>61</v>
      </c>
      <c r="H273" s="9" t="s">
        <v>938</v>
      </c>
      <c r="I273" s="10">
        <v>45608</v>
      </c>
    </row>
    <row r="274" spans="1:9" x14ac:dyDescent="0.15">
      <c r="A274" s="9">
        <v>273</v>
      </c>
      <c r="B274" s="9" t="s">
        <v>9</v>
      </c>
      <c r="C274" s="9">
        <v>1926</v>
      </c>
      <c r="D274" s="10">
        <v>45722</v>
      </c>
      <c r="E274" s="11" t="str">
        <f>+HYPERLINK("http://trademark.i-assist.jp/data/china/image_1926th/81913301.pdf","81913301")</f>
        <v>81913301</v>
      </c>
      <c r="F274" s="9" t="s">
        <v>939</v>
      </c>
      <c r="G274" s="9" t="s">
        <v>940</v>
      </c>
      <c r="H274" s="9" t="s">
        <v>941</v>
      </c>
      <c r="I274" s="10">
        <v>45608</v>
      </c>
    </row>
    <row r="275" spans="1:9" x14ac:dyDescent="0.15">
      <c r="A275" s="9">
        <v>274</v>
      </c>
      <c r="B275" s="9" t="s">
        <v>9</v>
      </c>
      <c r="C275" s="9">
        <v>1926</v>
      </c>
      <c r="D275" s="10">
        <v>45722</v>
      </c>
      <c r="E275" s="11" t="str">
        <f>+HYPERLINK("http://trademark.i-assist.jp/data/china/image_1926th/81914103.pdf","81914103")</f>
        <v>81914103</v>
      </c>
      <c r="F275" s="9" t="s">
        <v>942</v>
      </c>
      <c r="G275" s="9" t="s">
        <v>943</v>
      </c>
      <c r="H275" s="9" t="s">
        <v>944</v>
      </c>
      <c r="I275" s="10">
        <v>45608</v>
      </c>
    </row>
    <row r="276" spans="1:9" x14ac:dyDescent="0.15">
      <c r="A276" s="9">
        <v>275</v>
      </c>
      <c r="B276" s="9" t="s">
        <v>9</v>
      </c>
      <c r="C276" s="9">
        <v>1926</v>
      </c>
      <c r="D276" s="10">
        <v>45722</v>
      </c>
      <c r="E276" s="11" t="str">
        <f>+HYPERLINK("http://trademark.i-assist.jp/data/china/image_1926th/81914609.pdf","81914609")</f>
        <v>81914609</v>
      </c>
      <c r="F276" s="12" t="s">
        <v>945</v>
      </c>
      <c r="G276" s="12" t="s">
        <v>946</v>
      </c>
      <c r="H276" s="12" t="s">
        <v>947</v>
      </c>
      <c r="I276" s="10">
        <v>45608</v>
      </c>
    </row>
    <row r="277" spans="1:9" x14ac:dyDescent="0.15">
      <c r="A277" s="9">
        <v>276</v>
      </c>
      <c r="B277" s="9" t="s">
        <v>9</v>
      </c>
      <c r="C277" s="9">
        <v>1926</v>
      </c>
      <c r="D277" s="10">
        <v>45722</v>
      </c>
      <c r="E277" s="11" t="str">
        <f>+HYPERLINK("http://trademark.i-assist.jp/data/china/image_1926th/81914805.pdf","81914805")</f>
        <v>81914805</v>
      </c>
      <c r="F277" s="9" t="s">
        <v>948</v>
      </c>
      <c r="G277" s="9" t="s">
        <v>26</v>
      </c>
      <c r="H277" s="9" t="s">
        <v>949</v>
      </c>
      <c r="I277" s="10">
        <v>45608</v>
      </c>
    </row>
    <row r="278" spans="1:9" x14ac:dyDescent="0.15">
      <c r="A278" s="9">
        <v>277</v>
      </c>
      <c r="B278" s="9" t="s">
        <v>9</v>
      </c>
      <c r="C278" s="9">
        <v>1926</v>
      </c>
      <c r="D278" s="10">
        <v>45722</v>
      </c>
      <c r="E278" s="11" t="str">
        <f>+HYPERLINK("http://trademark.i-assist.jp/data/china/image_1926th/81914840.pdf","81914840")</f>
        <v>81914840</v>
      </c>
      <c r="F278" s="9" t="s">
        <v>950</v>
      </c>
      <c r="G278" s="9" t="s">
        <v>26</v>
      </c>
      <c r="H278" s="9" t="s">
        <v>951</v>
      </c>
      <c r="I278" s="10">
        <v>45608</v>
      </c>
    </row>
    <row r="279" spans="1:9" x14ac:dyDescent="0.15">
      <c r="A279" s="9">
        <v>278</v>
      </c>
      <c r="B279" s="9" t="s">
        <v>9</v>
      </c>
      <c r="C279" s="9">
        <v>1926</v>
      </c>
      <c r="D279" s="10">
        <v>45722</v>
      </c>
      <c r="E279" s="11" t="str">
        <f>+HYPERLINK("http://trademark.i-assist.jp/data/china/image_1926th/81915612.pdf","81915612")</f>
        <v>81915612</v>
      </c>
      <c r="F279" s="9" t="s">
        <v>952</v>
      </c>
      <c r="G279" s="12" t="s">
        <v>953</v>
      </c>
      <c r="H279" s="9" t="s">
        <v>954</v>
      </c>
      <c r="I279" s="10">
        <v>45608</v>
      </c>
    </row>
    <row r="280" spans="1:9" x14ac:dyDescent="0.15">
      <c r="A280" s="9">
        <v>279</v>
      </c>
      <c r="B280" s="9" t="s">
        <v>9</v>
      </c>
      <c r="C280" s="9">
        <v>1926</v>
      </c>
      <c r="D280" s="10">
        <v>45722</v>
      </c>
      <c r="E280" s="11" t="str">
        <f>+HYPERLINK("http://trademark.i-assist.jp/data/china/image_1926th/81916750.pdf","81916750")</f>
        <v>81916750</v>
      </c>
      <c r="F280" s="12" t="s">
        <v>955</v>
      </c>
      <c r="G280" s="9" t="s">
        <v>956</v>
      </c>
      <c r="H280" s="9" t="s">
        <v>957</v>
      </c>
      <c r="I280" s="10">
        <v>45608</v>
      </c>
    </row>
    <row r="281" spans="1:9" x14ac:dyDescent="0.15">
      <c r="A281" s="9">
        <v>280</v>
      </c>
      <c r="B281" s="9" t="s">
        <v>9</v>
      </c>
      <c r="C281" s="9">
        <v>1926</v>
      </c>
      <c r="D281" s="10">
        <v>45722</v>
      </c>
      <c r="E281" s="11" t="str">
        <f>+HYPERLINK("http://trademark.i-assist.jp/data/china/image_1926th/81918254.pdf","81918254")</f>
        <v>81918254</v>
      </c>
      <c r="F281" s="9" t="s">
        <v>958</v>
      </c>
      <c r="G281" s="9" t="s">
        <v>959</v>
      </c>
      <c r="H281" s="9" t="s">
        <v>960</v>
      </c>
      <c r="I281" s="10">
        <v>45608</v>
      </c>
    </row>
    <row r="282" spans="1:9" x14ac:dyDescent="0.15">
      <c r="A282" s="9">
        <v>281</v>
      </c>
      <c r="B282" s="9" t="s">
        <v>9</v>
      </c>
      <c r="C282" s="9">
        <v>1926</v>
      </c>
      <c r="D282" s="10">
        <v>45722</v>
      </c>
      <c r="E282" s="11" t="str">
        <f>+HYPERLINK("http://trademark.i-assist.jp/data/china/image_1926th/81918390.pdf","81918390")</f>
        <v>81918390</v>
      </c>
      <c r="F282" s="9" t="s">
        <v>961</v>
      </c>
      <c r="G282" s="9" t="s">
        <v>26</v>
      </c>
      <c r="H282" s="9" t="s">
        <v>962</v>
      </c>
      <c r="I282" s="10">
        <v>45608</v>
      </c>
    </row>
    <row r="283" spans="1:9" x14ac:dyDescent="0.15">
      <c r="A283" s="9">
        <v>282</v>
      </c>
      <c r="B283" s="9" t="s">
        <v>9</v>
      </c>
      <c r="C283" s="9">
        <v>1926</v>
      </c>
      <c r="D283" s="10">
        <v>45722</v>
      </c>
      <c r="E283" s="11" t="str">
        <f>+HYPERLINK("http://trademark.i-assist.jp/data/china/image_1926th/81918728.pdf","81918728")</f>
        <v>81918728</v>
      </c>
      <c r="F283" s="9" t="s">
        <v>963</v>
      </c>
      <c r="G283" s="9" t="s">
        <v>26</v>
      </c>
      <c r="H283" s="9" t="s">
        <v>964</v>
      </c>
      <c r="I283" s="10">
        <v>45608</v>
      </c>
    </row>
    <row r="284" spans="1:9" x14ac:dyDescent="0.15">
      <c r="A284" s="9">
        <v>283</v>
      </c>
      <c r="B284" s="9" t="s">
        <v>9</v>
      </c>
      <c r="C284" s="9">
        <v>1926</v>
      </c>
      <c r="D284" s="10">
        <v>45722</v>
      </c>
      <c r="E284" s="11" t="str">
        <f>+HYPERLINK("http://trademark.i-assist.jp/data/china/image_1926th/81918788.pdf","81918788")</f>
        <v>81918788</v>
      </c>
      <c r="F284" s="9" t="s">
        <v>965</v>
      </c>
      <c r="G284" s="9" t="s">
        <v>26</v>
      </c>
      <c r="H284" s="9" t="s">
        <v>966</v>
      </c>
      <c r="I284" s="10">
        <v>45608</v>
      </c>
    </row>
    <row r="285" spans="1:9" x14ac:dyDescent="0.15">
      <c r="A285" s="9">
        <v>284</v>
      </c>
      <c r="B285" s="9" t="s">
        <v>9</v>
      </c>
      <c r="C285" s="9">
        <v>1926</v>
      </c>
      <c r="D285" s="10">
        <v>45722</v>
      </c>
      <c r="E285" s="11" t="str">
        <f>+HYPERLINK("http://trademark.i-assist.jp/data/china/image_1926th/81919980.pdf","81919980")</f>
        <v>81919980</v>
      </c>
      <c r="F285" s="9" t="s">
        <v>967</v>
      </c>
      <c r="G285" s="9" t="s">
        <v>968</v>
      </c>
      <c r="H285" s="9" t="s">
        <v>969</v>
      </c>
      <c r="I285" s="10">
        <v>45608</v>
      </c>
    </row>
    <row r="286" spans="1:9" x14ac:dyDescent="0.15">
      <c r="A286" s="9">
        <v>285</v>
      </c>
      <c r="B286" s="9" t="s">
        <v>9</v>
      </c>
      <c r="C286" s="9">
        <v>1926</v>
      </c>
      <c r="D286" s="10">
        <v>45722</v>
      </c>
      <c r="E286" s="11" t="str">
        <f>+HYPERLINK("http://trademark.i-assist.jp/data/china/image_1926th/81920144.pdf","81920144")</f>
        <v>81920144</v>
      </c>
      <c r="F286" s="9" t="s">
        <v>970</v>
      </c>
      <c r="G286" s="12" t="s">
        <v>48</v>
      </c>
      <c r="H286" s="9" t="s">
        <v>971</v>
      </c>
      <c r="I286" s="10">
        <v>45608</v>
      </c>
    </row>
    <row r="287" spans="1:9" x14ac:dyDescent="0.15">
      <c r="A287" s="9">
        <v>286</v>
      </c>
      <c r="B287" s="9" t="s">
        <v>9</v>
      </c>
      <c r="C287" s="9">
        <v>1926</v>
      </c>
      <c r="D287" s="10">
        <v>45722</v>
      </c>
      <c r="E287" s="11" t="str">
        <f>+HYPERLINK("http://trademark.i-assist.jp/data/china/image_1926th/81922471.pdf","81922471")</f>
        <v>81922471</v>
      </c>
      <c r="F287" s="9" t="s">
        <v>972</v>
      </c>
      <c r="G287" s="9" t="s">
        <v>26</v>
      </c>
      <c r="H287" s="9" t="s">
        <v>973</v>
      </c>
      <c r="I287" s="10">
        <v>45608</v>
      </c>
    </row>
    <row r="288" spans="1:9" x14ac:dyDescent="0.15">
      <c r="A288" s="9">
        <v>287</v>
      </c>
      <c r="B288" s="9" t="s">
        <v>9</v>
      </c>
      <c r="C288" s="9">
        <v>1926</v>
      </c>
      <c r="D288" s="10">
        <v>45722</v>
      </c>
      <c r="E288" s="11" t="str">
        <f>+HYPERLINK("http://trademark.i-assist.jp/data/china/image_1926th/81924882.pdf","81924882")</f>
        <v>81924882</v>
      </c>
      <c r="F288" s="12" t="s">
        <v>974</v>
      </c>
      <c r="G288" s="9" t="s">
        <v>975</v>
      </c>
      <c r="H288" s="9" t="s">
        <v>976</v>
      </c>
      <c r="I288" s="10">
        <v>45608</v>
      </c>
    </row>
    <row r="289" spans="1:9" x14ac:dyDescent="0.15">
      <c r="A289" s="9">
        <v>288</v>
      </c>
      <c r="B289" s="9" t="s">
        <v>9</v>
      </c>
      <c r="C289" s="9">
        <v>1926</v>
      </c>
      <c r="D289" s="10">
        <v>45722</v>
      </c>
      <c r="E289" s="11" t="str">
        <f>+HYPERLINK("http://trademark.i-assist.jp/data/china/image_1926th/81925990.pdf","81925990")</f>
        <v>81925990</v>
      </c>
      <c r="F289" s="9" t="s">
        <v>977</v>
      </c>
      <c r="G289" s="9" t="s">
        <v>978</v>
      </c>
      <c r="H289" s="9" t="s">
        <v>979</v>
      </c>
      <c r="I289" s="10">
        <v>45608</v>
      </c>
    </row>
    <row r="290" spans="1:9" x14ac:dyDescent="0.15">
      <c r="A290" s="9">
        <v>289</v>
      </c>
      <c r="B290" s="9" t="s">
        <v>9</v>
      </c>
      <c r="C290" s="9">
        <v>1926</v>
      </c>
      <c r="D290" s="10">
        <v>45722</v>
      </c>
      <c r="E290" s="11" t="str">
        <f>+HYPERLINK("http://trademark.i-assist.jp/data/china/image_1926th/81927210.pdf","81927210")</f>
        <v>81927210</v>
      </c>
      <c r="F290" s="9" t="s">
        <v>980</v>
      </c>
      <c r="G290" s="9" t="s">
        <v>26</v>
      </c>
      <c r="H290" s="9" t="s">
        <v>981</v>
      </c>
      <c r="I290" s="10">
        <v>45608</v>
      </c>
    </row>
    <row r="291" spans="1:9" x14ac:dyDescent="0.15">
      <c r="A291" s="9">
        <v>290</v>
      </c>
      <c r="B291" s="9" t="s">
        <v>9</v>
      </c>
      <c r="C291" s="9">
        <v>1926</v>
      </c>
      <c r="D291" s="10">
        <v>45722</v>
      </c>
      <c r="E291" s="11" t="str">
        <f>+HYPERLINK("http://trademark.i-assist.jp/data/china/image_1926th/81928764.pdf","81928764")</f>
        <v>81928764</v>
      </c>
      <c r="F291" s="12" t="s">
        <v>982</v>
      </c>
      <c r="G291" s="9" t="s">
        <v>983</v>
      </c>
      <c r="H291" s="9" t="s">
        <v>984</v>
      </c>
      <c r="I291" s="10">
        <v>45609</v>
      </c>
    </row>
    <row r="292" spans="1:9" x14ac:dyDescent="0.15">
      <c r="A292" s="9">
        <v>291</v>
      </c>
      <c r="B292" s="9" t="s">
        <v>9</v>
      </c>
      <c r="C292" s="9">
        <v>1926</v>
      </c>
      <c r="D292" s="10">
        <v>45722</v>
      </c>
      <c r="E292" s="11" t="str">
        <f>+HYPERLINK("http://trademark.i-assist.jp/data/china/image_1926th/81930351.pdf","81930351")</f>
        <v>81930351</v>
      </c>
      <c r="F292" s="12" t="s">
        <v>985</v>
      </c>
      <c r="G292" s="9" t="s">
        <v>986</v>
      </c>
      <c r="H292" s="9" t="s">
        <v>987</v>
      </c>
      <c r="I292" s="10">
        <v>45609</v>
      </c>
    </row>
    <row r="293" spans="1:9" x14ac:dyDescent="0.15">
      <c r="A293" s="9">
        <v>292</v>
      </c>
      <c r="B293" s="9" t="s">
        <v>9</v>
      </c>
      <c r="C293" s="9">
        <v>1926</v>
      </c>
      <c r="D293" s="10">
        <v>45722</v>
      </c>
      <c r="E293" s="11" t="str">
        <f>+HYPERLINK("http://trademark.i-assist.jp/data/china/image_1926th/81931386.pdf","81931386")</f>
        <v>81931386</v>
      </c>
      <c r="F293" s="12" t="s">
        <v>988</v>
      </c>
      <c r="G293" s="9" t="s">
        <v>989</v>
      </c>
      <c r="H293" s="9" t="s">
        <v>990</v>
      </c>
      <c r="I293" s="10">
        <v>45609</v>
      </c>
    </row>
    <row r="294" spans="1:9" x14ac:dyDescent="0.15">
      <c r="A294" s="9">
        <v>293</v>
      </c>
      <c r="B294" s="9" t="s">
        <v>9</v>
      </c>
      <c r="C294" s="9">
        <v>1926</v>
      </c>
      <c r="D294" s="10">
        <v>45722</v>
      </c>
      <c r="E294" s="11" t="str">
        <f>+HYPERLINK("http://trademark.i-assist.jp/data/china/image_1926th/81932021.pdf","81932021")</f>
        <v>81932021</v>
      </c>
      <c r="F294" s="9" t="s">
        <v>991</v>
      </c>
      <c r="G294" s="9" t="s">
        <v>147</v>
      </c>
      <c r="H294" s="9" t="s">
        <v>992</v>
      </c>
      <c r="I294" s="10">
        <v>45609</v>
      </c>
    </row>
    <row r="295" spans="1:9" x14ac:dyDescent="0.15">
      <c r="A295" s="9">
        <v>294</v>
      </c>
      <c r="B295" s="9" t="s">
        <v>9</v>
      </c>
      <c r="C295" s="9">
        <v>1926</v>
      </c>
      <c r="D295" s="10">
        <v>45722</v>
      </c>
      <c r="E295" s="11" t="str">
        <f>+HYPERLINK("http://trademark.i-assist.jp/data/china/image_1926th/81932539.pdf","81932539")</f>
        <v>81932539</v>
      </c>
      <c r="F295" s="12" t="s">
        <v>993</v>
      </c>
      <c r="G295" s="12" t="s">
        <v>994</v>
      </c>
      <c r="H295" s="9" t="s">
        <v>995</v>
      </c>
      <c r="I295" s="10">
        <v>45609</v>
      </c>
    </row>
    <row r="296" spans="1:9" x14ac:dyDescent="0.15">
      <c r="A296" s="9">
        <v>295</v>
      </c>
      <c r="B296" s="9" t="s">
        <v>9</v>
      </c>
      <c r="C296" s="9">
        <v>1926</v>
      </c>
      <c r="D296" s="10">
        <v>45722</v>
      </c>
      <c r="E296" s="11" t="str">
        <f>+HYPERLINK("http://trademark.i-assist.jp/data/china/image_1926th/81935120.pdf","81935120")</f>
        <v>81935120</v>
      </c>
      <c r="F296" s="9" t="s">
        <v>996</v>
      </c>
      <c r="G296" s="9" t="s">
        <v>165</v>
      </c>
      <c r="H296" s="9" t="s">
        <v>997</v>
      </c>
      <c r="I296" s="10">
        <v>45609</v>
      </c>
    </row>
    <row r="297" spans="1:9" x14ac:dyDescent="0.15">
      <c r="A297" s="9">
        <v>296</v>
      </c>
      <c r="B297" s="9" t="s">
        <v>9</v>
      </c>
      <c r="C297" s="9">
        <v>1926</v>
      </c>
      <c r="D297" s="10">
        <v>45722</v>
      </c>
      <c r="E297" s="11" t="str">
        <f>+HYPERLINK("http://trademark.i-assist.jp/data/china/image_1926th/81943023.pdf","81943023")</f>
        <v>81943023</v>
      </c>
      <c r="F297" s="9" t="s">
        <v>998</v>
      </c>
      <c r="G297" s="9" t="s">
        <v>999</v>
      </c>
      <c r="H297" s="9" t="s">
        <v>1000</v>
      </c>
      <c r="I297" s="10">
        <v>45609</v>
      </c>
    </row>
    <row r="298" spans="1:9" x14ac:dyDescent="0.15">
      <c r="A298" s="9">
        <v>297</v>
      </c>
      <c r="B298" s="9" t="s">
        <v>9</v>
      </c>
      <c r="C298" s="9">
        <v>1926</v>
      </c>
      <c r="D298" s="10">
        <v>45722</v>
      </c>
      <c r="E298" s="11" t="str">
        <f>+HYPERLINK("http://trademark.i-assist.jp/data/china/image_1926th/81943074.pdf","81943074")</f>
        <v>81943074</v>
      </c>
      <c r="F298" s="9" t="s">
        <v>1001</v>
      </c>
      <c r="G298" s="9" t="s">
        <v>999</v>
      </c>
      <c r="H298" s="9" t="s">
        <v>1002</v>
      </c>
      <c r="I298" s="10">
        <v>45609</v>
      </c>
    </row>
    <row r="299" spans="1:9" x14ac:dyDescent="0.15">
      <c r="A299" s="9">
        <v>298</v>
      </c>
      <c r="B299" s="9" t="s">
        <v>9</v>
      </c>
      <c r="C299" s="9">
        <v>1926</v>
      </c>
      <c r="D299" s="10">
        <v>45722</v>
      </c>
      <c r="E299" s="11" t="str">
        <f>+HYPERLINK("http://trademark.i-assist.jp/data/china/image_1926th/81943216.pdf","81943216")</f>
        <v>81943216</v>
      </c>
      <c r="F299" s="9" t="s">
        <v>1003</v>
      </c>
      <c r="G299" s="9" t="s">
        <v>1004</v>
      </c>
      <c r="H299" s="9" t="s">
        <v>1005</v>
      </c>
      <c r="I299" s="10">
        <v>45609</v>
      </c>
    </row>
    <row r="300" spans="1:9" x14ac:dyDescent="0.15">
      <c r="A300" s="9">
        <v>299</v>
      </c>
      <c r="B300" s="9" t="s">
        <v>9</v>
      </c>
      <c r="C300" s="9">
        <v>1926</v>
      </c>
      <c r="D300" s="10">
        <v>45722</v>
      </c>
      <c r="E300" s="11" t="str">
        <f>+HYPERLINK("http://trademark.i-assist.jp/data/china/image_1926th/81945271.pdf","81945271")</f>
        <v>81945271</v>
      </c>
      <c r="F300" s="12" t="s">
        <v>1006</v>
      </c>
      <c r="G300" s="9" t="s">
        <v>1007</v>
      </c>
      <c r="H300" s="9" t="s">
        <v>1008</v>
      </c>
      <c r="I300" s="10">
        <v>45609</v>
      </c>
    </row>
    <row r="301" spans="1:9" x14ac:dyDescent="0.15">
      <c r="A301" s="9">
        <v>300</v>
      </c>
      <c r="B301" s="9" t="s">
        <v>9</v>
      </c>
      <c r="C301" s="9">
        <v>1926</v>
      </c>
      <c r="D301" s="10">
        <v>45722</v>
      </c>
      <c r="E301" s="11" t="str">
        <f>+HYPERLINK("http://trademark.i-assist.jp/data/china/image_1926th/81945695.pdf","81945695")</f>
        <v>81945695</v>
      </c>
      <c r="F301" s="9" t="s">
        <v>1009</v>
      </c>
      <c r="G301" s="9" t="s">
        <v>44</v>
      </c>
      <c r="H301" s="9" t="s">
        <v>1010</v>
      </c>
      <c r="I301" s="10">
        <v>45609</v>
      </c>
    </row>
    <row r="302" spans="1:9" x14ac:dyDescent="0.15">
      <c r="A302" s="9">
        <v>301</v>
      </c>
      <c r="B302" s="9" t="s">
        <v>9</v>
      </c>
      <c r="C302" s="9">
        <v>1926</v>
      </c>
      <c r="D302" s="10">
        <v>45722</v>
      </c>
      <c r="E302" s="11" t="str">
        <f>+HYPERLINK("http://trademark.i-assist.jp/data/china/image_1926th/81947418.pdf","81947418")</f>
        <v>81947418</v>
      </c>
      <c r="F302" s="12" t="s">
        <v>1011</v>
      </c>
      <c r="G302" s="9" t="s">
        <v>999</v>
      </c>
      <c r="H302" s="9" t="s">
        <v>1012</v>
      </c>
      <c r="I302" s="10">
        <v>45609</v>
      </c>
    </row>
    <row r="303" spans="1:9" x14ac:dyDescent="0.15">
      <c r="A303" s="9">
        <v>302</v>
      </c>
      <c r="B303" s="9" t="s">
        <v>9</v>
      </c>
      <c r="C303" s="9">
        <v>1926</v>
      </c>
      <c r="D303" s="10">
        <v>45722</v>
      </c>
      <c r="E303" s="11" t="str">
        <f>+HYPERLINK("http://trademark.i-assist.jp/data/china/image_1926th/81950409.pdf","81950409")</f>
        <v>81950409</v>
      </c>
      <c r="F303" s="12" t="s">
        <v>1013</v>
      </c>
      <c r="G303" s="9" t="s">
        <v>1014</v>
      </c>
      <c r="H303" s="9" t="s">
        <v>1015</v>
      </c>
      <c r="I303" s="10">
        <v>45609</v>
      </c>
    </row>
    <row r="304" spans="1:9" x14ac:dyDescent="0.15">
      <c r="A304" s="9">
        <v>303</v>
      </c>
      <c r="B304" s="9" t="s">
        <v>9</v>
      </c>
      <c r="C304" s="9">
        <v>1926</v>
      </c>
      <c r="D304" s="10">
        <v>45722</v>
      </c>
      <c r="E304" s="11" t="str">
        <f>+HYPERLINK("http://trademark.i-assist.jp/data/china/image_1926th/81950613.pdf","81950613")</f>
        <v>81950613</v>
      </c>
      <c r="F304" s="9" t="s">
        <v>1016</v>
      </c>
      <c r="G304" s="9" t="s">
        <v>1017</v>
      </c>
      <c r="H304" s="9" t="s">
        <v>1018</v>
      </c>
      <c r="I304" s="10">
        <v>45609</v>
      </c>
    </row>
    <row r="305" spans="1:9" x14ac:dyDescent="0.15">
      <c r="A305" s="9">
        <v>304</v>
      </c>
      <c r="B305" s="9" t="s">
        <v>9</v>
      </c>
      <c r="C305" s="9">
        <v>1926</v>
      </c>
      <c r="D305" s="10">
        <v>45722</v>
      </c>
      <c r="E305" s="11" t="str">
        <f>+HYPERLINK("http://trademark.i-assist.jp/data/china/image_1926th/81954040.pdf","81954040")</f>
        <v>81954040</v>
      </c>
      <c r="F305" s="9" t="s">
        <v>1019</v>
      </c>
      <c r="G305" s="9" t="s">
        <v>37</v>
      </c>
      <c r="H305" s="9" t="s">
        <v>1020</v>
      </c>
      <c r="I305" s="10">
        <v>45609</v>
      </c>
    </row>
    <row r="306" spans="1:9" x14ac:dyDescent="0.15">
      <c r="A306" s="9">
        <v>305</v>
      </c>
      <c r="B306" s="9" t="s">
        <v>9</v>
      </c>
      <c r="C306" s="9">
        <v>1926</v>
      </c>
      <c r="D306" s="10">
        <v>45722</v>
      </c>
      <c r="E306" s="11" t="str">
        <f>+HYPERLINK("http://trademark.i-assist.jp/data/china/image_1926th/81954679.pdf","81954679")</f>
        <v>81954679</v>
      </c>
      <c r="F306" s="12" t="s">
        <v>20</v>
      </c>
      <c r="G306" s="9" t="s">
        <v>1021</v>
      </c>
      <c r="H306" s="9" t="s">
        <v>1022</v>
      </c>
      <c r="I306" s="10">
        <v>45610</v>
      </c>
    </row>
    <row r="307" spans="1:9" x14ac:dyDescent="0.15">
      <c r="A307" s="9">
        <v>306</v>
      </c>
      <c r="B307" s="9" t="s">
        <v>9</v>
      </c>
      <c r="C307" s="9">
        <v>1926</v>
      </c>
      <c r="D307" s="10">
        <v>45722</v>
      </c>
      <c r="E307" s="11" t="str">
        <f>+HYPERLINK("http://trademark.i-assist.jp/data/china/image_1926th/81957492.pdf","81957492")</f>
        <v>81957492</v>
      </c>
      <c r="F307" s="9" t="s">
        <v>1023</v>
      </c>
      <c r="G307" s="9" t="s">
        <v>66</v>
      </c>
      <c r="H307" s="9" t="s">
        <v>1024</v>
      </c>
      <c r="I307" s="10">
        <v>45610</v>
      </c>
    </row>
    <row r="308" spans="1:9" x14ac:dyDescent="0.15">
      <c r="A308" s="9">
        <v>307</v>
      </c>
      <c r="B308" s="9" t="s">
        <v>9</v>
      </c>
      <c r="C308" s="9">
        <v>1926</v>
      </c>
      <c r="D308" s="10">
        <v>45722</v>
      </c>
      <c r="E308" s="11" t="str">
        <f>+HYPERLINK("http://trademark.i-assist.jp/data/china/image_1926th/81960638.pdf","81960638")</f>
        <v>81960638</v>
      </c>
      <c r="F308" s="9" t="s">
        <v>1025</v>
      </c>
      <c r="G308" s="9" t="s">
        <v>1026</v>
      </c>
      <c r="H308" s="9" t="s">
        <v>1027</v>
      </c>
      <c r="I308" s="10">
        <v>45610</v>
      </c>
    </row>
    <row r="309" spans="1:9" x14ac:dyDescent="0.15">
      <c r="A309" s="9">
        <v>308</v>
      </c>
      <c r="B309" s="9" t="s">
        <v>9</v>
      </c>
      <c r="C309" s="9">
        <v>1926</v>
      </c>
      <c r="D309" s="10">
        <v>45722</v>
      </c>
      <c r="E309" s="11" t="str">
        <f>+HYPERLINK("http://trademark.i-assist.jp/data/china/image_1926th/81962027.pdf","81962027")</f>
        <v>81962027</v>
      </c>
      <c r="F309" s="9" t="s">
        <v>1028</v>
      </c>
      <c r="G309" s="9" t="s">
        <v>1029</v>
      </c>
      <c r="H309" s="9" t="s">
        <v>1030</v>
      </c>
      <c r="I309" s="10">
        <v>45610</v>
      </c>
    </row>
    <row r="310" spans="1:9" x14ac:dyDescent="0.15">
      <c r="A310" s="9">
        <v>309</v>
      </c>
      <c r="B310" s="9" t="s">
        <v>9</v>
      </c>
      <c r="C310" s="9">
        <v>1926</v>
      </c>
      <c r="D310" s="10">
        <v>45722</v>
      </c>
      <c r="E310" s="11" t="str">
        <f>+HYPERLINK("http://trademark.i-assist.jp/data/china/image_1926th/81962440.pdf","81962440")</f>
        <v>81962440</v>
      </c>
      <c r="F310" s="9" t="s">
        <v>1031</v>
      </c>
      <c r="G310" s="9" t="s">
        <v>1032</v>
      </c>
      <c r="H310" s="9" t="s">
        <v>1033</v>
      </c>
      <c r="I310" s="10">
        <v>45610</v>
      </c>
    </row>
    <row r="311" spans="1:9" x14ac:dyDescent="0.15">
      <c r="A311" s="9">
        <v>310</v>
      </c>
      <c r="B311" s="9" t="s">
        <v>9</v>
      </c>
      <c r="C311" s="9">
        <v>1926</v>
      </c>
      <c r="D311" s="10">
        <v>45722</v>
      </c>
      <c r="E311" s="11" t="str">
        <f>+HYPERLINK("http://trademark.i-assist.jp/data/china/image_1926th/81963824.pdf","81963824")</f>
        <v>81963824</v>
      </c>
      <c r="F311" s="9" t="s">
        <v>1034</v>
      </c>
      <c r="G311" s="12" t="s">
        <v>1035</v>
      </c>
      <c r="H311" s="9" t="s">
        <v>1036</v>
      </c>
      <c r="I311" s="10">
        <v>45610</v>
      </c>
    </row>
    <row r="312" spans="1:9" x14ac:dyDescent="0.15">
      <c r="A312" s="9">
        <v>311</v>
      </c>
      <c r="B312" s="9" t="s">
        <v>9</v>
      </c>
      <c r="C312" s="9">
        <v>1926</v>
      </c>
      <c r="D312" s="10">
        <v>45722</v>
      </c>
      <c r="E312" s="11" t="str">
        <f>+HYPERLINK("http://trademark.i-assist.jp/data/china/image_1926th/81966385.pdf","81966385")</f>
        <v>81966385</v>
      </c>
      <c r="F312" s="9" t="s">
        <v>1037</v>
      </c>
      <c r="G312" s="9" t="s">
        <v>122</v>
      </c>
      <c r="H312" s="9" t="s">
        <v>1038</v>
      </c>
      <c r="I312" s="10">
        <v>45610</v>
      </c>
    </row>
    <row r="313" spans="1:9" x14ac:dyDescent="0.15">
      <c r="A313" s="9">
        <v>312</v>
      </c>
      <c r="B313" s="9" t="s">
        <v>9</v>
      </c>
      <c r="C313" s="9">
        <v>1926</v>
      </c>
      <c r="D313" s="10">
        <v>45722</v>
      </c>
      <c r="E313" s="11" t="str">
        <f>+HYPERLINK("http://trademark.i-assist.jp/data/china/image_1926th/81966495.pdf","81966495")</f>
        <v>81966495</v>
      </c>
      <c r="F313" s="9" t="s">
        <v>1039</v>
      </c>
      <c r="G313" s="9" t="s">
        <v>1040</v>
      </c>
      <c r="H313" s="9" t="s">
        <v>1041</v>
      </c>
      <c r="I313" s="10">
        <v>45610</v>
      </c>
    </row>
    <row r="314" spans="1:9" x14ac:dyDescent="0.15">
      <c r="A314" s="9">
        <v>313</v>
      </c>
      <c r="B314" s="9" t="s">
        <v>9</v>
      </c>
      <c r="C314" s="9">
        <v>1926</v>
      </c>
      <c r="D314" s="10">
        <v>45722</v>
      </c>
      <c r="E314" s="11" t="str">
        <f>+HYPERLINK("http://trademark.i-assist.jp/data/china/image_1926th/81968669.pdf","81968669")</f>
        <v>81968669</v>
      </c>
      <c r="F314" s="9" t="s">
        <v>1042</v>
      </c>
      <c r="G314" s="9" t="s">
        <v>1043</v>
      </c>
      <c r="H314" s="9" t="s">
        <v>1044</v>
      </c>
      <c r="I314" s="10">
        <v>45610</v>
      </c>
    </row>
    <row r="315" spans="1:9" x14ac:dyDescent="0.15">
      <c r="A315" s="9">
        <v>314</v>
      </c>
      <c r="B315" s="9" t="s">
        <v>9</v>
      </c>
      <c r="C315" s="9">
        <v>1926</v>
      </c>
      <c r="D315" s="10">
        <v>45722</v>
      </c>
      <c r="E315" s="11" t="str">
        <f>+HYPERLINK("http://trademark.i-assist.jp/data/china/image_1926th/81970246.pdf","81970246")</f>
        <v>81970246</v>
      </c>
      <c r="F315" s="12" t="s">
        <v>1045</v>
      </c>
      <c r="G315" s="9" t="s">
        <v>1046</v>
      </c>
      <c r="H315" s="9" t="s">
        <v>1047</v>
      </c>
      <c r="I315" s="10">
        <v>45610</v>
      </c>
    </row>
    <row r="316" spans="1:9" x14ac:dyDescent="0.15">
      <c r="A316" s="9">
        <v>315</v>
      </c>
      <c r="B316" s="9" t="s">
        <v>9</v>
      </c>
      <c r="C316" s="9">
        <v>1926</v>
      </c>
      <c r="D316" s="10">
        <v>45722</v>
      </c>
      <c r="E316" s="11" t="str">
        <f>+HYPERLINK("http://trademark.i-assist.jp/data/china/image_1926th/81970531.pdf","81970531")</f>
        <v>81970531</v>
      </c>
      <c r="F316" s="12" t="s">
        <v>1048</v>
      </c>
      <c r="G316" s="12" t="s">
        <v>1049</v>
      </c>
      <c r="H316" s="9" t="s">
        <v>1050</v>
      </c>
      <c r="I316" s="10">
        <v>45610</v>
      </c>
    </row>
    <row r="317" spans="1:9" x14ac:dyDescent="0.15">
      <c r="A317" s="9">
        <v>316</v>
      </c>
      <c r="B317" s="9" t="s">
        <v>9</v>
      </c>
      <c r="C317" s="9">
        <v>1926</v>
      </c>
      <c r="D317" s="10">
        <v>45722</v>
      </c>
      <c r="E317" s="11" t="str">
        <f>+HYPERLINK("http://trademark.i-assist.jp/data/china/image_1926th/81974118.pdf","81974118")</f>
        <v>81974118</v>
      </c>
      <c r="F317" s="12" t="s">
        <v>1051</v>
      </c>
      <c r="G317" s="9" t="s">
        <v>44</v>
      </c>
      <c r="H317" s="9" t="s">
        <v>1052</v>
      </c>
      <c r="I317" s="10">
        <v>45610</v>
      </c>
    </row>
    <row r="318" spans="1:9" x14ac:dyDescent="0.15">
      <c r="A318" s="9">
        <v>317</v>
      </c>
      <c r="B318" s="9" t="s">
        <v>9</v>
      </c>
      <c r="C318" s="9">
        <v>1926</v>
      </c>
      <c r="D318" s="10">
        <v>45722</v>
      </c>
      <c r="E318" s="11" t="str">
        <f>+HYPERLINK("http://trademark.i-assist.jp/data/china/image_1926th/81978489.pdf","81978489")</f>
        <v>81978489</v>
      </c>
      <c r="F318" s="12" t="s">
        <v>20</v>
      </c>
      <c r="G318" s="9" t="s">
        <v>1053</v>
      </c>
      <c r="H318" s="9" t="s">
        <v>1054</v>
      </c>
      <c r="I318" s="10">
        <v>45610</v>
      </c>
    </row>
    <row r="319" spans="1:9" x14ac:dyDescent="0.15">
      <c r="A319" s="9">
        <v>318</v>
      </c>
      <c r="B319" s="9" t="s">
        <v>9</v>
      </c>
      <c r="C319" s="9">
        <v>1926</v>
      </c>
      <c r="D319" s="10">
        <v>45722</v>
      </c>
      <c r="E319" s="11" t="str">
        <f>+HYPERLINK("http://trademark.i-assist.jp/data/china/image_1926th/81978801.pdf","81978801")</f>
        <v>81978801</v>
      </c>
      <c r="F319" s="9" t="s">
        <v>1055</v>
      </c>
      <c r="G319" s="9" t="s">
        <v>24</v>
      </c>
      <c r="H319" s="9" t="s">
        <v>1056</v>
      </c>
      <c r="I319" s="10">
        <v>45610</v>
      </c>
    </row>
    <row r="320" spans="1:9" x14ac:dyDescent="0.15">
      <c r="A320" s="9">
        <v>319</v>
      </c>
      <c r="B320" s="9" t="s">
        <v>9</v>
      </c>
      <c r="C320" s="9">
        <v>1926</v>
      </c>
      <c r="D320" s="10">
        <v>45722</v>
      </c>
      <c r="E320" s="11" t="str">
        <f>+HYPERLINK("http://trademark.i-assist.jp/data/china/image_1926th/81978994.pdf","81978994")</f>
        <v>81978994</v>
      </c>
      <c r="F320" s="9" t="s">
        <v>1057</v>
      </c>
      <c r="G320" s="9" t="s">
        <v>1058</v>
      </c>
      <c r="H320" s="9" t="s">
        <v>1059</v>
      </c>
      <c r="I320" s="10">
        <v>45610</v>
      </c>
    </row>
    <row r="321" spans="1:9" x14ac:dyDescent="0.15">
      <c r="A321" s="9">
        <v>320</v>
      </c>
      <c r="B321" s="9" t="s">
        <v>9</v>
      </c>
      <c r="C321" s="9">
        <v>1926</v>
      </c>
      <c r="D321" s="10">
        <v>45722</v>
      </c>
      <c r="E321" s="11" t="str">
        <f>+HYPERLINK("http://trademark.i-assist.jp/data/china/image_1926th/81979835.pdf","81979835")</f>
        <v>81979835</v>
      </c>
      <c r="F321" s="9" t="s">
        <v>1060</v>
      </c>
      <c r="G321" s="9" t="s">
        <v>1061</v>
      </c>
      <c r="H321" s="9" t="s">
        <v>1062</v>
      </c>
      <c r="I321" s="10">
        <v>45611</v>
      </c>
    </row>
    <row r="322" spans="1:9" x14ac:dyDescent="0.15">
      <c r="A322" s="9">
        <v>321</v>
      </c>
      <c r="B322" s="9" t="s">
        <v>9</v>
      </c>
      <c r="C322" s="9">
        <v>1926</v>
      </c>
      <c r="D322" s="10">
        <v>45722</v>
      </c>
      <c r="E322" s="11" t="str">
        <f>+HYPERLINK("http://trademark.i-assist.jp/data/china/image_1926th/81980140.pdf","81980140")</f>
        <v>81980140</v>
      </c>
      <c r="F322" s="9" t="s">
        <v>1063</v>
      </c>
      <c r="G322" s="9" t="s">
        <v>1064</v>
      </c>
      <c r="H322" s="9" t="s">
        <v>1065</v>
      </c>
      <c r="I322" s="10">
        <v>45611</v>
      </c>
    </row>
    <row r="323" spans="1:9" x14ac:dyDescent="0.15">
      <c r="A323" s="9">
        <v>322</v>
      </c>
      <c r="B323" s="9" t="s">
        <v>9</v>
      </c>
      <c r="C323" s="9">
        <v>1926</v>
      </c>
      <c r="D323" s="10">
        <v>45722</v>
      </c>
      <c r="E323" s="11" t="str">
        <f>+HYPERLINK("http://trademark.i-assist.jp/data/china/image_1926th/81991930.pdf","81991930")</f>
        <v>81991930</v>
      </c>
      <c r="F323" s="9" t="s">
        <v>1066</v>
      </c>
      <c r="G323" s="9" t="s">
        <v>1067</v>
      </c>
      <c r="H323" s="9" t="s">
        <v>1068</v>
      </c>
      <c r="I323" s="10">
        <v>45611</v>
      </c>
    </row>
    <row r="324" spans="1:9" x14ac:dyDescent="0.15">
      <c r="A324" s="9">
        <v>323</v>
      </c>
      <c r="B324" s="9" t="s">
        <v>9</v>
      </c>
      <c r="C324" s="9">
        <v>1926</v>
      </c>
      <c r="D324" s="10">
        <v>45722</v>
      </c>
      <c r="E324" s="11" t="str">
        <f>+HYPERLINK("http://trademark.i-assist.jp/data/china/image_1926th/81992482.pdf","81992482")</f>
        <v>81992482</v>
      </c>
      <c r="F324" s="12" t="s">
        <v>1069</v>
      </c>
      <c r="G324" s="9" t="s">
        <v>1070</v>
      </c>
      <c r="H324" s="9" t="s">
        <v>1071</v>
      </c>
      <c r="I324" s="10">
        <v>45611</v>
      </c>
    </row>
    <row r="325" spans="1:9" x14ac:dyDescent="0.15">
      <c r="A325" s="9">
        <v>324</v>
      </c>
      <c r="B325" s="9" t="s">
        <v>9</v>
      </c>
      <c r="C325" s="9">
        <v>1926</v>
      </c>
      <c r="D325" s="10">
        <v>45722</v>
      </c>
      <c r="E325" s="11" t="str">
        <f>+HYPERLINK("http://trademark.i-assist.jp/data/china/image_1926th/81992918.pdf","81992918")</f>
        <v>81992918</v>
      </c>
      <c r="F325" s="12" t="s">
        <v>1072</v>
      </c>
      <c r="G325" s="9" t="s">
        <v>1073</v>
      </c>
      <c r="H325" s="12" t="s">
        <v>1074</v>
      </c>
      <c r="I325" s="10">
        <v>45611</v>
      </c>
    </row>
    <row r="326" spans="1:9" x14ac:dyDescent="0.15">
      <c r="A326" s="9">
        <v>325</v>
      </c>
      <c r="B326" s="9" t="s">
        <v>9</v>
      </c>
      <c r="C326" s="9">
        <v>1926</v>
      </c>
      <c r="D326" s="10">
        <v>45722</v>
      </c>
      <c r="E326" s="11" t="str">
        <f>+HYPERLINK("http://trademark.i-assist.jp/data/china/image_1926th/81994287.pdf","81994287")</f>
        <v>81994287</v>
      </c>
      <c r="F326" s="9" t="s">
        <v>1075</v>
      </c>
      <c r="G326" s="9" t="s">
        <v>1076</v>
      </c>
      <c r="H326" s="9" t="s">
        <v>1077</v>
      </c>
      <c r="I326" s="10">
        <v>45611</v>
      </c>
    </row>
    <row r="327" spans="1:9" x14ac:dyDescent="0.15">
      <c r="A327" s="9">
        <v>326</v>
      </c>
      <c r="B327" s="9" t="s">
        <v>9</v>
      </c>
      <c r="C327" s="9">
        <v>1926</v>
      </c>
      <c r="D327" s="10">
        <v>45722</v>
      </c>
      <c r="E327" s="11" t="str">
        <f>+HYPERLINK("http://trademark.i-assist.jp/data/china/image_1926th/81994991.pdf","81994991")</f>
        <v>81994991</v>
      </c>
      <c r="F327" s="9" t="s">
        <v>1078</v>
      </c>
      <c r="G327" s="9" t="s">
        <v>1079</v>
      </c>
      <c r="H327" s="9" t="s">
        <v>1080</v>
      </c>
      <c r="I327" s="10">
        <v>45611</v>
      </c>
    </row>
    <row r="328" spans="1:9" x14ac:dyDescent="0.15">
      <c r="A328" s="9">
        <v>327</v>
      </c>
      <c r="B328" s="9" t="s">
        <v>9</v>
      </c>
      <c r="C328" s="9">
        <v>1926</v>
      </c>
      <c r="D328" s="10">
        <v>45722</v>
      </c>
      <c r="E328" s="11" t="str">
        <f>+HYPERLINK("http://trademark.i-assist.jp/data/china/image_1926th/81996114.pdf","81996114")</f>
        <v>81996114</v>
      </c>
      <c r="F328" s="9" t="s">
        <v>1081</v>
      </c>
      <c r="G328" s="9" t="s">
        <v>1073</v>
      </c>
      <c r="H328" s="9" t="s">
        <v>1082</v>
      </c>
      <c r="I328" s="10">
        <v>45611</v>
      </c>
    </row>
    <row r="329" spans="1:9" x14ac:dyDescent="0.15">
      <c r="A329" s="9">
        <v>328</v>
      </c>
      <c r="B329" s="9" t="s">
        <v>9</v>
      </c>
      <c r="C329" s="9">
        <v>1926</v>
      </c>
      <c r="D329" s="10">
        <v>45722</v>
      </c>
      <c r="E329" s="11" t="str">
        <f>+HYPERLINK("http://trademark.i-assist.jp/data/china/image_1926th/81998614.pdf","81998614")</f>
        <v>81998614</v>
      </c>
      <c r="F329" s="12" t="s">
        <v>1083</v>
      </c>
      <c r="G329" s="9" t="s">
        <v>1061</v>
      </c>
      <c r="H329" s="9" t="s">
        <v>1084</v>
      </c>
      <c r="I329" s="10">
        <v>45611</v>
      </c>
    </row>
    <row r="330" spans="1:9" x14ac:dyDescent="0.15">
      <c r="A330" s="9">
        <v>329</v>
      </c>
      <c r="B330" s="9" t="s">
        <v>9</v>
      </c>
      <c r="C330" s="9">
        <v>1926</v>
      </c>
      <c r="D330" s="10">
        <v>45722</v>
      </c>
      <c r="E330" s="11" t="str">
        <f>+HYPERLINK("http://trademark.i-assist.jp/data/china/image_1926th/81998853.pdf","81998853")</f>
        <v>81998853</v>
      </c>
      <c r="F330" s="9" t="s">
        <v>1085</v>
      </c>
      <c r="G330" s="9" t="s">
        <v>26</v>
      </c>
      <c r="H330" s="9" t="s">
        <v>1086</v>
      </c>
      <c r="I330" s="10">
        <v>45611</v>
      </c>
    </row>
    <row r="331" spans="1:9" x14ac:dyDescent="0.15">
      <c r="A331" s="9">
        <v>330</v>
      </c>
      <c r="B331" s="9" t="s">
        <v>9</v>
      </c>
      <c r="C331" s="9">
        <v>1926</v>
      </c>
      <c r="D331" s="10">
        <v>45722</v>
      </c>
      <c r="E331" s="11" t="str">
        <f>+HYPERLINK("http://trademark.i-assist.jp/data/china/image_1926th/81999734.pdf","81999734")</f>
        <v>81999734</v>
      </c>
      <c r="F331" s="9" t="s">
        <v>1087</v>
      </c>
      <c r="G331" s="12" t="s">
        <v>1088</v>
      </c>
      <c r="H331" s="9" t="s">
        <v>1089</v>
      </c>
      <c r="I331" s="10">
        <v>45611</v>
      </c>
    </row>
    <row r="332" spans="1:9" x14ac:dyDescent="0.15">
      <c r="A332" s="9">
        <v>331</v>
      </c>
      <c r="B332" s="9" t="s">
        <v>9</v>
      </c>
      <c r="C332" s="9">
        <v>1926</v>
      </c>
      <c r="D332" s="10">
        <v>45722</v>
      </c>
      <c r="E332" s="11" t="str">
        <f>+HYPERLINK("http://trademark.i-assist.jp/data/china/image_1926th/81999838.pdf","81999838")</f>
        <v>81999838</v>
      </c>
      <c r="F332" s="9" t="s">
        <v>1090</v>
      </c>
      <c r="G332" s="9" t="s">
        <v>1091</v>
      </c>
      <c r="H332" s="9" t="s">
        <v>1092</v>
      </c>
      <c r="I332" s="10">
        <v>45611</v>
      </c>
    </row>
    <row r="333" spans="1:9" x14ac:dyDescent="0.15">
      <c r="A333" s="9">
        <v>332</v>
      </c>
      <c r="B333" s="9" t="s">
        <v>9</v>
      </c>
      <c r="C333" s="9">
        <v>1926</v>
      </c>
      <c r="D333" s="10">
        <v>45722</v>
      </c>
      <c r="E333" s="11" t="str">
        <f>+HYPERLINK("http://trademark.i-assist.jp/data/china/image_1926th/82000621.pdf","82000621")</f>
        <v>82000621</v>
      </c>
      <c r="F333" s="9" t="s">
        <v>1093</v>
      </c>
      <c r="G333" s="9" t="s">
        <v>34</v>
      </c>
      <c r="H333" s="9" t="s">
        <v>1094</v>
      </c>
      <c r="I333" s="10">
        <v>45611</v>
      </c>
    </row>
    <row r="334" spans="1:9" x14ac:dyDescent="0.15">
      <c r="A334" s="9">
        <v>333</v>
      </c>
      <c r="B334" s="9" t="s">
        <v>9</v>
      </c>
      <c r="C334" s="9">
        <v>1926</v>
      </c>
      <c r="D334" s="10">
        <v>45722</v>
      </c>
      <c r="E334" s="11" t="str">
        <f>+HYPERLINK("http://trademark.i-assist.jp/data/china/image_1926th/82000864.pdf","82000864")</f>
        <v>82000864</v>
      </c>
      <c r="F334" s="9" t="s">
        <v>1095</v>
      </c>
      <c r="G334" s="9" t="s">
        <v>1096</v>
      </c>
      <c r="H334" s="9" t="s">
        <v>1097</v>
      </c>
      <c r="I334" s="10">
        <v>45611</v>
      </c>
    </row>
    <row r="335" spans="1:9" x14ac:dyDescent="0.15">
      <c r="A335" s="9">
        <v>334</v>
      </c>
      <c r="B335" s="9" t="s">
        <v>9</v>
      </c>
      <c r="C335" s="9">
        <v>1926</v>
      </c>
      <c r="D335" s="10">
        <v>45722</v>
      </c>
      <c r="E335" s="11" t="str">
        <f>+HYPERLINK("http://trademark.i-assist.jp/data/china/image_1926th/82001081.pdf","82001081")</f>
        <v>82001081</v>
      </c>
      <c r="F335" s="9" t="s">
        <v>1098</v>
      </c>
      <c r="G335" s="9" t="s">
        <v>1073</v>
      </c>
      <c r="H335" s="9" t="s">
        <v>1099</v>
      </c>
      <c r="I335" s="10">
        <v>45611</v>
      </c>
    </row>
    <row r="336" spans="1:9" x14ac:dyDescent="0.15">
      <c r="A336" s="9">
        <v>335</v>
      </c>
      <c r="B336" s="9" t="s">
        <v>9</v>
      </c>
      <c r="C336" s="9">
        <v>1926</v>
      </c>
      <c r="D336" s="10">
        <v>45722</v>
      </c>
      <c r="E336" s="11" t="str">
        <f>+HYPERLINK("http://trademark.i-assist.jp/data/china/image_1926th/82002578.pdf","82002578")</f>
        <v>82002578</v>
      </c>
      <c r="F336" s="12" t="s">
        <v>1100</v>
      </c>
      <c r="G336" s="12" t="s">
        <v>1101</v>
      </c>
      <c r="H336" s="9" t="s">
        <v>1102</v>
      </c>
      <c r="I336" s="10">
        <v>45611</v>
      </c>
    </row>
    <row r="337" spans="1:9" x14ac:dyDescent="0.15">
      <c r="A337" s="9">
        <v>336</v>
      </c>
      <c r="B337" s="9" t="s">
        <v>9</v>
      </c>
      <c r="C337" s="9">
        <v>1926</v>
      </c>
      <c r="D337" s="10">
        <v>45722</v>
      </c>
      <c r="E337" s="11" t="str">
        <f>+HYPERLINK("http://trademark.i-assist.jp/data/china/image_1926th/82003243.pdf","82003243")</f>
        <v>82003243</v>
      </c>
      <c r="F337" s="9" t="s">
        <v>1103</v>
      </c>
      <c r="G337" s="9" t="s">
        <v>1104</v>
      </c>
      <c r="H337" s="9" t="s">
        <v>1105</v>
      </c>
      <c r="I337" s="10">
        <v>45611</v>
      </c>
    </row>
    <row r="338" spans="1:9" x14ac:dyDescent="0.15">
      <c r="A338" s="9">
        <v>337</v>
      </c>
      <c r="B338" s="9" t="s">
        <v>9</v>
      </c>
      <c r="C338" s="9">
        <v>1926</v>
      </c>
      <c r="D338" s="10">
        <v>45722</v>
      </c>
      <c r="E338" s="11" t="str">
        <f>+HYPERLINK("http://trademark.i-assist.jp/data/china/image_1926th/82005145.pdf","82005145")</f>
        <v>82005145</v>
      </c>
      <c r="F338" s="9" t="s">
        <v>1106</v>
      </c>
      <c r="G338" s="9" t="s">
        <v>1107</v>
      </c>
      <c r="H338" s="9" t="s">
        <v>1108</v>
      </c>
      <c r="I338" s="10">
        <v>45611</v>
      </c>
    </row>
    <row r="339" spans="1:9" x14ac:dyDescent="0.15">
      <c r="A339" s="9">
        <v>338</v>
      </c>
      <c r="B339" s="9" t="s">
        <v>9</v>
      </c>
      <c r="C339" s="9">
        <v>1926</v>
      </c>
      <c r="D339" s="10">
        <v>45722</v>
      </c>
      <c r="E339" s="11" t="str">
        <f>+HYPERLINK("http://trademark.i-assist.jp/data/china/image_1926th/82006010.pdf","82006010")</f>
        <v>82006010</v>
      </c>
      <c r="F339" s="9" t="s">
        <v>1109</v>
      </c>
      <c r="G339" s="9" t="s">
        <v>1110</v>
      </c>
      <c r="H339" s="9" t="s">
        <v>1111</v>
      </c>
      <c r="I339" s="10">
        <v>45612</v>
      </c>
    </row>
    <row r="340" spans="1:9" x14ac:dyDescent="0.15">
      <c r="A340" s="9">
        <v>339</v>
      </c>
      <c r="B340" s="9" t="s">
        <v>9</v>
      </c>
      <c r="C340" s="9">
        <v>1926</v>
      </c>
      <c r="D340" s="10">
        <v>45722</v>
      </c>
      <c r="E340" s="11" t="str">
        <f>+HYPERLINK("http://trademark.i-assist.jp/data/china/image_1926th/82007792.pdf","82007792")</f>
        <v>82007792</v>
      </c>
      <c r="F340" s="12" t="s">
        <v>1112</v>
      </c>
      <c r="G340" s="12" t="s">
        <v>1113</v>
      </c>
      <c r="H340" s="9" t="s">
        <v>1114</v>
      </c>
      <c r="I340" s="10">
        <v>45612</v>
      </c>
    </row>
    <row r="341" spans="1:9" x14ac:dyDescent="0.15">
      <c r="A341" s="9">
        <v>340</v>
      </c>
      <c r="B341" s="9" t="s">
        <v>9</v>
      </c>
      <c r="C341" s="9">
        <v>1926</v>
      </c>
      <c r="D341" s="10">
        <v>45722</v>
      </c>
      <c r="E341" s="11" t="str">
        <f>+HYPERLINK("http://trademark.i-assist.jp/data/china/image_1926th/82009338.pdf","82009338")</f>
        <v>82009338</v>
      </c>
      <c r="F341" s="9" t="s">
        <v>1115</v>
      </c>
      <c r="G341" s="12" t="s">
        <v>53</v>
      </c>
      <c r="H341" s="9" t="s">
        <v>1116</v>
      </c>
      <c r="I341" s="10">
        <v>45612</v>
      </c>
    </row>
    <row r="342" spans="1:9" x14ac:dyDescent="0.15">
      <c r="A342" s="9">
        <v>341</v>
      </c>
      <c r="B342" s="9" t="s">
        <v>9</v>
      </c>
      <c r="C342" s="9">
        <v>1926</v>
      </c>
      <c r="D342" s="10">
        <v>45722</v>
      </c>
      <c r="E342" s="11" t="str">
        <f>+HYPERLINK("http://trademark.i-assist.jp/data/china/image_1926th/82010125.pdf","82010125")</f>
        <v>82010125</v>
      </c>
      <c r="F342" s="9" t="s">
        <v>1117</v>
      </c>
      <c r="G342" s="9" t="s">
        <v>1118</v>
      </c>
      <c r="H342" s="12" t="s">
        <v>1119</v>
      </c>
      <c r="I342" s="10">
        <v>45612</v>
      </c>
    </row>
    <row r="343" spans="1:9" x14ac:dyDescent="0.15">
      <c r="A343" s="9">
        <v>342</v>
      </c>
      <c r="B343" s="9" t="s">
        <v>9</v>
      </c>
      <c r="C343" s="9">
        <v>1926</v>
      </c>
      <c r="D343" s="10">
        <v>45722</v>
      </c>
      <c r="E343" s="11" t="str">
        <f>+HYPERLINK("http://trademark.i-assist.jp/data/china/image_1926th/82011136.pdf","82011136")</f>
        <v>82011136</v>
      </c>
      <c r="F343" s="9" t="s">
        <v>1120</v>
      </c>
      <c r="G343" s="12" t="s">
        <v>1121</v>
      </c>
      <c r="H343" s="9" t="s">
        <v>1122</v>
      </c>
      <c r="I343" s="10">
        <v>45612</v>
      </c>
    </row>
    <row r="344" spans="1:9" x14ac:dyDescent="0.15">
      <c r="A344" s="9">
        <v>343</v>
      </c>
      <c r="B344" s="9" t="s">
        <v>9</v>
      </c>
      <c r="C344" s="9">
        <v>1926</v>
      </c>
      <c r="D344" s="10">
        <v>45722</v>
      </c>
      <c r="E344" s="11" t="str">
        <f>+HYPERLINK("http://trademark.i-assist.jp/data/china/image_1926th/82013188.pdf","82013188")</f>
        <v>82013188</v>
      </c>
      <c r="F344" s="9" t="s">
        <v>1123</v>
      </c>
      <c r="G344" s="9" t="s">
        <v>1124</v>
      </c>
      <c r="H344" s="9" t="s">
        <v>1125</v>
      </c>
      <c r="I344" s="10">
        <v>45613</v>
      </c>
    </row>
    <row r="345" spans="1:9" x14ac:dyDescent="0.15">
      <c r="A345" s="9">
        <v>344</v>
      </c>
      <c r="B345" s="9" t="s">
        <v>9</v>
      </c>
      <c r="C345" s="9">
        <v>1926</v>
      </c>
      <c r="D345" s="10">
        <v>45722</v>
      </c>
      <c r="E345" s="11" t="str">
        <f>+HYPERLINK("http://trademark.i-assist.jp/data/china/image_1926th/82014477.pdf","82014477")</f>
        <v>82014477</v>
      </c>
      <c r="F345" s="12" t="s">
        <v>1126</v>
      </c>
      <c r="G345" s="12" t="s">
        <v>1127</v>
      </c>
      <c r="H345" s="9" t="s">
        <v>1128</v>
      </c>
      <c r="I345" s="10">
        <v>45614</v>
      </c>
    </row>
    <row r="346" spans="1:9" x14ac:dyDescent="0.15">
      <c r="A346" s="9">
        <v>345</v>
      </c>
      <c r="B346" s="9" t="s">
        <v>9</v>
      </c>
      <c r="C346" s="9">
        <v>1926</v>
      </c>
      <c r="D346" s="10">
        <v>45722</v>
      </c>
      <c r="E346" s="11" t="str">
        <f>+HYPERLINK("http://trademark.i-assist.jp/data/china/image_1926th/82014532.pdf","82014532")</f>
        <v>82014532</v>
      </c>
      <c r="F346" s="9" t="s">
        <v>1129</v>
      </c>
      <c r="G346" s="9" t="s">
        <v>55</v>
      </c>
      <c r="H346" s="12" t="s">
        <v>1130</v>
      </c>
      <c r="I346" s="10">
        <v>45614</v>
      </c>
    </row>
    <row r="347" spans="1:9" x14ac:dyDescent="0.15">
      <c r="A347" s="9">
        <v>346</v>
      </c>
      <c r="B347" s="9" t="s">
        <v>9</v>
      </c>
      <c r="C347" s="9">
        <v>1926</v>
      </c>
      <c r="D347" s="10">
        <v>45722</v>
      </c>
      <c r="E347" s="11" t="str">
        <f>+HYPERLINK("http://trademark.i-assist.jp/data/china/image_1926th/82015412.pdf","82015412")</f>
        <v>82015412</v>
      </c>
      <c r="F347" s="9" t="s">
        <v>1131</v>
      </c>
      <c r="G347" s="9" t="s">
        <v>1132</v>
      </c>
      <c r="H347" s="9" t="s">
        <v>1133</v>
      </c>
      <c r="I347" s="10">
        <v>45614</v>
      </c>
    </row>
    <row r="348" spans="1:9" x14ac:dyDescent="0.15">
      <c r="A348" s="9">
        <v>347</v>
      </c>
      <c r="B348" s="9" t="s">
        <v>9</v>
      </c>
      <c r="C348" s="9">
        <v>1926</v>
      </c>
      <c r="D348" s="10">
        <v>45722</v>
      </c>
      <c r="E348" s="11" t="str">
        <f>+HYPERLINK("http://trademark.i-assist.jp/data/china/image_1926th/82016185.pdf","82016185")</f>
        <v>82016185</v>
      </c>
      <c r="F348" s="9" t="s">
        <v>1134</v>
      </c>
      <c r="G348" s="9" t="s">
        <v>1135</v>
      </c>
      <c r="H348" s="9" t="s">
        <v>1136</v>
      </c>
      <c r="I348" s="10">
        <v>45614</v>
      </c>
    </row>
    <row r="349" spans="1:9" x14ac:dyDescent="0.15">
      <c r="A349" s="9">
        <v>348</v>
      </c>
      <c r="B349" s="9" t="s">
        <v>9</v>
      </c>
      <c r="C349" s="9">
        <v>1926</v>
      </c>
      <c r="D349" s="10">
        <v>45722</v>
      </c>
      <c r="E349" s="11" t="str">
        <f>+HYPERLINK("http://trademark.i-assist.jp/data/china/image_1926th/82017430.pdf","82017430")</f>
        <v>82017430</v>
      </c>
      <c r="F349" s="9" t="s">
        <v>1137</v>
      </c>
      <c r="G349" s="12" t="s">
        <v>1138</v>
      </c>
      <c r="H349" s="12" t="s">
        <v>1139</v>
      </c>
      <c r="I349" s="10">
        <v>45614</v>
      </c>
    </row>
    <row r="350" spans="1:9" x14ac:dyDescent="0.15">
      <c r="A350" s="9">
        <v>349</v>
      </c>
      <c r="B350" s="9" t="s">
        <v>9</v>
      </c>
      <c r="C350" s="9">
        <v>1926</v>
      </c>
      <c r="D350" s="10">
        <v>45722</v>
      </c>
      <c r="E350" s="11" t="str">
        <f>+HYPERLINK("http://trademark.i-assist.jp/data/china/image_1926th/82017931.pdf","82017931")</f>
        <v>82017931</v>
      </c>
      <c r="F350" s="9" t="s">
        <v>1140</v>
      </c>
      <c r="G350" s="9" t="s">
        <v>1141</v>
      </c>
      <c r="H350" s="9" t="s">
        <v>1142</v>
      </c>
      <c r="I350" s="10">
        <v>45614</v>
      </c>
    </row>
    <row r="351" spans="1:9" x14ac:dyDescent="0.15">
      <c r="A351" s="9">
        <v>350</v>
      </c>
      <c r="B351" s="9" t="s">
        <v>9</v>
      </c>
      <c r="C351" s="9">
        <v>1926</v>
      </c>
      <c r="D351" s="10">
        <v>45722</v>
      </c>
      <c r="E351" s="11" t="str">
        <f>+HYPERLINK("http://trademark.i-assist.jp/data/china/image_1926th/82019046.pdf","82019046")</f>
        <v>82019046</v>
      </c>
      <c r="F351" s="9" t="s">
        <v>1143</v>
      </c>
      <c r="G351" s="9" t="s">
        <v>1144</v>
      </c>
      <c r="H351" s="9" t="s">
        <v>1145</v>
      </c>
      <c r="I351" s="10">
        <v>45614</v>
      </c>
    </row>
    <row r="352" spans="1:9" x14ac:dyDescent="0.15">
      <c r="A352" s="9">
        <v>351</v>
      </c>
      <c r="B352" s="9" t="s">
        <v>9</v>
      </c>
      <c r="C352" s="9">
        <v>1926</v>
      </c>
      <c r="D352" s="10">
        <v>45722</v>
      </c>
      <c r="E352" s="11" t="str">
        <f>+HYPERLINK("http://trademark.i-assist.jp/data/china/image_1926th/82020078.pdf","82020078")</f>
        <v>82020078</v>
      </c>
      <c r="F352" s="9" t="s">
        <v>1146</v>
      </c>
      <c r="G352" s="9" t="s">
        <v>174</v>
      </c>
      <c r="H352" s="9" t="s">
        <v>1147</v>
      </c>
      <c r="I352" s="10">
        <v>45614</v>
      </c>
    </row>
    <row r="353" spans="1:9" x14ac:dyDescent="0.15">
      <c r="A353" s="9">
        <v>352</v>
      </c>
      <c r="B353" s="9" t="s">
        <v>9</v>
      </c>
      <c r="C353" s="9">
        <v>1926</v>
      </c>
      <c r="D353" s="10">
        <v>45722</v>
      </c>
      <c r="E353" s="11" t="str">
        <f>+HYPERLINK("http://trademark.i-assist.jp/data/china/image_1926th/82020109.pdf","82020109")</f>
        <v>82020109</v>
      </c>
      <c r="F353" s="9" t="s">
        <v>1148</v>
      </c>
      <c r="G353" s="9" t="s">
        <v>1149</v>
      </c>
      <c r="H353" s="9" t="s">
        <v>1150</v>
      </c>
      <c r="I353" s="10">
        <v>45614</v>
      </c>
    </row>
    <row r="354" spans="1:9" x14ac:dyDescent="0.15">
      <c r="A354" s="9">
        <v>353</v>
      </c>
      <c r="B354" s="9" t="s">
        <v>9</v>
      </c>
      <c r="C354" s="9">
        <v>1926</v>
      </c>
      <c r="D354" s="10">
        <v>45722</v>
      </c>
      <c r="E354" s="11" t="str">
        <f>+HYPERLINK("http://trademark.i-assist.jp/data/china/image_1926th/82020336.pdf","82020336")</f>
        <v>82020336</v>
      </c>
      <c r="F354" s="12" t="s">
        <v>1151</v>
      </c>
      <c r="G354" s="9" t="s">
        <v>1152</v>
      </c>
      <c r="H354" s="9" t="s">
        <v>10</v>
      </c>
      <c r="I354" s="10">
        <v>45614</v>
      </c>
    </row>
    <row r="355" spans="1:9" x14ac:dyDescent="0.15">
      <c r="A355" s="9">
        <v>354</v>
      </c>
      <c r="B355" s="9" t="s">
        <v>9</v>
      </c>
      <c r="C355" s="9">
        <v>1926</v>
      </c>
      <c r="D355" s="10">
        <v>45722</v>
      </c>
      <c r="E355" s="11" t="str">
        <f>+HYPERLINK("http://trademark.i-assist.jp/data/china/image_1926th/82020799.pdf","82020799")</f>
        <v>82020799</v>
      </c>
      <c r="F355" s="9" t="s">
        <v>1153</v>
      </c>
      <c r="G355" s="9" t="s">
        <v>1154</v>
      </c>
      <c r="H355" s="9" t="s">
        <v>1155</v>
      </c>
      <c r="I355" s="10">
        <v>45614</v>
      </c>
    </row>
    <row r="356" spans="1:9" x14ac:dyDescent="0.15">
      <c r="A356" s="9">
        <v>355</v>
      </c>
      <c r="B356" s="9" t="s">
        <v>9</v>
      </c>
      <c r="C356" s="9">
        <v>1926</v>
      </c>
      <c r="D356" s="10">
        <v>45722</v>
      </c>
      <c r="E356" s="11" t="str">
        <f>+HYPERLINK("http://trademark.i-assist.jp/data/china/image_1926th/82022827.pdf","82022827")</f>
        <v>82022827</v>
      </c>
      <c r="F356" s="9" t="s">
        <v>1156</v>
      </c>
      <c r="G356" s="12" t="s">
        <v>1157</v>
      </c>
      <c r="H356" s="12" t="s">
        <v>1158</v>
      </c>
      <c r="I356" s="10">
        <v>45614</v>
      </c>
    </row>
    <row r="357" spans="1:9" x14ac:dyDescent="0.15">
      <c r="A357" s="9">
        <v>356</v>
      </c>
      <c r="B357" s="9" t="s">
        <v>9</v>
      </c>
      <c r="C357" s="9">
        <v>1926</v>
      </c>
      <c r="D357" s="10">
        <v>45722</v>
      </c>
      <c r="E357" s="11" t="str">
        <f>+HYPERLINK("http://trademark.i-assist.jp/data/china/image_1926th/82023310.pdf","82023310")</f>
        <v>82023310</v>
      </c>
      <c r="F357" s="9" t="s">
        <v>1159</v>
      </c>
      <c r="G357" s="12" t="s">
        <v>56</v>
      </c>
      <c r="H357" s="9" t="s">
        <v>1160</v>
      </c>
      <c r="I357" s="10">
        <v>45614</v>
      </c>
    </row>
    <row r="358" spans="1:9" x14ac:dyDescent="0.15">
      <c r="A358" s="9">
        <v>357</v>
      </c>
      <c r="B358" s="9" t="s">
        <v>9</v>
      </c>
      <c r="C358" s="9">
        <v>1926</v>
      </c>
      <c r="D358" s="10">
        <v>45722</v>
      </c>
      <c r="E358" s="11" t="str">
        <f>+HYPERLINK("http://trademark.i-assist.jp/data/china/image_1926th/82023353.pdf","82023353")</f>
        <v>82023353</v>
      </c>
      <c r="F358" s="9" t="s">
        <v>1161</v>
      </c>
      <c r="G358" s="9" t="s">
        <v>1162</v>
      </c>
      <c r="H358" s="9" t="s">
        <v>1163</v>
      </c>
      <c r="I358" s="10">
        <v>45614</v>
      </c>
    </row>
    <row r="359" spans="1:9" x14ac:dyDescent="0.15">
      <c r="A359" s="9">
        <v>358</v>
      </c>
      <c r="B359" s="9" t="s">
        <v>9</v>
      </c>
      <c r="C359" s="9">
        <v>1926</v>
      </c>
      <c r="D359" s="10">
        <v>45722</v>
      </c>
      <c r="E359" s="11" t="str">
        <f>+HYPERLINK("http://trademark.i-assist.jp/data/china/image_1926th/82023974.pdf","82023974")</f>
        <v>82023974</v>
      </c>
      <c r="F359" s="9" t="s">
        <v>1164</v>
      </c>
      <c r="G359" s="12" t="s">
        <v>1157</v>
      </c>
      <c r="H359" s="9" t="s">
        <v>1165</v>
      </c>
      <c r="I359" s="10">
        <v>45614</v>
      </c>
    </row>
    <row r="360" spans="1:9" x14ac:dyDescent="0.15">
      <c r="A360" s="9">
        <v>359</v>
      </c>
      <c r="B360" s="9" t="s">
        <v>9</v>
      </c>
      <c r="C360" s="9">
        <v>1926</v>
      </c>
      <c r="D360" s="10">
        <v>45722</v>
      </c>
      <c r="E360" s="11" t="str">
        <f>+HYPERLINK("http://trademark.i-assist.jp/data/china/image_1926th/82024164.pdf","82024164")</f>
        <v>82024164</v>
      </c>
      <c r="F360" s="9" t="s">
        <v>1166</v>
      </c>
      <c r="G360" s="9" t="s">
        <v>1167</v>
      </c>
      <c r="H360" s="9" t="s">
        <v>1168</v>
      </c>
      <c r="I360" s="10">
        <v>45614</v>
      </c>
    </row>
    <row r="361" spans="1:9" x14ac:dyDescent="0.15">
      <c r="A361" s="9">
        <v>360</v>
      </c>
      <c r="B361" s="9" t="s">
        <v>9</v>
      </c>
      <c r="C361" s="9">
        <v>1926</v>
      </c>
      <c r="D361" s="10">
        <v>45722</v>
      </c>
      <c r="E361" s="11" t="str">
        <f>+HYPERLINK("http://trademark.i-assist.jp/data/china/image_1926th/82025312.pdf","82025312")</f>
        <v>82025312</v>
      </c>
      <c r="F361" s="9" t="s">
        <v>1169</v>
      </c>
      <c r="G361" s="9" t="s">
        <v>1170</v>
      </c>
      <c r="H361" s="12" t="s">
        <v>1171</v>
      </c>
      <c r="I361" s="10">
        <v>45614</v>
      </c>
    </row>
    <row r="362" spans="1:9" x14ac:dyDescent="0.15">
      <c r="A362" s="9">
        <v>361</v>
      </c>
      <c r="B362" s="9" t="s">
        <v>9</v>
      </c>
      <c r="C362" s="9">
        <v>1926</v>
      </c>
      <c r="D362" s="10">
        <v>45722</v>
      </c>
      <c r="E362" s="11" t="str">
        <f>+HYPERLINK("http://trademark.i-assist.jp/data/china/image_1926th/82025637.pdf","82025637")</f>
        <v>82025637</v>
      </c>
      <c r="F362" s="12" t="s">
        <v>1172</v>
      </c>
      <c r="G362" s="9" t="s">
        <v>1173</v>
      </c>
      <c r="H362" s="9" t="s">
        <v>1174</v>
      </c>
      <c r="I362" s="10">
        <v>45614</v>
      </c>
    </row>
    <row r="363" spans="1:9" x14ac:dyDescent="0.15">
      <c r="A363" s="9">
        <v>362</v>
      </c>
      <c r="B363" s="9" t="s">
        <v>9</v>
      </c>
      <c r="C363" s="9">
        <v>1926</v>
      </c>
      <c r="D363" s="10">
        <v>45722</v>
      </c>
      <c r="E363" s="11" t="str">
        <f>+HYPERLINK("http://trademark.i-assist.jp/data/china/image_1926th/82025750.pdf","82025750")</f>
        <v>82025750</v>
      </c>
      <c r="F363" s="9" t="s">
        <v>1175</v>
      </c>
      <c r="G363" s="12" t="s">
        <v>1176</v>
      </c>
      <c r="H363" s="9" t="s">
        <v>1177</v>
      </c>
      <c r="I363" s="10">
        <v>45614</v>
      </c>
    </row>
    <row r="364" spans="1:9" x14ac:dyDescent="0.15">
      <c r="A364" s="9">
        <v>363</v>
      </c>
      <c r="B364" s="9" t="s">
        <v>9</v>
      </c>
      <c r="C364" s="9">
        <v>1926</v>
      </c>
      <c r="D364" s="10">
        <v>45722</v>
      </c>
      <c r="E364" s="11" t="str">
        <f>+HYPERLINK("http://trademark.i-assist.jp/data/china/image_1926th/82026182.pdf","82026182")</f>
        <v>82026182</v>
      </c>
      <c r="F364" s="9" t="s">
        <v>1178</v>
      </c>
      <c r="G364" s="9" t="s">
        <v>1179</v>
      </c>
      <c r="H364" s="12" t="s">
        <v>1180</v>
      </c>
      <c r="I364" s="10">
        <v>45614</v>
      </c>
    </row>
    <row r="365" spans="1:9" x14ac:dyDescent="0.15">
      <c r="A365" s="9">
        <v>364</v>
      </c>
      <c r="B365" s="9" t="s">
        <v>9</v>
      </c>
      <c r="C365" s="9">
        <v>1926</v>
      </c>
      <c r="D365" s="10">
        <v>45722</v>
      </c>
      <c r="E365" s="11" t="str">
        <f>+HYPERLINK("http://trademark.i-assist.jp/data/china/image_1926th/82026566.pdf","82026566")</f>
        <v>82026566</v>
      </c>
      <c r="F365" s="9" t="s">
        <v>1181</v>
      </c>
      <c r="G365" s="9" t="s">
        <v>1182</v>
      </c>
      <c r="H365" s="9" t="s">
        <v>1183</v>
      </c>
      <c r="I365" s="10">
        <v>45614</v>
      </c>
    </row>
    <row r="366" spans="1:9" x14ac:dyDescent="0.15">
      <c r="A366" s="9">
        <v>365</v>
      </c>
      <c r="B366" s="9" t="s">
        <v>9</v>
      </c>
      <c r="C366" s="9">
        <v>1926</v>
      </c>
      <c r="D366" s="10">
        <v>45722</v>
      </c>
      <c r="E366" s="11" t="str">
        <f>+HYPERLINK("http://trademark.i-assist.jp/data/china/image_1926th/82027841.pdf","82027841")</f>
        <v>82027841</v>
      </c>
      <c r="F366" s="9" t="s">
        <v>1184</v>
      </c>
      <c r="G366" s="9" t="s">
        <v>13</v>
      </c>
      <c r="H366" s="9" t="s">
        <v>1185</v>
      </c>
      <c r="I366" s="10">
        <v>45614</v>
      </c>
    </row>
    <row r="367" spans="1:9" x14ac:dyDescent="0.15">
      <c r="A367" s="9">
        <v>366</v>
      </c>
      <c r="B367" s="9" t="s">
        <v>9</v>
      </c>
      <c r="C367" s="9">
        <v>1926</v>
      </c>
      <c r="D367" s="10">
        <v>45722</v>
      </c>
      <c r="E367" s="11" t="str">
        <f>+HYPERLINK("http://trademark.i-assist.jp/data/china/image_1926th/82027866.pdf","82027866")</f>
        <v>82027866</v>
      </c>
      <c r="F367" s="9" t="s">
        <v>1186</v>
      </c>
      <c r="G367" s="9" t="s">
        <v>13</v>
      </c>
      <c r="H367" s="9" t="s">
        <v>1187</v>
      </c>
      <c r="I367" s="10">
        <v>45614</v>
      </c>
    </row>
    <row r="368" spans="1:9" x14ac:dyDescent="0.15">
      <c r="A368" s="9">
        <v>367</v>
      </c>
      <c r="B368" s="9" t="s">
        <v>9</v>
      </c>
      <c r="C368" s="9">
        <v>1926</v>
      </c>
      <c r="D368" s="10">
        <v>45722</v>
      </c>
      <c r="E368" s="11" t="str">
        <f>+HYPERLINK("http://trademark.i-assist.jp/data/china/image_1926th/82028173.pdf","82028173")</f>
        <v>82028173</v>
      </c>
      <c r="F368" s="9" t="s">
        <v>1188</v>
      </c>
      <c r="G368" s="9" t="s">
        <v>1189</v>
      </c>
      <c r="H368" s="9" t="s">
        <v>1190</v>
      </c>
      <c r="I368" s="10">
        <v>45614</v>
      </c>
    </row>
    <row r="369" spans="1:9" x14ac:dyDescent="0.15">
      <c r="A369" s="9">
        <v>368</v>
      </c>
      <c r="B369" s="9" t="s">
        <v>9</v>
      </c>
      <c r="C369" s="9">
        <v>1926</v>
      </c>
      <c r="D369" s="10">
        <v>45722</v>
      </c>
      <c r="E369" s="11" t="str">
        <f>+HYPERLINK("http://trademark.i-assist.jp/data/china/image_1926th/82028646.pdf","82028646")</f>
        <v>82028646</v>
      </c>
      <c r="F369" s="9" t="s">
        <v>1191</v>
      </c>
      <c r="G369" s="9" t="s">
        <v>1192</v>
      </c>
      <c r="H369" s="9" t="s">
        <v>1193</v>
      </c>
      <c r="I369" s="10">
        <v>45614</v>
      </c>
    </row>
    <row r="370" spans="1:9" x14ac:dyDescent="0.15">
      <c r="A370" s="9">
        <v>369</v>
      </c>
      <c r="B370" s="9" t="s">
        <v>9</v>
      </c>
      <c r="C370" s="9">
        <v>1926</v>
      </c>
      <c r="D370" s="10">
        <v>45722</v>
      </c>
      <c r="E370" s="11" t="str">
        <f>+HYPERLINK("http://trademark.i-assist.jp/data/china/image_1926th/82029871.pdf","82029871")</f>
        <v>82029871</v>
      </c>
      <c r="F370" s="12" t="s">
        <v>1194</v>
      </c>
      <c r="G370" s="9" t="s">
        <v>55</v>
      </c>
      <c r="H370" s="9" t="s">
        <v>1195</v>
      </c>
      <c r="I370" s="10">
        <v>45614</v>
      </c>
    </row>
    <row r="371" spans="1:9" x14ac:dyDescent="0.15">
      <c r="A371" s="9">
        <v>370</v>
      </c>
      <c r="B371" s="9" t="s">
        <v>9</v>
      </c>
      <c r="C371" s="9">
        <v>1926</v>
      </c>
      <c r="D371" s="10">
        <v>45722</v>
      </c>
      <c r="E371" s="11" t="str">
        <f>+HYPERLINK("http://trademark.i-assist.jp/data/china/image_1926th/82030176.pdf","82030176")</f>
        <v>82030176</v>
      </c>
      <c r="F371" s="9" t="s">
        <v>1196</v>
      </c>
      <c r="G371" s="12" t="s">
        <v>1197</v>
      </c>
      <c r="H371" s="9" t="s">
        <v>1198</v>
      </c>
      <c r="I371" s="10">
        <v>45614</v>
      </c>
    </row>
    <row r="372" spans="1:9" x14ac:dyDescent="0.15">
      <c r="A372" s="9">
        <v>371</v>
      </c>
      <c r="B372" s="9" t="s">
        <v>9</v>
      </c>
      <c r="C372" s="9">
        <v>1926</v>
      </c>
      <c r="D372" s="10">
        <v>45722</v>
      </c>
      <c r="E372" s="11" t="str">
        <f>+HYPERLINK("http://trademark.i-assist.jp/data/china/image_1926th/82030306.pdf","82030306")</f>
        <v>82030306</v>
      </c>
      <c r="F372" s="9" t="s">
        <v>1199</v>
      </c>
      <c r="G372" s="12" t="s">
        <v>1200</v>
      </c>
      <c r="H372" s="9" t="s">
        <v>1201</v>
      </c>
      <c r="I372" s="10">
        <v>45614</v>
      </c>
    </row>
    <row r="373" spans="1:9" x14ac:dyDescent="0.15">
      <c r="A373" s="9">
        <v>372</v>
      </c>
      <c r="B373" s="9" t="s">
        <v>9</v>
      </c>
      <c r="C373" s="9">
        <v>1926</v>
      </c>
      <c r="D373" s="10">
        <v>45722</v>
      </c>
      <c r="E373" s="11" t="str">
        <f>+HYPERLINK("http://trademark.i-assist.jp/data/china/image_1926th/82030375.pdf","82030375")</f>
        <v>82030375</v>
      </c>
      <c r="F373" s="9" t="s">
        <v>1202</v>
      </c>
      <c r="G373" s="9" t="s">
        <v>1203</v>
      </c>
      <c r="H373" s="9" t="s">
        <v>1204</v>
      </c>
      <c r="I373" s="10">
        <v>45614</v>
      </c>
    </row>
    <row r="374" spans="1:9" x14ac:dyDescent="0.15">
      <c r="A374" s="9">
        <v>373</v>
      </c>
      <c r="B374" s="9" t="s">
        <v>9</v>
      </c>
      <c r="C374" s="9">
        <v>1926</v>
      </c>
      <c r="D374" s="10">
        <v>45722</v>
      </c>
      <c r="E374" s="11" t="str">
        <f>+HYPERLINK("http://trademark.i-assist.jp/data/china/image_1926th/82031107.pdf","82031107")</f>
        <v>82031107</v>
      </c>
      <c r="F374" s="9" t="s">
        <v>1205</v>
      </c>
      <c r="G374" s="9" t="s">
        <v>1206</v>
      </c>
      <c r="H374" s="9" t="s">
        <v>1207</v>
      </c>
      <c r="I374" s="10">
        <v>45614</v>
      </c>
    </row>
    <row r="375" spans="1:9" x14ac:dyDescent="0.15">
      <c r="A375" s="9">
        <v>374</v>
      </c>
      <c r="B375" s="9" t="s">
        <v>9</v>
      </c>
      <c r="C375" s="9">
        <v>1926</v>
      </c>
      <c r="D375" s="10">
        <v>45722</v>
      </c>
      <c r="E375" s="11" t="str">
        <f>+HYPERLINK("http://trademark.i-assist.jp/data/china/image_1926th/82033166.pdf","82033166")</f>
        <v>82033166</v>
      </c>
      <c r="F375" s="9" t="s">
        <v>1208</v>
      </c>
      <c r="G375" s="9" t="s">
        <v>1209</v>
      </c>
      <c r="H375" s="9" t="s">
        <v>1210</v>
      </c>
      <c r="I375" s="10">
        <v>45614</v>
      </c>
    </row>
    <row r="376" spans="1:9" x14ac:dyDescent="0.15">
      <c r="A376" s="9">
        <v>375</v>
      </c>
      <c r="B376" s="9" t="s">
        <v>9</v>
      </c>
      <c r="C376" s="9">
        <v>1926</v>
      </c>
      <c r="D376" s="10">
        <v>45722</v>
      </c>
      <c r="E376" s="11" t="str">
        <f>+HYPERLINK("http://trademark.i-assist.jp/data/china/image_1926th/82033507.pdf","82033507")</f>
        <v>82033507</v>
      </c>
      <c r="F376" s="12" t="s">
        <v>1211</v>
      </c>
      <c r="G376" s="9" t="s">
        <v>1212</v>
      </c>
      <c r="H376" s="9" t="s">
        <v>1213</v>
      </c>
      <c r="I376" s="10">
        <v>45614</v>
      </c>
    </row>
    <row r="377" spans="1:9" x14ac:dyDescent="0.15">
      <c r="A377" s="9">
        <v>376</v>
      </c>
      <c r="B377" s="9" t="s">
        <v>9</v>
      </c>
      <c r="C377" s="9">
        <v>1926</v>
      </c>
      <c r="D377" s="10">
        <v>45722</v>
      </c>
      <c r="E377" s="11" t="str">
        <f>+HYPERLINK("http://trademark.i-assist.jp/data/china/image_1926th/82034716.pdf","82034716")</f>
        <v>82034716</v>
      </c>
      <c r="F377" s="9" t="s">
        <v>1214</v>
      </c>
      <c r="G377" s="12" t="s">
        <v>1215</v>
      </c>
      <c r="H377" s="9" t="s">
        <v>1216</v>
      </c>
      <c r="I377" s="10">
        <v>45614</v>
      </c>
    </row>
    <row r="378" spans="1:9" x14ac:dyDescent="0.15">
      <c r="A378" s="9">
        <v>377</v>
      </c>
      <c r="B378" s="9" t="s">
        <v>9</v>
      </c>
      <c r="C378" s="9">
        <v>1926</v>
      </c>
      <c r="D378" s="10">
        <v>45722</v>
      </c>
      <c r="E378" s="11" t="str">
        <f>+HYPERLINK("http://trademark.i-assist.jp/data/china/image_1926th/82036049.pdf","82036049")</f>
        <v>82036049</v>
      </c>
      <c r="F378" s="9" t="s">
        <v>1217</v>
      </c>
      <c r="G378" s="12" t="s">
        <v>1200</v>
      </c>
      <c r="H378" s="9" t="s">
        <v>1218</v>
      </c>
      <c r="I378" s="10">
        <v>45614</v>
      </c>
    </row>
    <row r="379" spans="1:9" x14ac:dyDescent="0.15">
      <c r="A379" s="9">
        <v>378</v>
      </c>
      <c r="B379" s="9" t="s">
        <v>9</v>
      </c>
      <c r="C379" s="9">
        <v>1926</v>
      </c>
      <c r="D379" s="10">
        <v>45722</v>
      </c>
      <c r="E379" s="11" t="str">
        <f>+HYPERLINK("http://trademark.i-assist.jp/data/china/image_1926th/82036558.pdf","82036558")</f>
        <v>82036558</v>
      </c>
      <c r="F379" s="9" t="s">
        <v>1219</v>
      </c>
      <c r="G379" s="9" t="s">
        <v>1220</v>
      </c>
      <c r="H379" s="9" t="s">
        <v>1221</v>
      </c>
      <c r="I379" s="10">
        <v>45614</v>
      </c>
    </row>
    <row r="380" spans="1:9" x14ac:dyDescent="0.15">
      <c r="A380" s="9">
        <v>379</v>
      </c>
      <c r="B380" s="9" t="s">
        <v>9</v>
      </c>
      <c r="C380" s="9">
        <v>1926</v>
      </c>
      <c r="D380" s="10">
        <v>45722</v>
      </c>
      <c r="E380" s="11" t="str">
        <f>+HYPERLINK("http://trademark.i-assist.jp/data/china/image_1926th/82037595.pdf","82037595")</f>
        <v>82037595</v>
      </c>
      <c r="F380" s="9" t="s">
        <v>1222</v>
      </c>
      <c r="G380" s="9" t="s">
        <v>1223</v>
      </c>
      <c r="H380" s="9" t="s">
        <v>1224</v>
      </c>
      <c r="I380" s="10">
        <v>45614</v>
      </c>
    </row>
    <row r="381" spans="1:9" x14ac:dyDescent="0.15">
      <c r="A381" s="9">
        <v>380</v>
      </c>
      <c r="B381" s="9" t="s">
        <v>9</v>
      </c>
      <c r="C381" s="9">
        <v>1926</v>
      </c>
      <c r="D381" s="10">
        <v>45722</v>
      </c>
      <c r="E381" s="11" t="str">
        <f>+HYPERLINK("http://trademark.i-assist.jp/data/china/image_1926th/82037659.pdf","82037659")</f>
        <v>82037659</v>
      </c>
      <c r="F381" s="9" t="s">
        <v>1225</v>
      </c>
      <c r="G381" s="9" t="s">
        <v>1226</v>
      </c>
      <c r="H381" s="9" t="s">
        <v>1227</v>
      </c>
      <c r="I381" s="10">
        <v>45614</v>
      </c>
    </row>
    <row r="382" spans="1:9" x14ac:dyDescent="0.15">
      <c r="A382" s="9">
        <v>381</v>
      </c>
      <c r="B382" s="9" t="s">
        <v>9</v>
      </c>
      <c r="C382" s="9">
        <v>1926</v>
      </c>
      <c r="D382" s="10">
        <v>45722</v>
      </c>
      <c r="E382" s="11" t="str">
        <f>+HYPERLINK("http://trademark.i-assist.jp/data/china/image_1926th/82037676.pdf","82037676")</f>
        <v>82037676</v>
      </c>
      <c r="F382" s="9" t="s">
        <v>1228</v>
      </c>
      <c r="G382" s="12" t="s">
        <v>1200</v>
      </c>
      <c r="H382" s="9" t="s">
        <v>1229</v>
      </c>
      <c r="I382" s="10">
        <v>45614</v>
      </c>
    </row>
    <row r="383" spans="1:9" x14ac:dyDescent="0.15">
      <c r="A383" s="9">
        <v>382</v>
      </c>
      <c r="B383" s="9" t="s">
        <v>9</v>
      </c>
      <c r="C383" s="9">
        <v>1926</v>
      </c>
      <c r="D383" s="10">
        <v>45722</v>
      </c>
      <c r="E383" s="11" t="str">
        <f>+HYPERLINK("http://trademark.i-assist.jp/data/china/image_1926th/82038365.pdf","82038365")</f>
        <v>82038365</v>
      </c>
      <c r="F383" s="12" t="s">
        <v>1230</v>
      </c>
      <c r="G383" s="9" t="s">
        <v>55</v>
      </c>
      <c r="H383" s="9" t="s">
        <v>1231</v>
      </c>
      <c r="I383" s="10">
        <v>45614</v>
      </c>
    </row>
    <row r="384" spans="1:9" x14ac:dyDescent="0.15">
      <c r="A384" s="9">
        <v>383</v>
      </c>
      <c r="B384" s="9" t="s">
        <v>9</v>
      </c>
      <c r="C384" s="9">
        <v>1926</v>
      </c>
      <c r="D384" s="10">
        <v>45722</v>
      </c>
      <c r="E384" s="11" t="str">
        <f>+HYPERLINK("http://trademark.i-assist.jp/data/china/image_1926th/82039349.pdf","82039349")</f>
        <v>82039349</v>
      </c>
      <c r="F384" s="9" t="s">
        <v>1232</v>
      </c>
      <c r="G384" s="9" t="s">
        <v>1233</v>
      </c>
      <c r="H384" s="9" t="s">
        <v>1234</v>
      </c>
      <c r="I384" s="10">
        <v>45614</v>
      </c>
    </row>
    <row r="385" spans="1:9" x14ac:dyDescent="0.15">
      <c r="A385" s="9">
        <v>384</v>
      </c>
      <c r="B385" s="9" t="s">
        <v>9</v>
      </c>
      <c r="C385" s="9">
        <v>1926</v>
      </c>
      <c r="D385" s="10">
        <v>45722</v>
      </c>
      <c r="E385" s="11" t="str">
        <f>+HYPERLINK("http://trademark.i-assist.jp/data/china/image_1926th/82039591.pdf","82039591")</f>
        <v>82039591</v>
      </c>
      <c r="F385" s="9" t="s">
        <v>1235</v>
      </c>
      <c r="G385" s="12" t="s">
        <v>1236</v>
      </c>
      <c r="H385" s="9" t="s">
        <v>1237</v>
      </c>
      <c r="I385" s="10">
        <v>45614</v>
      </c>
    </row>
    <row r="386" spans="1:9" x14ac:dyDescent="0.15">
      <c r="A386" s="9">
        <v>385</v>
      </c>
      <c r="B386" s="9" t="s">
        <v>9</v>
      </c>
      <c r="C386" s="9">
        <v>1926</v>
      </c>
      <c r="D386" s="10">
        <v>45722</v>
      </c>
      <c r="E386" s="11" t="str">
        <f>+HYPERLINK("http://trademark.i-assist.jp/data/china/image_1926th/82040052.pdf","82040052")</f>
        <v>82040052</v>
      </c>
      <c r="F386" s="9" t="s">
        <v>1238</v>
      </c>
      <c r="G386" s="9" t="s">
        <v>1239</v>
      </c>
      <c r="H386" s="9" t="s">
        <v>1240</v>
      </c>
      <c r="I386" s="10">
        <v>45614</v>
      </c>
    </row>
    <row r="387" spans="1:9" x14ac:dyDescent="0.15">
      <c r="A387" s="9">
        <v>386</v>
      </c>
      <c r="B387" s="9" t="s">
        <v>9</v>
      </c>
      <c r="C387" s="9">
        <v>1926</v>
      </c>
      <c r="D387" s="10">
        <v>45722</v>
      </c>
      <c r="E387" s="11" t="str">
        <f>+HYPERLINK("http://trademark.i-assist.jp/data/china/image_1926th/82041721.pdf","82041721")</f>
        <v>82041721</v>
      </c>
      <c r="F387" s="9" t="s">
        <v>1241</v>
      </c>
      <c r="G387" s="12" t="s">
        <v>1242</v>
      </c>
      <c r="H387" s="9" t="s">
        <v>1243</v>
      </c>
      <c r="I387" s="10">
        <v>45615</v>
      </c>
    </row>
    <row r="388" spans="1:9" x14ac:dyDescent="0.15">
      <c r="A388" s="9">
        <v>387</v>
      </c>
      <c r="B388" s="9" t="s">
        <v>9</v>
      </c>
      <c r="C388" s="9">
        <v>1926</v>
      </c>
      <c r="D388" s="10">
        <v>45722</v>
      </c>
      <c r="E388" s="11" t="str">
        <f>+HYPERLINK("http://trademark.i-assist.jp/data/china/image_1926th/82042062.pdf","82042062")</f>
        <v>82042062</v>
      </c>
      <c r="F388" s="12" t="s">
        <v>1244</v>
      </c>
      <c r="G388" s="9" t="s">
        <v>1245</v>
      </c>
      <c r="H388" s="9" t="s">
        <v>1246</v>
      </c>
      <c r="I388" s="10">
        <v>45615</v>
      </c>
    </row>
    <row r="389" spans="1:9" x14ac:dyDescent="0.15">
      <c r="A389" s="9">
        <v>388</v>
      </c>
      <c r="B389" s="9" t="s">
        <v>9</v>
      </c>
      <c r="C389" s="9">
        <v>1926</v>
      </c>
      <c r="D389" s="10">
        <v>45722</v>
      </c>
      <c r="E389" s="11" t="str">
        <f>+HYPERLINK("http://trademark.i-assist.jp/data/china/image_1926th/82043559.pdf","82043559")</f>
        <v>82043559</v>
      </c>
      <c r="F389" s="9" t="s">
        <v>1247</v>
      </c>
      <c r="G389" s="9" t="s">
        <v>58</v>
      </c>
      <c r="H389" s="9" t="s">
        <v>1248</v>
      </c>
      <c r="I389" s="10">
        <v>45615</v>
      </c>
    </row>
    <row r="390" spans="1:9" x14ac:dyDescent="0.15">
      <c r="A390" s="9">
        <v>389</v>
      </c>
      <c r="B390" s="9" t="s">
        <v>9</v>
      </c>
      <c r="C390" s="9">
        <v>1926</v>
      </c>
      <c r="D390" s="10">
        <v>45722</v>
      </c>
      <c r="E390" s="11" t="str">
        <f>+HYPERLINK("http://trademark.i-assist.jp/data/china/image_1926th/82043831.pdf","82043831")</f>
        <v>82043831</v>
      </c>
      <c r="F390" s="9" t="s">
        <v>1249</v>
      </c>
      <c r="G390" s="9" t="s">
        <v>1250</v>
      </c>
      <c r="H390" s="9" t="s">
        <v>1251</v>
      </c>
      <c r="I390" s="10">
        <v>45615</v>
      </c>
    </row>
    <row r="391" spans="1:9" x14ac:dyDescent="0.15">
      <c r="A391" s="9">
        <v>390</v>
      </c>
      <c r="B391" s="9" t="s">
        <v>9</v>
      </c>
      <c r="C391" s="9">
        <v>1926</v>
      </c>
      <c r="D391" s="10">
        <v>45722</v>
      </c>
      <c r="E391" s="11" t="str">
        <f>+HYPERLINK("http://trademark.i-assist.jp/data/china/image_1926th/82044123.pdf","82044123")</f>
        <v>82044123</v>
      </c>
      <c r="F391" s="9" t="s">
        <v>1252</v>
      </c>
      <c r="G391" s="9" t="s">
        <v>1253</v>
      </c>
      <c r="H391" s="9" t="s">
        <v>1254</v>
      </c>
      <c r="I391" s="10">
        <v>45615</v>
      </c>
    </row>
    <row r="392" spans="1:9" x14ac:dyDescent="0.15">
      <c r="A392" s="9">
        <v>391</v>
      </c>
      <c r="B392" s="9" t="s">
        <v>9</v>
      </c>
      <c r="C392" s="9">
        <v>1926</v>
      </c>
      <c r="D392" s="10">
        <v>45722</v>
      </c>
      <c r="E392" s="11" t="str">
        <f>+HYPERLINK("http://trademark.i-assist.jp/data/china/image_1926th/82044648.pdf","82044648")</f>
        <v>82044648</v>
      </c>
      <c r="F392" s="12" t="s">
        <v>20</v>
      </c>
      <c r="G392" s="9" t="s">
        <v>1255</v>
      </c>
      <c r="H392" s="9" t="s">
        <v>1256</v>
      </c>
      <c r="I392" s="10">
        <v>45615</v>
      </c>
    </row>
    <row r="393" spans="1:9" x14ac:dyDescent="0.15">
      <c r="A393" s="9">
        <v>392</v>
      </c>
      <c r="B393" s="9" t="s">
        <v>9</v>
      </c>
      <c r="C393" s="9">
        <v>1926</v>
      </c>
      <c r="D393" s="10">
        <v>45722</v>
      </c>
      <c r="E393" s="11" t="str">
        <f>+HYPERLINK("http://trademark.i-assist.jp/data/china/image_1926th/82045780.pdf","82045780")</f>
        <v>82045780</v>
      </c>
      <c r="F393" s="9" t="s">
        <v>1257</v>
      </c>
      <c r="G393" s="9" t="s">
        <v>1258</v>
      </c>
      <c r="H393" s="9" t="s">
        <v>1259</v>
      </c>
      <c r="I393" s="10">
        <v>45615</v>
      </c>
    </row>
    <row r="394" spans="1:9" x14ac:dyDescent="0.15">
      <c r="A394" s="9">
        <v>393</v>
      </c>
      <c r="B394" s="9" t="s">
        <v>9</v>
      </c>
      <c r="C394" s="9">
        <v>1926</v>
      </c>
      <c r="D394" s="10">
        <v>45722</v>
      </c>
      <c r="E394" s="11" t="str">
        <f>+HYPERLINK("http://trademark.i-assist.jp/data/china/image_1926th/82046714.pdf","82046714")</f>
        <v>82046714</v>
      </c>
      <c r="F394" s="9" t="s">
        <v>1260</v>
      </c>
      <c r="G394" s="9" t="s">
        <v>1261</v>
      </c>
      <c r="H394" s="9" t="s">
        <v>1262</v>
      </c>
      <c r="I394" s="10">
        <v>45615</v>
      </c>
    </row>
    <row r="395" spans="1:9" x14ac:dyDescent="0.15">
      <c r="A395" s="9">
        <v>394</v>
      </c>
      <c r="B395" s="9" t="s">
        <v>9</v>
      </c>
      <c r="C395" s="9">
        <v>1926</v>
      </c>
      <c r="D395" s="10">
        <v>45722</v>
      </c>
      <c r="E395" s="11" t="str">
        <f>+HYPERLINK("http://trademark.i-assist.jp/data/china/image_1926th/82047310.pdf","82047310")</f>
        <v>82047310</v>
      </c>
      <c r="F395" s="12" t="s">
        <v>1263</v>
      </c>
      <c r="G395" s="9" t="s">
        <v>1245</v>
      </c>
      <c r="H395" s="9" t="s">
        <v>1264</v>
      </c>
      <c r="I395" s="10">
        <v>45615</v>
      </c>
    </row>
    <row r="396" spans="1:9" x14ac:dyDescent="0.15">
      <c r="A396" s="9">
        <v>395</v>
      </c>
      <c r="B396" s="9" t="s">
        <v>9</v>
      </c>
      <c r="C396" s="9">
        <v>1926</v>
      </c>
      <c r="D396" s="10">
        <v>45722</v>
      </c>
      <c r="E396" s="11" t="str">
        <f>+HYPERLINK("http://trademark.i-assist.jp/data/china/image_1926th/82048383.pdf","82048383")</f>
        <v>82048383</v>
      </c>
      <c r="F396" s="9" t="s">
        <v>1265</v>
      </c>
      <c r="G396" s="9" t="s">
        <v>1266</v>
      </c>
      <c r="H396" s="9" t="s">
        <v>1267</v>
      </c>
      <c r="I396" s="10">
        <v>45615</v>
      </c>
    </row>
    <row r="397" spans="1:9" x14ac:dyDescent="0.15">
      <c r="A397" s="9">
        <v>396</v>
      </c>
      <c r="B397" s="9" t="s">
        <v>9</v>
      </c>
      <c r="C397" s="9">
        <v>1926</v>
      </c>
      <c r="D397" s="10">
        <v>45722</v>
      </c>
      <c r="E397" s="11" t="str">
        <f>+HYPERLINK("http://trademark.i-assist.jp/data/china/image_1926th/82049476.pdf","82049476")</f>
        <v>82049476</v>
      </c>
      <c r="F397" s="12" t="s">
        <v>20</v>
      </c>
      <c r="G397" s="9" t="s">
        <v>1268</v>
      </c>
      <c r="H397" s="9" t="s">
        <v>1269</v>
      </c>
      <c r="I397" s="10">
        <v>45615</v>
      </c>
    </row>
    <row r="398" spans="1:9" x14ac:dyDescent="0.15">
      <c r="A398" s="9">
        <v>397</v>
      </c>
      <c r="B398" s="9" t="s">
        <v>9</v>
      </c>
      <c r="C398" s="9">
        <v>1926</v>
      </c>
      <c r="D398" s="10">
        <v>45722</v>
      </c>
      <c r="E398" s="11" t="str">
        <f>+HYPERLINK("http://trademark.i-assist.jp/data/china/image_1926th/82049905.pdf","82049905")</f>
        <v>82049905</v>
      </c>
      <c r="F398" s="12" t="s">
        <v>20</v>
      </c>
      <c r="G398" s="9" t="s">
        <v>1270</v>
      </c>
      <c r="H398" s="9" t="s">
        <v>1271</v>
      </c>
      <c r="I398" s="10">
        <v>45615</v>
      </c>
    </row>
    <row r="399" spans="1:9" x14ac:dyDescent="0.15">
      <c r="A399" s="9">
        <v>398</v>
      </c>
      <c r="B399" s="9" t="s">
        <v>9</v>
      </c>
      <c r="C399" s="9">
        <v>1926</v>
      </c>
      <c r="D399" s="10">
        <v>45722</v>
      </c>
      <c r="E399" s="11" t="str">
        <f>+HYPERLINK("http://trademark.i-assist.jp/data/china/image_1926th/82052038.pdf","82052038")</f>
        <v>82052038</v>
      </c>
      <c r="F399" s="9" t="s">
        <v>1272</v>
      </c>
      <c r="G399" s="9" t="s">
        <v>1245</v>
      </c>
      <c r="H399" s="9" t="s">
        <v>1273</v>
      </c>
      <c r="I399" s="10">
        <v>45615</v>
      </c>
    </row>
    <row r="400" spans="1:9" x14ac:dyDescent="0.15">
      <c r="A400" s="9">
        <v>399</v>
      </c>
      <c r="B400" s="9" t="s">
        <v>9</v>
      </c>
      <c r="C400" s="9">
        <v>1926</v>
      </c>
      <c r="D400" s="10">
        <v>45722</v>
      </c>
      <c r="E400" s="11" t="str">
        <f>+HYPERLINK("http://trademark.i-assist.jp/data/china/image_1926th/82052357.pdf","82052357")</f>
        <v>82052357</v>
      </c>
      <c r="F400" s="9" t="s">
        <v>1274</v>
      </c>
      <c r="G400" s="9" t="s">
        <v>1275</v>
      </c>
      <c r="H400" s="12" t="s">
        <v>1276</v>
      </c>
      <c r="I400" s="10">
        <v>45615</v>
      </c>
    </row>
    <row r="401" spans="1:9" x14ac:dyDescent="0.15">
      <c r="A401" s="9">
        <v>400</v>
      </c>
      <c r="B401" s="9" t="s">
        <v>9</v>
      </c>
      <c r="C401" s="9">
        <v>1926</v>
      </c>
      <c r="D401" s="10">
        <v>45722</v>
      </c>
      <c r="E401" s="11" t="str">
        <f>+HYPERLINK("http://trademark.i-assist.jp/data/china/image_1926th/82052650.pdf","82052650")</f>
        <v>82052650</v>
      </c>
      <c r="F401" s="9" t="s">
        <v>1277</v>
      </c>
      <c r="G401" s="9" t="s">
        <v>1278</v>
      </c>
      <c r="H401" s="9" t="s">
        <v>1279</v>
      </c>
      <c r="I401" s="10">
        <v>45615</v>
      </c>
    </row>
    <row r="402" spans="1:9" x14ac:dyDescent="0.15">
      <c r="A402" s="9">
        <v>401</v>
      </c>
      <c r="B402" s="9" t="s">
        <v>9</v>
      </c>
      <c r="C402" s="9">
        <v>1926</v>
      </c>
      <c r="D402" s="10">
        <v>45722</v>
      </c>
      <c r="E402" s="11" t="str">
        <f>+HYPERLINK("http://trademark.i-assist.jp/data/china/image_1926th/82052724.pdf","82052724")</f>
        <v>82052724</v>
      </c>
      <c r="F402" s="9" t="s">
        <v>1280</v>
      </c>
      <c r="G402" s="9" t="s">
        <v>1281</v>
      </c>
      <c r="H402" s="9" t="s">
        <v>1282</v>
      </c>
      <c r="I402" s="10">
        <v>45615</v>
      </c>
    </row>
    <row r="403" spans="1:9" x14ac:dyDescent="0.15">
      <c r="A403" s="9">
        <v>402</v>
      </c>
      <c r="B403" s="9" t="s">
        <v>9</v>
      </c>
      <c r="C403" s="9">
        <v>1926</v>
      </c>
      <c r="D403" s="10">
        <v>45722</v>
      </c>
      <c r="E403" s="11" t="str">
        <f>+HYPERLINK("http://trademark.i-assist.jp/data/china/image_1926th/82053483.pdf","82053483")</f>
        <v>82053483</v>
      </c>
      <c r="F403" s="12" t="s">
        <v>1283</v>
      </c>
      <c r="G403" s="9" t="s">
        <v>60</v>
      </c>
      <c r="H403" s="9" t="s">
        <v>1284</v>
      </c>
      <c r="I403" s="10">
        <v>45615</v>
      </c>
    </row>
    <row r="404" spans="1:9" x14ac:dyDescent="0.15">
      <c r="A404" s="9">
        <v>403</v>
      </c>
      <c r="B404" s="9" t="s">
        <v>9</v>
      </c>
      <c r="C404" s="9">
        <v>1926</v>
      </c>
      <c r="D404" s="10">
        <v>45722</v>
      </c>
      <c r="E404" s="11" t="str">
        <f>+HYPERLINK("http://trademark.i-assist.jp/data/china/image_1926th/82053620.pdf","82053620")</f>
        <v>82053620</v>
      </c>
      <c r="F404" s="9" t="s">
        <v>1285</v>
      </c>
      <c r="G404" s="9" t="s">
        <v>1286</v>
      </c>
      <c r="H404" s="9" t="s">
        <v>1287</v>
      </c>
      <c r="I404" s="10">
        <v>45615</v>
      </c>
    </row>
    <row r="405" spans="1:9" x14ac:dyDescent="0.15">
      <c r="A405" s="9">
        <v>404</v>
      </c>
      <c r="B405" s="9" t="s">
        <v>9</v>
      </c>
      <c r="C405" s="9">
        <v>1926</v>
      </c>
      <c r="D405" s="10">
        <v>45722</v>
      </c>
      <c r="E405" s="11" t="str">
        <f>+HYPERLINK("http://trademark.i-assist.jp/data/china/image_1926th/82053641.pdf","82053641")</f>
        <v>82053641</v>
      </c>
      <c r="F405" s="12" t="s">
        <v>1288</v>
      </c>
      <c r="G405" s="9" t="s">
        <v>1289</v>
      </c>
      <c r="H405" s="9" t="s">
        <v>1290</v>
      </c>
      <c r="I405" s="10">
        <v>45615</v>
      </c>
    </row>
    <row r="406" spans="1:9" x14ac:dyDescent="0.15">
      <c r="A406" s="9">
        <v>405</v>
      </c>
      <c r="B406" s="9" t="s">
        <v>9</v>
      </c>
      <c r="C406" s="9">
        <v>1926</v>
      </c>
      <c r="D406" s="10">
        <v>45722</v>
      </c>
      <c r="E406" s="11" t="str">
        <f>+HYPERLINK("http://trademark.i-assist.jp/data/china/image_1926th/82054152.pdf","82054152")</f>
        <v>82054152</v>
      </c>
      <c r="F406" s="9" t="s">
        <v>1291</v>
      </c>
      <c r="G406" s="12" t="s">
        <v>1292</v>
      </c>
      <c r="H406" s="9" t="s">
        <v>1293</v>
      </c>
      <c r="I406" s="10">
        <v>45615</v>
      </c>
    </row>
    <row r="407" spans="1:9" x14ac:dyDescent="0.15">
      <c r="A407" s="9">
        <v>406</v>
      </c>
      <c r="B407" s="9" t="s">
        <v>9</v>
      </c>
      <c r="C407" s="9">
        <v>1926</v>
      </c>
      <c r="D407" s="10">
        <v>45722</v>
      </c>
      <c r="E407" s="11" t="str">
        <f>+HYPERLINK("http://trademark.i-assist.jp/data/china/image_1926th/82054490.pdf","82054490")</f>
        <v>82054490</v>
      </c>
      <c r="F407" s="9" t="s">
        <v>1294</v>
      </c>
      <c r="G407" s="9" t="s">
        <v>1295</v>
      </c>
      <c r="H407" s="9" t="s">
        <v>1296</v>
      </c>
      <c r="I407" s="10">
        <v>45615</v>
      </c>
    </row>
    <row r="408" spans="1:9" x14ac:dyDescent="0.15">
      <c r="A408" s="9">
        <v>407</v>
      </c>
      <c r="B408" s="9" t="s">
        <v>9</v>
      </c>
      <c r="C408" s="9">
        <v>1926</v>
      </c>
      <c r="D408" s="10">
        <v>45722</v>
      </c>
      <c r="E408" s="11" t="str">
        <f>+HYPERLINK("http://trademark.i-assist.jp/data/china/image_1926th/82054604.pdf","82054604")</f>
        <v>82054604</v>
      </c>
      <c r="F408" s="9" t="s">
        <v>1297</v>
      </c>
      <c r="G408" s="9" t="s">
        <v>1298</v>
      </c>
      <c r="H408" s="9" t="s">
        <v>1299</v>
      </c>
      <c r="I408" s="10">
        <v>45615</v>
      </c>
    </row>
    <row r="409" spans="1:9" x14ac:dyDescent="0.15">
      <c r="A409" s="9">
        <v>408</v>
      </c>
      <c r="B409" s="9" t="s">
        <v>9</v>
      </c>
      <c r="C409" s="9">
        <v>1926</v>
      </c>
      <c r="D409" s="10">
        <v>45722</v>
      </c>
      <c r="E409" s="11" t="str">
        <f>+HYPERLINK("http://trademark.i-assist.jp/data/china/image_1926th/82055380.pdf","82055380")</f>
        <v>82055380</v>
      </c>
      <c r="F409" s="9" t="s">
        <v>1300</v>
      </c>
      <c r="G409" s="9" t="s">
        <v>1301</v>
      </c>
      <c r="H409" s="9" t="s">
        <v>1302</v>
      </c>
      <c r="I409" s="10">
        <v>45615</v>
      </c>
    </row>
    <row r="410" spans="1:9" x14ac:dyDescent="0.15">
      <c r="A410" s="9">
        <v>409</v>
      </c>
      <c r="B410" s="9" t="s">
        <v>9</v>
      </c>
      <c r="C410" s="9">
        <v>1926</v>
      </c>
      <c r="D410" s="10">
        <v>45722</v>
      </c>
      <c r="E410" s="11" t="str">
        <f>+HYPERLINK("http://trademark.i-assist.jp/data/china/image_1926th/82055587.pdf","82055587")</f>
        <v>82055587</v>
      </c>
      <c r="F410" s="9" t="s">
        <v>1303</v>
      </c>
      <c r="G410" s="12" t="s">
        <v>1304</v>
      </c>
      <c r="H410" s="9" t="s">
        <v>1305</v>
      </c>
      <c r="I410" s="10">
        <v>45615</v>
      </c>
    </row>
    <row r="411" spans="1:9" x14ac:dyDescent="0.15">
      <c r="A411" s="9">
        <v>410</v>
      </c>
      <c r="B411" s="9" t="s">
        <v>9</v>
      </c>
      <c r="C411" s="9">
        <v>1926</v>
      </c>
      <c r="D411" s="10">
        <v>45722</v>
      </c>
      <c r="E411" s="11" t="str">
        <f>+HYPERLINK("http://trademark.i-assist.jp/data/china/image_1926th/82055595.pdf","82055595")</f>
        <v>82055595</v>
      </c>
      <c r="F411" s="9" t="s">
        <v>1306</v>
      </c>
      <c r="G411" s="9" t="s">
        <v>1307</v>
      </c>
      <c r="H411" s="9" t="s">
        <v>1308</v>
      </c>
      <c r="I411" s="10">
        <v>45615</v>
      </c>
    </row>
    <row r="412" spans="1:9" x14ac:dyDescent="0.15">
      <c r="A412" s="9">
        <v>411</v>
      </c>
      <c r="B412" s="9" t="s">
        <v>9</v>
      </c>
      <c r="C412" s="9">
        <v>1926</v>
      </c>
      <c r="D412" s="10">
        <v>45722</v>
      </c>
      <c r="E412" s="11" t="str">
        <f>+HYPERLINK("http://trademark.i-assist.jp/data/china/image_1926th/82055805.pdf","82055805")</f>
        <v>82055805</v>
      </c>
      <c r="F412" s="9" t="s">
        <v>1309</v>
      </c>
      <c r="G412" s="12" t="s">
        <v>1310</v>
      </c>
      <c r="H412" s="9" t="s">
        <v>1311</v>
      </c>
      <c r="I412" s="10">
        <v>45615</v>
      </c>
    </row>
    <row r="413" spans="1:9" x14ac:dyDescent="0.15">
      <c r="A413" s="9">
        <v>412</v>
      </c>
      <c r="B413" s="9" t="s">
        <v>9</v>
      </c>
      <c r="C413" s="9">
        <v>1926</v>
      </c>
      <c r="D413" s="10">
        <v>45722</v>
      </c>
      <c r="E413" s="11" t="str">
        <f>+HYPERLINK("http://trademark.i-assist.jp/data/china/image_1926th/82056461.pdf","82056461")</f>
        <v>82056461</v>
      </c>
      <c r="F413" s="12" t="s">
        <v>1312</v>
      </c>
      <c r="G413" s="9" t="s">
        <v>1313</v>
      </c>
      <c r="H413" s="9" t="s">
        <v>1314</v>
      </c>
      <c r="I413" s="10">
        <v>45615</v>
      </c>
    </row>
    <row r="414" spans="1:9" x14ac:dyDescent="0.15">
      <c r="A414" s="9">
        <v>413</v>
      </c>
      <c r="B414" s="9" t="s">
        <v>9</v>
      </c>
      <c r="C414" s="9">
        <v>1926</v>
      </c>
      <c r="D414" s="10">
        <v>45722</v>
      </c>
      <c r="E414" s="11" t="str">
        <f>+HYPERLINK("http://trademark.i-assist.jp/data/china/image_1926th/82057597.pdf","82057597")</f>
        <v>82057597</v>
      </c>
      <c r="F414" s="9" t="s">
        <v>1315</v>
      </c>
      <c r="G414" s="9" t="s">
        <v>1250</v>
      </c>
      <c r="H414" s="9" t="s">
        <v>1316</v>
      </c>
      <c r="I414" s="10">
        <v>45615</v>
      </c>
    </row>
    <row r="415" spans="1:9" x14ac:dyDescent="0.15">
      <c r="A415" s="9">
        <v>414</v>
      </c>
      <c r="B415" s="9" t="s">
        <v>9</v>
      </c>
      <c r="C415" s="9">
        <v>1926</v>
      </c>
      <c r="D415" s="10">
        <v>45722</v>
      </c>
      <c r="E415" s="11" t="str">
        <f>+HYPERLINK("http://trademark.i-assist.jp/data/china/image_1926th/82058239.pdf","82058239")</f>
        <v>82058239</v>
      </c>
      <c r="F415" s="9" t="s">
        <v>1317</v>
      </c>
      <c r="G415" s="9" t="s">
        <v>1318</v>
      </c>
      <c r="H415" s="9" t="s">
        <v>1319</v>
      </c>
      <c r="I415" s="10">
        <v>45615</v>
      </c>
    </row>
    <row r="416" spans="1:9" x14ac:dyDescent="0.15">
      <c r="A416" s="9">
        <v>415</v>
      </c>
      <c r="B416" s="9" t="s">
        <v>9</v>
      </c>
      <c r="C416" s="9">
        <v>1926</v>
      </c>
      <c r="D416" s="10">
        <v>45722</v>
      </c>
      <c r="E416" s="11" t="str">
        <f>+HYPERLINK("http://trademark.i-assist.jp/data/china/image_1926th/82059708.pdf","82059708")</f>
        <v>82059708</v>
      </c>
      <c r="F416" s="9" t="s">
        <v>1320</v>
      </c>
      <c r="G416" s="9" t="s">
        <v>1321</v>
      </c>
      <c r="H416" s="9" t="s">
        <v>1322</v>
      </c>
      <c r="I416" s="10">
        <v>45615</v>
      </c>
    </row>
    <row r="417" spans="1:9" x14ac:dyDescent="0.15">
      <c r="A417" s="9">
        <v>416</v>
      </c>
      <c r="B417" s="9" t="s">
        <v>9</v>
      </c>
      <c r="C417" s="9">
        <v>1926</v>
      </c>
      <c r="D417" s="10">
        <v>45722</v>
      </c>
      <c r="E417" s="11" t="str">
        <f>+HYPERLINK("http://trademark.i-assist.jp/data/china/image_1926th/82061466.pdf","82061466")</f>
        <v>82061466</v>
      </c>
      <c r="F417" s="9" t="s">
        <v>1323</v>
      </c>
      <c r="G417" s="12" t="s">
        <v>1324</v>
      </c>
      <c r="H417" s="9" t="s">
        <v>1325</v>
      </c>
      <c r="I417" s="10">
        <v>45615</v>
      </c>
    </row>
    <row r="418" spans="1:9" x14ac:dyDescent="0.15">
      <c r="A418" s="9">
        <v>417</v>
      </c>
      <c r="B418" s="9" t="s">
        <v>9</v>
      </c>
      <c r="C418" s="9">
        <v>1926</v>
      </c>
      <c r="D418" s="10">
        <v>45722</v>
      </c>
      <c r="E418" s="11" t="str">
        <f>+HYPERLINK("http://trademark.i-assist.jp/data/china/image_1926th/82064503.pdf","82064503")</f>
        <v>82064503</v>
      </c>
      <c r="F418" s="9" t="s">
        <v>1326</v>
      </c>
      <c r="G418" s="12" t="s">
        <v>1327</v>
      </c>
      <c r="H418" s="12" t="s">
        <v>1328</v>
      </c>
      <c r="I418" s="10">
        <v>45615</v>
      </c>
    </row>
    <row r="419" spans="1:9" x14ac:dyDescent="0.15">
      <c r="A419" s="9">
        <v>418</v>
      </c>
      <c r="B419" s="9" t="s">
        <v>9</v>
      </c>
      <c r="C419" s="9">
        <v>1926</v>
      </c>
      <c r="D419" s="10">
        <v>45722</v>
      </c>
      <c r="E419" s="11" t="str">
        <f>+HYPERLINK("http://trademark.i-assist.jp/data/china/image_1926th/82064581.pdf","82064581")</f>
        <v>82064581</v>
      </c>
      <c r="F419" s="12" t="s">
        <v>20</v>
      </c>
      <c r="G419" s="9" t="s">
        <v>1270</v>
      </c>
      <c r="H419" s="9" t="s">
        <v>1329</v>
      </c>
      <c r="I419" s="10">
        <v>45615</v>
      </c>
    </row>
    <row r="420" spans="1:9" x14ac:dyDescent="0.15">
      <c r="A420" s="9">
        <v>419</v>
      </c>
      <c r="B420" s="9" t="s">
        <v>9</v>
      </c>
      <c r="C420" s="9">
        <v>1926</v>
      </c>
      <c r="D420" s="10">
        <v>45722</v>
      </c>
      <c r="E420" s="11" t="str">
        <f>+HYPERLINK("http://trademark.i-assist.jp/data/china/image_1926th/82065469.pdf","82065469")</f>
        <v>82065469</v>
      </c>
      <c r="F420" s="9" t="s">
        <v>1330</v>
      </c>
      <c r="G420" s="9" t="s">
        <v>1331</v>
      </c>
      <c r="H420" s="12" t="s">
        <v>1332</v>
      </c>
      <c r="I420" s="10">
        <v>45615</v>
      </c>
    </row>
    <row r="421" spans="1:9" x14ac:dyDescent="0.15">
      <c r="A421" s="9">
        <v>420</v>
      </c>
      <c r="B421" s="9" t="s">
        <v>9</v>
      </c>
      <c r="C421" s="9">
        <v>1926</v>
      </c>
      <c r="D421" s="10">
        <v>45722</v>
      </c>
      <c r="E421" s="11" t="str">
        <f>+HYPERLINK("http://trademark.i-assist.jp/data/china/image_1926th/82066008.pdf","82066008")</f>
        <v>82066008</v>
      </c>
      <c r="F421" s="9" t="s">
        <v>1333</v>
      </c>
      <c r="G421" s="9" t="s">
        <v>1334</v>
      </c>
      <c r="H421" s="9" t="s">
        <v>1335</v>
      </c>
      <c r="I421" s="10">
        <v>45615</v>
      </c>
    </row>
    <row r="422" spans="1:9" x14ac:dyDescent="0.15">
      <c r="A422" s="9">
        <v>421</v>
      </c>
      <c r="B422" s="9" t="s">
        <v>9</v>
      </c>
      <c r="C422" s="9">
        <v>1926</v>
      </c>
      <c r="D422" s="10">
        <v>45722</v>
      </c>
      <c r="E422" s="11" t="str">
        <f>+HYPERLINK("http://trademark.i-assist.jp/data/china/image_1926th/82066857.pdf","82066857")</f>
        <v>82066857</v>
      </c>
      <c r="F422" s="9" t="s">
        <v>1336</v>
      </c>
      <c r="G422" s="9" t="s">
        <v>1337</v>
      </c>
      <c r="H422" s="9" t="s">
        <v>1338</v>
      </c>
      <c r="I422" s="10">
        <v>45616</v>
      </c>
    </row>
    <row r="423" spans="1:9" x14ac:dyDescent="0.15">
      <c r="A423" s="9">
        <v>422</v>
      </c>
      <c r="B423" s="9" t="s">
        <v>9</v>
      </c>
      <c r="C423" s="9">
        <v>1926</v>
      </c>
      <c r="D423" s="10">
        <v>45722</v>
      </c>
      <c r="E423" s="11" t="str">
        <f>+HYPERLINK("http://trademark.i-assist.jp/data/china/image_1926th/82066868.pdf","82066868")</f>
        <v>82066868</v>
      </c>
      <c r="F423" s="9" t="s">
        <v>1339</v>
      </c>
      <c r="G423" s="9" t="s">
        <v>1337</v>
      </c>
      <c r="H423" s="9" t="s">
        <v>1340</v>
      </c>
      <c r="I423" s="10">
        <v>45616</v>
      </c>
    </row>
    <row r="424" spans="1:9" x14ac:dyDescent="0.15">
      <c r="A424" s="9">
        <v>423</v>
      </c>
      <c r="B424" s="9" t="s">
        <v>9</v>
      </c>
      <c r="C424" s="9">
        <v>1926</v>
      </c>
      <c r="D424" s="10">
        <v>45722</v>
      </c>
      <c r="E424" s="11" t="str">
        <f>+HYPERLINK("http://trademark.i-assist.jp/data/china/image_1926th/82067894.pdf","82067894")</f>
        <v>82067894</v>
      </c>
      <c r="F424" s="9" t="s">
        <v>1341</v>
      </c>
      <c r="G424" s="9" t="s">
        <v>34</v>
      </c>
      <c r="H424" s="9" t="s">
        <v>1342</v>
      </c>
      <c r="I424" s="10">
        <v>45616</v>
      </c>
    </row>
    <row r="425" spans="1:9" x14ac:dyDescent="0.15">
      <c r="A425" s="9">
        <v>424</v>
      </c>
      <c r="B425" s="9" t="s">
        <v>9</v>
      </c>
      <c r="C425" s="9">
        <v>1926</v>
      </c>
      <c r="D425" s="10">
        <v>45722</v>
      </c>
      <c r="E425" s="11" t="str">
        <f>+HYPERLINK("http://trademark.i-assist.jp/data/china/image_1926th/82068960.pdf","82068960")</f>
        <v>82068960</v>
      </c>
      <c r="F425" s="9" t="s">
        <v>1343</v>
      </c>
      <c r="G425" s="9" t="s">
        <v>1344</v>
      </c>
      <c r="H425" s="9" t="s">
        <v>1345</v>
      </c>
      <c r="I425" s="10">
        <v>45616</v>
      </c>
    </row>
    <row r="426" spans="1:9" x14ac:dyDescent="0.15">
      <c r="A426" s="9">
        <v>425</v>
      </c>
      <c r="B426" s="9" t="s">
        <v>9</v>
      </c>
      <c r="C426" s="9">
        <v>1926</v>
      </c>
      <c r="D426" s="10">
        <v>45722</v>
      </c>
      <c r="E426" s="11" t="str">
        <f>+HYPERLINK("http://trademark.i-assist.jp/data/china/image_1926th/82069384.pdf","82069384")</f>
        <v>82069384</v>
      </c>
      <c r="F426" s="9" t="s">
        <v>1346</v>
      </c>
      <c r="G426" s="9" t="s">
        <v>186</v>
      </c>
      <c r="H426" s="9" t="s">
        <v>1347</v>
      </c>
      <c r="I426" s="10">
        <v>45616</v>
      </c>
    </row>
    <row r="427" spans="1:9" x14ac:dyDescent="0.15">
      <c r="A427" s="9">
        <v>426</v>
      </c>
      <c r="B427" s="9" t="s">
        <v>9</v>
      </c>
      <c r="C427" s="9">
        <v>1926</v>
      </c>
      <c r="D427" s="10">
        <v>45722</v>
      </c>
      <c r="E427" s="11" t="str">
        <f>+HYPERLINK("http://trademark.i-assist.jp/data/china/image_1926th/82070246.pdf","82070246")</f>
        <v>82070246</v>
      </c>
      <c r="F427" s="12" t="s">
        <v>1348</v>
      </c>
      <c r="G427" s="9" t="s">
        <v>1349</v>
      </c>
      <c r="H427" s="9" t="s">
        <v>1350</v>
      </c>
      <c r="I427" s="10">
        <v>45616</v>
      </c>
    </row>
    <row r="428" spans="1:9" x14ac:dyDescent="0.15">
      <c r="A428" s="9">
        <v>427</v>
      </c>
      <c r="B428" s="9" t="s">
        <v>9</v>
      </c>
      <c r="C428" s="9">
        <v>1926</v>
      </c>
      <c r="D428" s="10">
        <v>45722</v>
      </c>
      <c r="E428" s="11" t="str">
        <f>+HYPERLINK("http://trademark.i-assist.jp/data/china/image_1926th/82071368.pdf","82071368")</f>
        <v>82071368</v>
      </c>
      <c r="F428" s="9" t="s">
        <v>1351</v>
      </c>
      <c r="G428" s="9" t="s">
        <v>1352</v>
      </c>
      <c r="H428" s="9" t="s">
        <v>1353</v>
      </c>
      <c r="I428" s="10">
        <v>45616</v>
      </c>
    </row>
    <row r="429" spans="1:9" x14ac:dyDescent="0.15">
      <c r="A429" s="9">
        <v>428</v>
      </c>
      <c r="B429" s="9" t="s">
        <v>9</v>
      </c>
      <c r="C429" s="9">
        <v>1926</v>
      </c>
      <c r="D429" s="10">
        <v>45722</v>
      </c>
      <c r="E429" s="11" t="str">
        <f>+HYPERLINK("http://trademark.i-assist.jp/data/china/image_1926th/82071515.pdf","82071515")</f>
        <v>82071515</v>
      </c>
      <c r="F429" s="9" t="s">
        <v>1354</v>
      </c>
      <c r="G429" s="12" t="s">
        <v>1355</v>
      </c>
      <c r="H429" s="9" t="s">
        <v>1356</v>
      </c>
      <c r="I429" s="10">
        <v>45616</v>
      </c>
    </row>
    <row r="430" spans="1:9" x14ac:dyDescent="0.15">
      <c r="A430" s="9">
        <v>429</v>
      </c>
      <c r="B430" s="9" t="s">
        <v>9</v>
      </c>
      <c r="C430" s="9">
        <v>1926</v>
      </c>
      <c r="D430" s="10">
        <v>45722</v>
      </c>
      <c r="E430" s="11" t="str">
        <f>+HYPERLINK("http://trademark.i-assist.jp/data/china/image_1926th/82071894.pdf","82071894")</f>
        <v>82071894</v>
      </c>
      <c r="F430" s="9" t="s">
        <v>1357</v>
      </c>
      <c r="G430" s="9" t="s">
        <v>61</v>
      </c>
      <c r="H430" s="9" t="s">
        <v>1358</v>
      </c>
      <c r="I430" s="10">
        <v>45616</v>
      </c>
    </row>
    <row r="431" spans="1:9" x14ac:dyDescent="0.15">
      <c r="A431" s="9">
        <v>430</v>
      </c>
      <c r="B431" s="9" t="s">
        <v>9</v>
      </c>
      <c r="C431" s="9">
        <v>1926</v>
      </c>
      <c r="D431" s="10">
        <v>45722</v>
      </c>
      <c r="E431" s="11" t="str">
        <f>+HYPERLINK("http://trademark.i-assist.jp/data/china/image_1926th/82072405.pdf","82072405")</f>
        <v>82072405</v>
      </c>
      <c r="F431" s="9" t="s">
        <v>1359</v>
      </c>
      <c r="G431" s="9" t="s">
        <v>186</v>
      </c>
      <c r="H431" s="9" t="s">
        <v>1360</v>
      </c>
      <c r="I431" s="10">
        <v>45616</v>
      </c>
    </row>
    <row r="432" spans="1:9" x14ac:dyDescent="0.15">
      <c r="A432" s="9">
        <v>431</v>
      </c>
      <c r="B432" s="9" t="s">
        <v>9</v>
      </c>
      <c r="C432" s="9">
        <v>1926</v>
      </c>
      <c r="D432" s="10">
        <v>45722</v>
      </c>
      <c r="E432" s="11" t="str">
        <f>+HYPERLINK("http://trademark.i-assist.jp/data/china/image_1926th/82072467.pdf","82072467")</f>
        <v>82072467</v>
      </c>
      <c r="F432" s="9" t="s">
        <v>1361</v>
      </c>
      <c r="G432" s="12" t="s">
        <v>1362</v>
      </c>
      <c r="H432" s="9" t="s">
        <v>1363</v>
      </c>
      <c r="I432" s="10">
        <v>45616</v>
      </c>
    </row>
    <row r="433" spans="1:9" x14ac:dyDescent="0.15">
      <c r="A433" s="9">
        <v>432</v>
      </c>
      <c r="B433" s="9" t="s">
        <v>9</v>
      </c>
      <c r="C433" s="9">
        <v>1926</v>
      </c>
      <c r="D433" s="10">
        <v>45722</v>
      </c>
      <c r="E433" s="11" t="str">
        <f>+HYPERLINK("http://trademark.i-assist.jp/data/china/image_1926th/82072865.pdf","82072865")</f>
        <v>82072865</v>
      </c>
      <c r="F433" s="9" t="s">
        <v>1364</v>
      </c>
      <c r="G433" s="12" t="s">
        <v>1365</v>
      </c>
      <c r="H433" s="9" t="s">
        <v>1366</v>
      </c>
      <c r="I433" s="10">
        <v>45616</v>
      </c>
    </row>
    <row r="434" spans="1:9" x14ac:dyDescent="0.15">
      <c r="A434" s="9">
        <v>433</v>
      </c>
      <c r="B434" s="9" t="s">
        <v>9</v>
      </c>
      <c r="C434" s="9">
        <v>1926</v>
      </c>
      <c r="D434" s="10">
        <v>45722</v>
      </c>
      <c r="E434" s="11" t="str">
        <f>+HYPERLINK("http://trademark.i-assist.jp/data/china/image_1926th/82072895.pdf","82072895")</f>
        <v>82072895</v>
      </c>
      <c r="F434" s="9" t="s">
        <v>1367</v>
      </c>
      <c r="G434" s="9" t="s">
        <v>1368</v>
      </c>
      <c r="H434" s="9" t="s">
        <v>1369</v>
      </c>
      <c r="I434" s="10">
        <v>45616</v>
      </c>
    </row>
    <row r="435" spans="1:9" x14ac:dyDescent="0.15">
      <c r="A435" s="9">
        <v>434</v>
      </c>
      <c r="B435" s="9" t="s">
        <v>9</v>
      </c>
      <c r="C435" s="9">
        <v>1926</v>
      </c>
      <c r="D435" s="10">
        <v>45722</v>
      </c>
      <c r="E435" s="11" t="str">
        <f>+HYPERLINK("http://trademark.i-assist.jp/data/china/image_1926th/82073219.pdf","82073219")</f>
        <v>82073219</v>
      </c>
      <c r="F435" s="9" t="s">
        <v>1370</v>
      </c>
      <c r="G435" s="9" t="s">
        <v>1371</v>
      </c>
      <c r="H435" s="9" t="s">
        <v>1372</v>
      </c>
      <c r="I435" s="10">
        <v>45616</v>
      </c>
    </row>
    <row r="436" spans="1:9" x14ac:dyDescent="0.15">
      <c r="A436" s="9">
        <v>435</v>
      </c>
      <c r="B436" s="9" t="s">
        <v>9</v>
      </c>
      <c r="C436" s="9">
        <v>1926</v>
      </c>
      <c r="D436" s="10">
        <v>45722</v>
      </c>
      <c r="E436" s="11" t="str">
        <f>+HYPERLINK("http://trademark.i-assist.jp/data/china/image_1926th/82073670.pdf","82073670")</f>
        <v>82073670</v>
      </c>
      <c r="F436" s="9" t="s">
        <v>1373</v>
      </c>
      <c r="G436" s="12" t="s">
        <v>1374</v>
      </c>
      <c r="H436" s="9" t="s">
        <v>1375</v>
      </c>
      <c r="I436" s="10">
        <v>45616</v>
      </c>
    </row>
    <row r="437" spans="1:9" x14ac:dyDescent="0.15">
      <c r="A437" s="9">
        <v>436</v>
      </c>
      <c r="B437" s="9" t="s">
        <v>9</v>
      </c>
      <c r="C437" s="9">
        <v>1926</v>
      </c>
      <c r="D437" s="10">
        <v>45722</v>
      </c>
      <c r="E437" s="11" t="str">
        <f>+HYPERLINK("http://trademark.i-assist.jp/data/china/image_1926th/82073973.pdf","82073973")</f>
        <v>82073973</v>
      </c>
      <c r="F437" s="12" t="s">
        <v>1376</v>
      </c>
      <c r="G437" s="12" t="s">
        <v>1377</v>
      </c>
      <c r="H437" s="12" t="s">
        <v>1378</v>
      </c>
      <c r="I437" s="10">
        <v>45616</v>
      </c>
    </row>
    <row r="438" spans="1:9" x14ac:dyDescent="0.15">
      <c r="A438" s="9">
        <v>437</v>
      </c>
      <c r="B438" s="9" t="s">
        <v>9</v>
      </c>
      <c r="C438" s="9">
        <v>1926</v>
      </c>
      <c r="D438" s="10">
        <v>45722</v>
      </c>
      <c r="E438" s="11" t="str">
        <f>+HYPERLINK("http://trademark.i-assist.jp/data/china/image_1926th/82074985.pdf","82074985")</f>
        <v>82074985</v>
      </c>
      <c r="F438" s="9" t="s">
        <v>1379</v>
      </c>
      <c r="G438" s="9" t="s">
        <v>1371</v>
      </c>
      <c r="H438" s="9" t="s">
        <v>1380</v>
      </c>
      <c r="I438" s="10">
        <v>45616</v>
      </c>
    </row>
    <row r="439" spans="1:9" x14ac:dyDescent="0.15">
      <c r="A439" s="9">
        <v>438</v>
      </c>
      <c r="B439" s="9" t="s">
        <v>9</v>
      </c>
      <c r="C439" s="9">
        <v>1926</v>
      </c>
      <c r="D439" s="10">
        <v>45722</v>
      </c>
      <c r="E439" s="11" t="str">
        <f>+HYPERLINK("http://trademark.i-assist.jp/data/china/image_1926th/82075254.pdf","82075254")</f>
        <v>82075254</v>
      </c>
      <c r="F439" s="9" t="s">
        <v>1381</v>
      </c>
      <c r="G439" s="9" t="s">
        <v>1382</v>
      </c>
      <c r="H439" s="9" t="s">
        <v>1383</v>
      </c>
      <c r="I439" s="10">
        <v>45616</v>
      </c>
    </row>
    <row r="440" spans="1:9" x14ac:dyDescent="0.15">
      <c r="A440" s="9">
        <v>439</v>
      </c>
      <c r="B440" s="9" t="s">
        <v>9</v>
      </c>
      <c r="C440" s="9">
        <v>1926</v>
      </c>
      <c r="D440" s="10">
        <v>45722</v>
      </c>
      <c r="E440" s="11" t="str">
        <f>+HYPERLINK("http://trademark.i-assist.jp/data/china/image_1926th/82075733.pdf","82075733")</f>
        <v>82075733</v>
      </c>
      <c r="F440" s="9" t="s">
        <v>31</v>
      </c>
      <c r="G440" s="12" t="s">
        <v>32</v>
      </c>
      <c r="H440" s="9" t="s">
        <v>1384</v>
      </c>
      <c r="I440" s="10">
        <v>45616</v>
      </c>
    </row>
    <row r="441" spans="1:9" x14ac:dyDescent="0.15">
      <c r="A441" s="9">
        <v>440</v>
      </c>
      <c r="B441" s="9" t="s">
        <v>9</v>
      </c>
      <c r="C441" s="9">
        <v>1926</v>
      </c>
      <c r="D441" s="10">
        <v>45722</v>
      </c>
      <c r="E441" s="11" t="str">
        <f>+HYPERLINK("http://trademark.i-assist.jp/data/china/image_1926th/82075761.pdf","82075761")</f>
        <v>82075761</v>
      </c>
      <c r="F441" s="9" t="s">
        <v>1385</v>
      </c>
      <c r="G441" s="9" t="s">
        <v>1386</v>
      </c>
      <c r="H441" s="9" t="s">
        <v>1387</v>
      </c>
      <c r="I441" s="10">
        <v>45616</v>
      </c>
    </row>
    <row r="442" spans="1:9" x14ac:dyDescent="0.15">
      <c r="A442" s="9">
        <v>441</v>
      </c>
      <c r="B442" s="9" t="s">
        <v>9</v>
      </c>
      <c r="C442" s="9">
        <v>1926</v>
      </c>
      <c r="D442" s="10">
        <v>45722</v>
      </c>
      <c r="E442" s="11" t="str">
        <f>+HYPERLINK("http://trademark.i-assist.jp/data/china/image_1926th/82076094.pdf","82076094")</f>
        <v>82076094</v>
      </c>
      <c r="F442" s="9" t="s">
        <v>1388</v>
      </c>
      <c r="G442" s="12" t="s">
        <v>63</v>
      </c>
      <c r="H442" s="9" t="s">
        <v>1389</v>
      </c>
      <c r="I442" s="10">
        <v>45616</v>
      </c>
    </row>
    <row r="443" spans="1:9" x14ac:dyDescent="0.15">
      <c r="A443" s="9">
        <v>442</v>
      </c>
      <c r="B443" s="9" t="s">
        <v>9</v>
      </c>
      <c r="C443" s="9">
        <v>1926</v>
      </c>
      <c r="D443" s="10">
        <v>45722</v>
      </c>
      <c r="E443" s="11" t="str">
        <f>+HYPERLINK("http://trademark.i-assist.jp/data/china/image_1926th/82077109.pdf","82077109")</f>
        <v>82077109</v>
      </c>
      <c r="F443" s="12" t="s">
        <v>1390</v>
      </c>
      <c r="G443" s="12" t="s">
        <v>1391</v>
      </c>
      <c r="H443" s="9" t="s">
        <v>1392</v>
      </c>
      <c r="I443" s="10">
        <v>45616</v>
      </c>
    </row>
    <row r="444" spans="1:9" x14ac:dyDescent="0.15">
      <c r="A444" s="9">
        <v>443</v>
      </c>
      <c r="B444" s="9" t="s">
        <v>9</v>
      </c>
      <c r="C444" s="9">
        <v>1926</v>
      </c>
      <c r="D444" s="10">
        <v>45722</v>
      </c>
      <c r="E444" s="11" t="str">
        <f>+HYPERLINK("http://trademark.i-assist.jp/data/china/image_1926th/82077151.pdf","82077151")</f>
        <v>82077151</v>
      </c>
      <c r="F444" s="9" t="s">
        <v>1393</v>
      </c>
      <c r="G444" s="12" t="s">
        <v>1394</v>
      </c>
      <c r="H444" s="9" t="s">
        <v>1395</v>
      </c>
      <c r="I444" s="10">
        <v>45616</v>
      </c>
    </row>
    <row r="445" spans="1:9" x14ac:dyDescent="0.15">
      <c r="A445" s="9">
        <v>444</v>
      </c>
      <c r="B445" s="9" t="s">
        <v>9</v>
      </c>
      <c r="C445" s="9">
        <v>1926</v>
      </c>
      <c r="D445" s="10">
        <v>45722</v>
      </c>
      <c r="E445" s="11" t="str">
        <f>+HYPERLINK("http://trademark.i-assist.jp/data/china/image_1926th/82077568.pdf","82077568")</f>
        <v>82077568</v>
      </c>
      <c r="F445" s="12" t="s">
        <v>20</v>
      </c>
      <c r="G445" s="9" t="s">
        <v>1396</v>
      </c>
      <c r="H445" s="9" t="s">
        <v>1397</v>
      </c>
      <c r="I445" s="10">
        <v>45616</v>
      </c>
    </row>
    <row r="446" spans="1:9" x14ac:dyDescent="0.15">
      <c r="A446" s="9">
        <v>445</v>
      </c>
      <c r="B446" s="9" t="s">
        <v>9</v>
      </c>
      <c r="C446" s="9">
        <v>1926</v>
      </c>
      <c r="D446" s="10">
        <v>45722</v>
      </c>
      <c r="E446" s="11" t="str">
        <f>+HYPERLINK("http://trademark.i-assist.jp/data/china/image_1926th/82077795.pdf","82077795")</f>
        <v>82077795</v>
      </c>
      <c r="F446" s="9" t="s">
        <v>1398</v>
      </c>
      <c r="G446" s="9" t="s">
        <v>65</v>
      </c>
      <c r="H446" s="12" t="s">
        <v>1399</v>
      </c>
      <c r="I446" s="10">
        <v>45616</v>
      </c>
    </row>
    <row r="447" spans="1:9" x14ac:dyDescent="0.15">
      <c r="A447" s="9">
        <v>446</v>
      </c>
      <c r="B447" s="9" t="s">
        <v>9</v>
      </c>
      <c r="C447" s="9">
        <v>1926</v>
      </c>
      <c r="D447" s="10">
        <v>45722</v>
      </c>
      <c r="E447" s="11" t="str">
        <f>+HYPERLINK("http://trademark.i-assist.jp/data/china/image_1926th/82077916.pdf","82077916")</f>
        <v>82077916</v>
      </c>
      <c r="F447" s="9" t="s">
        <v>1400</v>
      </c>
      <c r="G447" s="9" t="s">
        <v>1401</v>
      </c>
      <c r="H447" s="9" t="s">
        <v>1402</v>
      </c>
      <c r="I447" s="10">
        <v>45616</v>
      </c>
    </row>
    <row r="448" spans="1:9" x14ac:dyDescent="0.15">
      <c r="A448" s="9">
        <v>447</v>
      </c>
      <c r="B448" s="9" t="s">
        <v>9</v>
      </c>
      <c r="C448" s="9">
        <v>1926</v>
      </c>
      <c r="D448" s="10">
        <v>45722</v>
      </c>
      <c r="E448" s="11" t="str">
        <f>+HYPERLINK("http://trademark.i-assist.jp/data/china/image_1926th/82078315.pdf","82078315")</f>
        <v>82078315</v>
      </c>
      <c r="F448" s="9" t="s">
        <v>1403</v>
      </c>
      <c r="G448" s="9" t="s">
        <v>1404</v>
      </c>
      <c r="H448" s="9" t="s">
        <v>1405</v>
      </c>
      <c r="I448" s="10">
        <v>45616</v>
      </c>
    </row>
    <row r="449" spans="1:9" x14ac:dyDescent="0.15">
      <c r="A449" s="9">
        <v>448</v>
      </c>
      <c r="B449" s="9" t="s">
        <v>9</v>
      </c>
      <c r="C449" s="9">
        <v>1926</v>
      </c>
      <c r="D449" s="10">
        <v>45722</v>
      </c>
      <c r="E449" s="11" t="str">
        <f>+HYPERLINK("http://trademark.i-assist.jp/data/china/image_1926th/82078393.pdf","82078393")</f>
        <v>82078393</v>
      </c>
      <c r="F449" s="9" t="s">
        <v>1406</v>
      </c>
      <c r="G449" s="12" t="s">
        <v>1407</v>
      </c>
      <c r="H449" s="9" t="s">
        <v>1408</v>
      </c>
      <c r="I449" s="10">
        <v>45616</v>
      </c>
    </row>
    <row r="450" spans="1:9" x14ac:dyDescent="0.15">
      <c r="A450" s="9">
        <v>449</v>
      </c>
      <c r="B450" s="9" t="s">
        <v>9</v>
      </c>
      <c r="C450" s="9">
        <v>1926</v>
      </c>
      <c r="D450" s="10">
        <v>45722</v>
      </c>
      <c r="E450" s="11" t="str">
        <f>+HYPERLINK("http://trademark.i-assist.jp/data/china/image_1926th/82078613.pdf","82078613")</f>
        <v>82078613</v>
      </c>
      <c r="F450" s="9" t="s">
        <v>1409</v>
      </c>
      <c r="G450" s="9" t="s">
        <v>1410</v>
      </c>
      <c r="H450" s="12" t="s">
        <v>1411</v>
      </c>
      <c r="I450" s="10">
        <v>45616</v>
      </c>
    </row>
    <row r="451" spans="1:9" x14ac:dyDescent="0.15">
      <c r="A451" s="9">
        <v>450</v>
      </c>
      <c r="B451" s="9" t="s">
        <v>9</v>
      </c>
      <c r="C451" s="9">
        <v>1926</v>
      </c>
      <c r="D451" s="10">
        <v>45722</v>
      </c>
      <c r="E451" s="11" t="str">
        <f>+HYPERLINK("http://trademark.i-assist.jp/data/china/image_1926th/82080407.pdf","82080407")</f>
        <v>82080407</v>
      </c>
      <c r="F451" s="12" t="s">
        <v>20</v>
      </c>
      <c r="G451" s="9" t="s">
        <v>1412</v>
      </c>
      <c r="H451" s="9" t="s">
        <v>1413</v>
      </c>
      <c r="I451" s="10">
        <v>45616</v>
      </c>
    </row>
    <row r="452" spans="1:9" x14ac:dyDescent="0.15">
      <c r="A452" s="9">
        <v>451</v>
      </c>
      <c r="B452" s="9" t="s">
        <v>9</v>
      </c>
      <c r="C452" s="9">
        <v>1926</v>
      </c>
      <c r="D452" s="10">
        <v>45722</v>
      </c>
      <c r="E452" s="11" t="str">
        <f>+HYPERLINK("http://trademark.i-assist.jp/data/china/image_1926th/82080664.pdf","82080664")</f>
        <v>82080664</v>
      </c>
      <c r="F452" s="9" t="s">
        <v>1414</v>
      </c>
      <c r="G452" s="9" t="s">
        <v>1415</v>
      </c>
      <c r="H452" s="9" t="s">
        <v>1416</v>
      </c>
      <c r="I452" s="10">
        <v>45616</v>
      </c>
    </row>
    <row r="453" spans="1:9" x14ac:dyDescent="0.15">
      <c r="A453" s="9">
        <v>452</v>
      </c>
      <c r="B453" s="9" t="s">
        <v>9</v>
      </c>
      <c r="C453" s="9">
        <v>1926</v>
      </c>
      <c r="D453" s="10">
        <v>45722</v>
      </c>
      <c r="E453" s="11" t="str">
        <f>+HYPERLINK("http://trademark.i-assist.jp/data/china/image_1926th/82081325.pdf","82081325")</f>
        <v>82081325</v>
      </c>
      <c r="F453" s="9" t="s">
        <v>1417</v>
      </c>
      <c r="G453" s="9" t="s">
        <v>1418</v>
      </c>
      <c r="H453" s="9" t="s">
        <v>1419</v>
      </c>
      <c r="I453" s="10">
        <v>45616</v>
      </c>
    </row>
    <row r="454" spans="1:9" x14ac:dyDescent="0.15">
      <c r="A454" s="9">
        <v>453</v>
      </c>
      <c r="B454" s="9" t="s">
        <v>9</v>
      </c>
      <c r="C454" s="9">
        <v>1926</v>
      </c>
      <c r="D454" s="10">
        <v>45722</v>
      </c>
      <c r="E454" s="11" t="str">
        <f>+HYPERLINK("http://trademark.i-assist.jp/data/china/image_1926th/82081455.pdf","82081455")</f>
        <v>82081455</v>
      </c>
      <c r="F454" s="9" t="s">
        <v>1420</v>
      </c>
      <c r="G454" s="12" t="s">
        <v>1421</v>
      </c>
      <c r="H454" s="12" t="s">
        <v>1422</v>
      </c>
      <c r="I454" s="10">
        <v>45616</v>
      </c>
    </row>
    <row r="455" spans="1:9" x14ac:dyDescent="0.15">
      <c r="A455" s="9">
        <v>454</v>
      </c>
      <c r="B455" s="9" t="s">
        <v>9</v>
      </c>
      <c r="C455" s="9">
        <v>1926</v>
      </c>
      <c r="D455" s="10">
        <v>45722</v>
      </c>
      <c r="E455" s="11" t="str">
        <f>+HYPERLINK("http://trademark.i-assist.jp/data/china/image_1926th/82081627.pdf","82081627")</f>
        <v>82081627</v>
      </c>
      <c r="F455" s="9" t="s">
        <v>1423</v>
      </c>
      <c r="G455" s="9" t="s">
        <v>1424</v>
      </c>
      <c r="H455" s="9" t="s">
        <v>1425</v>
      </c>
      <c r="I455" s="10">
        <v>45616</v>
      </c>
    </row>
    <row r="456" spans="1:9" x14ac:dyDescent="0.15">
      <c r="A456" s="9">
        <v>455</v>
      </c>
      <c r="B456" s="9" t="s">
        <v>9</v>
      </c>
      <c r="C456" s="9">
        <v>1926</v>
      </c>
      <c r="D456" s="10">
        <v>45722</v>
      </c>
      <c r="E456" s="11" t="str">
        <f>+HYPERLINK("http://trademark.i-assist.jp/data/china/image_1926th/82081636.pdf","82081636")</f>
        <v>82081636</v>
      </c>
      <c r="F456" s="9" t="s">
        <v>1426</v>
      </c>
      <c r="G456" s="9" t="s">
        <v>1424</v>
      </c>
      <c r="H456" s="12" t="s">
        <v>1427</v>
      </c>
      <c r="I456" s="10">
        <v>45616</v>
      </c>
    </row>
    <row r="457" spans="1:9" x14ac:dyDescent="0.15">
      <c r="A457" s="9">
        <v>456</v>
      </c>
      <c r="B457" s="9" t="s">
        <v>9</v>
      </c>
      <c r="C457" s="9">
        <v>1926</v>
      </c>
      <c r="D457" s="10">
        <v>45722</v>
      </c>
      <c r="E457" s="11" t="str">
        <f>+HYPERLINK("http://trademark.i-assist.jp/data/china/image_1926th/82082563.pdf","82082563")</f>
        <v>82082563</v>
      </c>
      <c r="F457" s="9" t="s">
        <v>1428</v>
      </c>
      <c r="G457" s="12" t="s">
        <v>64</v>
      </c>
      <c r="H457" s="9" t="s">
        <v>1429</v>
      </c>
      <c r="I457" s="10">
        <v>45616</v>
      </c>
    </row>
    <row r="458" spans="1:9" x14ac:dyDescent="0.15">
      <c r="A458" s="9">
        <v>457</v>
      </c>
      <c r="B458" s="9" t="s">
        <v>9</v>
      </c>
      <c r="C458" s="9">
        <v>1926</v>
      </c>
      <c r="D458" s="10">
        <v>45722</v>
      </c>
      <c r="E458" s="11" t="str">
        <f>+HYPERLINK("http://trademark.i-assist.jp/data/china/image_1926th/82082581.pdf","82082581")</f>
        <v>82082581</v>
      </c>
      <c r="F458" s="12" t="s">
        <v>1430</v>
      </c>
      <c r="G458" s="9" t="s">
        <v>1431</v>
      </c>
      <c r="H458" s="9" t="s">
        <v>1432</v>
      </c>
      <c r="I458" s="10">
        <v>45616</v>
      </c>
    </row>
    <row r="459" spans="1:9" x14ac:dyDescent="0.15">
      <c r="A459" s="9">
        <v>458</v>
      </c>
      <c r="B459" s="9" t="s">
        <v>9</v>
      </c>
      <c r="C459" s="9">
        <v>1926</v>
      </c>
      <c r="D459" s="10">
        <v>45722</v>
      </c>
      <c r="E459" s="11" t="str">
        <f>+HYPERLINK("http://trademark.i-assist.jp/data/china/image_1926th/82082613.pdf","82082613")</f>
        <v>82082613</v>
      </c>
      <c r="F459" s="9" t="s">
        <v>1433</v>
      </c>
      <c r="G459" s="9" t="s">
        <v>1434</v>
      </c>
      <c r="H459" s="9" t="s">
        <v>1435</v>
      </c>
      <c r="I459" s="10">
        <v>45616</v>
      </c>
    </row>
    <row r="460" spans="1:9" x14ac:dyDescent="0.15">
      <c r="A460" s="9">
        <v>459</v>
      </c>
      <c r="B460" s="9" t="s">
        <v>9</v>
      </c>
      <c r="C460" s="9">
        <v>1926</v>
      </c>
      <c r="D460" s="10">
        <v>45722</v>
      </c>
      <c r="E460" s="11" t="str">
        <f>+HYPERLINK("http://trademark.i-assist.jp/data/china/image_1926th/82083043.pdf","82083043")</f>
        <v>82083043</v>
      </c>
      <c r="F460" s="9" t="s">
        <v>1436</v>
      </c>
      <c r="G460" s="9" t="s">
        <v>69</v>
      </c>
      <c r="H460" s="9" t="s">
        <v>1437</v>
      </c>
      <c r="I460" s="10">
        <v>45616</v>
      </c>
    </row>
    <row r="461" spans="1:9" x14ac:dyDescent="0.15">
      <c r="A461" s="9">
        <v>460</v>
      </c>
      <c r="B461" s="9" t="s">
        <v>9</v>
      </c>
      <c r="C461" s="9">
        <v>1926</v>
      </c>
      <c r="D461" s="10">
        <v>45722</v>
      </c>
      <c r="E461" s="11" t="str">
        <f>+HYPERLINK("http://trademark.i-assist.jp/data/china/image_1926th/82083126.pdf","82083126")</f>
        <v>82083126</v>
      </c>
      <c r="F461" s="9" t="s">
        <v>1438</v>
      </c>
      <c r="G461" s="9" t="s">
        <v>1439</v>
      </c>
      <c r="H461" s="12" t="s">
        <v>1440</v>
      </c>
      <c r="I461" s="10">
        <v>45616</v>
      </c>
    </row>
    <row r="462" spans="1:9" x14ac:dyDescent="0.15">
      <c r="A462" s="9">
        <v>461</v>
      </c>
      <c r="B462" s="9" t="s">
        <v>9</v>
      </c>
      <c r="C462" s="9">
        <v>1926</v>
      </c>
      <c r="D462" s="10">
        <v>45722</v>
      </c>
      <c r="E462" s="11" t="str">
        <f>+HYPERLINK("http://trademark.i-assist.jp/data/china/image_1926th/82083380.pdf","82083380")</f>
        <v>82083380</v>
      </c>
      <c r="F462" s="9" t="s">
        <v>1441</v>
      </c>
      <c r="G462" s="9" t="s">
        <v>52</v>
      </c>
      <c r="H462" s="9" t="s">
        <v>1442</v>
      </c>
      <c r="I462" s="10">
        <v>45616</v>
      </c>
    </row>
    <row r="463" spans="1:9" x14ac:dyDescent="0.15">
      <c r="A463" s="9">
        <v>462</v>
      </c>
      <c r="B463" s="9" t="s">
        <v>9</v>
      </c>
      <c r="C463" s="9">
        <v>1926</v>
      </c>
      <c r="D463" s="10">
        <v>45722</v>
      </c>
      <c r="E463" s="11" t="str">
        <f>+HYPERLINK("http://trademark.i-assist.jp/data/china/image_1926th/82083388.pdf","82083388")</f>
        <v>82083388</v>
      </c>
      <c r="F463" s="9" t="s">
        <v>1443</v>
      </c>
      <c r="G463" s="9" t="s">
        <v>1007</v>
      </c>
      <c r="H463" s="9" t="s">
        <v>1444</v>
      </c>
      <c r="I463" s="10">
        <v>45616</v>
      </c>
    </row>
    <row r="464" spans="1:9" x14ac:dyDescent="0.15">
      <c r="A464" s="9">
        <v>463</v>
      </c>
      <c r="B464" s="9" t="s">
        <v>9</v>
      </c>
      <c r="C464" s="9">
        <v>1926</v>
      </c>
      <c r="D464" s="10">
        <v>45722</v>
      </c>
      <c r="E464" s="11" t="str">
        <f>+HYPERLINK("http://trademark.i-assist.jp/data/china/image_1926th/82083499.pdf","82083499")</f>
        <v>82083499</v>
      </c>
      <c r="F464" s="9" t="s">
        <v>1445</v>
      </c>
      <c r="G464" s="9" t="s">
        <v>1446</v>
      </c>
      <c r="H464" s="9" t="s">
        <v>1447</v>
      </c>
      <c r="I464" s="10">
        <v>45616</v>
      </c>
    </row>
    <row r="465" spans="1:9" x14ac:dyDescent="0.15">
      <c r="A465" s="9">
        <v>464</v>
      </c>
      <c r="B465" s="9" t="s">
        <v>9</v>
      </c>
      <c r="C465" s="9">
        <v>1926</v>
      </c>
      <c r="D465" s="10">
        <v>45722</v>
      </c>
      <c r="E465" s="11" t="str">
        <f>+HYPERLINK("http://trademark.i-assist.jp/data/china/image_1926th/82083852.pdf","82083852")</f>
        <v>82083852</v>
      </c>
      <c r="F465" s="9" t="s">
        <v>1448</v>
      </c>
      <c r="G465" s="9" t="s">
        <v>1337</v>
      </c>
      <c r="H465" s="9" t="s">
        <v>1449</v>
      </c>
      <c r="I465" s="10">
        <v>45616</v>
      </c>
    </row>
    <row r="466" spans="1:9" x14ac:dyDescent="0.15">
      <c r="A466" s="9">
        <v>465</v>
      </c>
      <c r="B466" s="9" t="s">
        <v>9</v>
      </c>
      <c r="C466" s="9">
        <v>1926</v>
      </c>
      <c r="D466" s="10">
        <v>45722</v>
      </c>
      <c r="E466" s="11" t="str">
        <f>+HYPERLINK("http://trademark.i-assist.jp/data/china/image_1926th/82083880.pdf","82083880")</f>
        <v>82083880</v>
      </c>
      <c r="F466" s="9" t="s">
        <v>1450</v>
      </c>
      <c r="G466" s="9" t="s">
        <v>1451</v>
      </c>
      <c r="H466" s="9" t="s">
        <v>1452</v>
      </c>
      <c r="I466" s="10">
        <v>45616</v>
      </c>
    </row>
    <row r="467" spans="1:9" x14ac:dyDescent="0.15">
      <c r="A467" s="9">
        <v>466</v>
      </c>
      <c r="B467" s="9" t="s">
        <v>9</v>
      </c>
      <c r="C467" s="9">
        <v>1926</v>
      </c>
      <c r="D467" s="10">
        <v>45722</v>
      </c>
      <c r="E467" s="11" t="str">
        <f>+HYPERLINK("http://trademark.i-assist.jp/data/china/image_1926th/82083956.pdf","82083956")</f>
        <v>82083956</v>
      </c>
      <c r="F467" s="9" t="s">
        <v>1453</v>
      </c>
      <c r="G467" s="9" t="s">
        <v>1454</v>
      </c>
      <c r="H467" s="9" t="s">
        <v>1455</v>
      </c>
      <c r="I467" s="10">
        <v>45616</v>
      </c>
    </row>
    <row r="468" spans="1:9" x14ac:dyDescent="0.15">
      <c r="A468" s="9">
        <v>467</v>
      </c>
      <c r="B468" s="9" t="s">
        <v>9</v>
      </c>
      <c r="C468" s="9">
        <v>1926</v>
      </c>
      <c r="D468" s="10">
        <v>45722</v>
      </c>
      <c r="E468" s="11" t="str">
        <f>+HYPERLINK("http://trademark.i-assist.jp/data/china/image_1926th/82083978.pdf","82083978")</f>
        <v>82083978</v>
      </c>
      <c r="F468" s="9" t="s">
        <v>1456</v>
      </c>
      <c r="G468" s="9" t="s">
        <v>1457</v>
      </c>
      <c r="H468" s="9" t="s">
        <v>1458</v>
      </c>
      <c r="I468" s="10">
        <v>45616</v>
      </c>
    </row>
    <row r="469" spans="1:9" x14ac:dyDescent="0.15">
      <c r="A469" s="9">
        <v>468</v>
      </c>
      <c r="B469" s="9" t="s">
        <v>9</v>
      </c>
      <c r="C469" s="9">
        <v>1926</v>
      </c>
      <c r="D469" s="10">
        <v>45722</v>
      </c>
      <c r="E469" s="11" t="str">
        <f>+HYPERLINK("http://trademark.i-assist.jp/data/china/image_1926th/82084600.pdf","82084600")</f>
        <v>82084600</v>
      </c>
      <c r="F469" s="9" t="s">
        <v>1459</v>
      </c>
      <c r="G469" s="9" t="s">
        <v>1454</v>
      </c>
      <c r="H469" s="9" t="s">
        <v>1460</v>
      </c>
      <c r="I469" s="10">
        <v>45616</v>
      </c>
    </row>
    <row r="470" spans="1:9" x14ac:dyDescent="0.15">
      <c r="A470" s="9">
        <v>469</v>
      </c>
      <c r="B470" s="9" t="s">
        <v>9</v>
      </c>
      <c r="C470" s="9">
        <v>1926</v>
      </c>
      <c r="D470" s="10">
        <v>45722</v>
      </c>
      <c r="E470" s="11" t="str">
        <f>+HYPERLINK("http://trademark.i-assist.jp/data/china/image_1926th/82084967.pdf","82084967")</f>
        <v>82084967</v>
      </c>
      <c r="F470" s="9" t="s">
        <v>1461</v>
      </c>
      <c r="G470" s="9" t="s">
        <v>1462</v>
      </c>
      <c r="H470" s="12" t="s">
        <v>1463</v>
      </c>
      <c r="I470" s="10">
        <v>45616</v>
      </c>
    </row>
    <row r="471" spans="1:9" x14ac:dyDescent="0.15">
      <c r="A471" s="9">
        <v>470</v>
      </c>
      <c r="B471" s="9" t="s">
        <v>9</v>
      </c>
      <c r="C471" s="9">
        <v>1926</v>
      </c>
      <c r="D471" s="10">
        <v>45722</v>
      </c>
      <c r="E471" s="11" t="str">
        <f>+HYPERLINK("http://trademark.i-assist.jp/data/china/image_1926th/82085660.pdf","82085660")</f>
        <v>82085660</v>
      </c>
      <c r="F471" s="9" t="s">
        <v>1464</v>
      </c>
      <c r="G471" s="9" t="s">
        <v>1465</v>
      </c>
      <c r="H471" s="9" t="s">
        <v>1466</v>
      </c>
      <c r="I471" s="10">
        <v>45616</v>
      </c>
    </row>
    <row r="472" spans="1:9" x14ac:dyDescent="0.15">
      <c r="A472" s="9">
        <v>471</v>
      </c>
      <c r="B472" s="9" t="s">
        <v>9</v>
      </c>
      <c r="C472" s="9">
        <v>1926</v>
      </c>
      <c r="D472" s="10">
        <v>45722</v>
      </c>
      <c r="E472" s="11" t="str">
        <f>+HYPERLINK("http://trademark.i-assist.jp/data/china/image_1926th/82086186.pdf","82086186")</f>
        <v>82086186</v>
      </c>
      <c r="F472" s="9" t="s">
        <v>1346</v>
      </c>
      <c r="G472" s="9" t="s">
        <v>186</v>
      </c>
      <c r="H472" s="9" t="s">
        <v>1467</v>
      </c>
      <c r="I472" s="10">
        <v>45616</v>
      </c>
    </row>
    <row r="473" spans="1:9" x14ac:dyDescent="0.15">
      <c r="A473" s="9">
        <v>472</v>
      </c>
      <c r="B473" s="9" t="s">
        <v>9</v>
      </c>
      <c r="C473" s="9">
        <v>1926</v>
      </c>
      <c r="D473" s="10">
        <v>45722</v>
      </c>
      <c r="E473" s="11" t="str">
        <f>+HYPERLINK("http://trademark.i-assist.jp/data/china/image_1926th/82086268.pdf","82086268")</f>
        <v>82086268</v>
      </c>
      <c r="F473" s="9" t="s">
        <v>1468</v>
      </c>
      <c r="G473" s="9" t="s">
        <v>1469</v>
      </c>
      <c r="H473" s="9" t="s">
        <v>1470</v>
      </c>
      <c r="I473" s="10">
        <v>45616</v>
      </c>
    </row>
    <row r="474" spans="1:9" x14ac:dyDescent="0.15">
      <c r="A474" s="9">
        <v>473</v>
      </c>
      <c r="B474" s="9" t="s">
        <v>9</v>
      </c>
      <c r="C474" s="9">
        <v>1926</v>
      </c>
      <c r="D474" s="10">
        <v>45722</v>
      </c>
      <c r="E474" s="11" t="str">
        <f>+HYPERLINK("http://trademark.i-assist.jp/data/china/image_1926th/82086340.pdf","82086340")</f>
        <v>82086340</v>
      </c>
      <c r="F474" s="9" t="s">
        <v>1471</v>
      </c>
      <c r="G474" s="9" t="s">
        <v>1472</v>
      </c>
      <c r="H474" s="9" t="s">
        <v>1473</v>
      </c>
      <c r="I474" s="10">
        <v>45616</v>
      </c>
    </row>
    <row r="475" spans="1:9" x14ac:dyDescent="0.15">
      <c r="A475" s="9">
        <v>474</v>
      </c>
      <c r="B475" s="9" t="s">
        <v>9</v>
      </c>
      <c r="C475" s="9">
        <v>1926</v>
      </c>
      <c r="D475" s="10">
        <v>45722</v>
      </c>
      <c r="E475" s="11" t="str">
        <f>+HYPERLINK("http://trademark.i-assist.jp/data/china/image_1926th/82086362.pdf","82086362")</f>
        <v>82086362</v>
      </c>
      <c r="F475" s="9" t="s">
        <v>1474</v>
      </c>
      <c r="G475" s="12" t="s">
        <v>1475</v>
      </c>
      <c r="H475" s="9" t="s">
        <v>1476</v>
      </c>
      <c r="I475" s="10">
        <v>45616</v>
      </c>
    </row>
    <row r="476" spans="1:9" x14ac:dyDescent="0.15">
      <c r="A476" s="9">
        <v>475</v>
      </c>
      <c r="B476" s="9" t="s">
        <v>9</v>
      </c>
      <c r="C476" s="9">
        <v>1926</v>
      </c>
      <c r="D476" s="10">
        <v>45722</v>
      </c>
      <c r="E476" s="11" t="str">
        <f>+HYPERLINK("http://trademark.i-assist.jp/data/china/image_1926th/82086405.pdf","82086405")</f>
        <v>82086405</v>
      </c>
      <c r="F476" s="9" t="s">
        <v>1477</v>
      </c>
      <c r="G476" s="9" t="s">
        <v>1478</v>
      </c>
      <c r="H476" s="9" t="s">
        <v>1479</v>
      </c>
      <c r="I476" s="10">
        <v>45616</v>
      </c>
    </row>
    <row r="477" spans="1:9" x14ac:dyDescent="0.15">
      <c r="A477" s="9">
        <v>476</v>
      </c>
      <c r="B477" s="9" t="s">
        <v>9</v>
      </c>
      <c r="C477" s="9">
        <v>1926</v>
      </c>
      <c r="D477" s="10">
        <v>45722</v>
      </c>
      <c r="E477" s="11" t="str">
        <f>+HYPERLINK("http://trademark.i-assist.jp/data/china/image_1926th/82087084.pdf","82087084")</f>
        <v>82087084</v>
      </c>
      <c r="F477" s="9" t="s">
        <v>1480</v>
      </c>
      <c r="G477" s="9" t="s">
        <v>52</v>
      </c>
      <c r="H477" s="9" t="s">
        <v>1481</v>
      </c>
      <c r="I477" s="10">
        <v>45616</v>
      </c>
    </row>
    <row r="478" spans="1:9" x14ac:dyDescent="0.15">
      <c r="A478" s="9">
        <v>477</v>
      </c>
      <c r="B478" s="9" t="s">
        <v>9</v>
      </c>
      <c r="C478" s="9">
        <v>1926</v>
      </c>
      <c r="D478" s="10">
        <v>45722</v>
      </c>
      <c r="E478" s="11" t="str">
        <f>+HYPERLINK("http://trademark.i-assist.jp/data/china/image_1926th/82087926.pdf","82087926")</f>
        <v>82087926</v>
      </c>
      <c r="F478" s="9" t="s">
        <v>1482</v>
      </c>
      <c r="G478" s="12" t="s">
        <v>64</v>
      </c>
      <c r="H478" s="12" t="s">
        <v>1483</v>
      </c>
      <c r="I478" s="10">
        <v>45616</v>
      </c>
    </row>
    <row r="479" spans="1:9" x14ac:dyDescent="0.15">
      <c r="A479" s="9">
        <v>478</v>
      </c>
      <c r="B479" s="9" t="s">
        <v>9</v>
      </c>
      <c r="C479" s="9">
        <v>1926</v>
      </c>
      <c r="D479" s="10">
        <v>45722</v>
      </c>
      <c r="E479" s="11" t="str">
        <f>+HYPERLINK("http://trademark.i-assist.jp/data/china/image_1926th/82088344.pdf","82088344")</f>
        <v>82088344</v>
      </c>
      <c r="F479" s="12" t="s">
        <v>1484</v>
      </c>
      <c r="G479" s="12" t="s">
        <v>1485</v>
      </c>
      <c r="H479" s="9" t="s">
        <v>1486</v>
      </c>
      <c r="I479" s="10">
        <v>45616</v>
      </c>
    </row>
    <row r="480" spans="1:9" x14ac:dyDescent="0.15">
      <c r="A480" s="9">
        <v>479</v>
      </c>
      <c r="B480" s="9" t="s">
        <v>9</v>
      </c>
      <c r="C480" s="9">
        <v>1926</v>
      </c>
      <c r="D480" s="10">
        <v>45722</v>
      </c>
      <c r="E480" s="11" t="str">
        <f>+HYPERLINK("http://trademark.i-assist.jp/data/china/image_1926th/82088862.pdf","82088862")</f>
        <v>82088862</v>
      </c>
      <c r="F480" s="12" t="s">
        <v>1487</v>
      </c>
      <c r="G480" s="9" t="s">
        <v>1488</v>
      </c>
      <c r="H480" s="9" t="s">
        <v>1489</v>
      </c>
      <c r="I480" s="10">
        <v>45616</v>
      </c>
    </row>
    <row r="481" spans="1:9" x14ac:dyDescent="0.15">
      <c r="A481" s="9">
        <v>480</v>
      </c>
      <c r="B481" s="9" t="s">
        <v>9</v>
      </c>
      <c r="C481" s="9">
        <v>1926</v>
      </c>
      <c r="D481" s="10">
        <v>45722</v>
      </c>
      <c r="E481" s="11" t="str">
        <f>+HYPERLINK("http://trademark.i-assist.jp/data/china/image_1926th/82089250.pdf","82089250")</f>
        <v>82089250</v>
      </c>
      <c r="F481" s="9" t="s">
        <v>1490</v>
      </c>
      <c r="G481" s="9" t="s">
        <v>1491</v>
      </c>
      <c r="H481" s="9" t="s">
        <v>1492</v>
      </c>
      <c r="I481" s="10">
        <v>45616</v>
      </c>
    </row>
    <row r="482" spans="1:9" x14ac:dyDescent="0.15">
      <c r="A482" s="9">
        <v>481</v>
      </c>
      <c r="B482" s="9" t="s">
        <v>9</v>
      </c>
      <c r="C482" s="9">
        <v>1926</v>
      </c>
      <c r="D482" s="10">
        <v>45722</v>
      </c>
      <c r="E482" s="11" t="str">
        <f>+HYPERLINK("http://trademark.i-assist.jp/data/china/image_1926th/82089363.pdf","82089363")</f>
        <v>82089363</v>
      </c>
      <c r="F482" s="9" t="s">
        <v>1493</v>
      </c>
      <c r="G482" s="9" t="s">
        <v>1371</v>
      </c>
      <c r="H482" s="9" t="s">
        <v>1494</v>
      </c>
      <c r="I482" s="10">
        <v>45616</v>
      </c>
    </row>
    <row r="483" spans="1:9" x14ac:dyDescent="0.15">
      <c r="A483" s="9">
        <v>482</v>
      </c>
      <c r="B483" s="9" t="s">
        <v>9</v>
      </c>
      <c r="C483" s="9">
        <v>1926</v>
      </c>
      <c r="D483" s="10">
        <v>45722</v>
      </c>
      <c r="E483" s="11" t="str">
        <f>+HYPERLINK("http://trademark.i-assist.jp/data/china/image_1926th/82089585.pdf","82089585")</f>
        <v>82089585</v>
      </c>
      <c r="F483" s="9" t="s">
        <v>1495</v>
      </c>
      <c r="G483" s="9" t="s">
        <v>1496</v>
      </c>
      <c r="H483" s="9" t="s">
        <v>1497</v>
      </c>
      <c r="I483" s="10">
        <v>45616</v>
      </c>
    </row>
    <row r="484" spans="1:9" x14ac:dyDescent="0.15">
      <c r="A484" s="9">
        <v>483</v>
      </c>
      <c r="B484" s="9" t="s">
        <v>9</v>
      </c>
      <c r="C484" s="9">
        <v>1926</v>
      </c>
      <c r="D484" s="10">
        <v>45722</v>
      </c>
      <c r="E484" s="11" t="str">
        <f>+HYPERLINK("http://trademark.i-assist.jp/data/china/image_1926th/82090296.pdf","82090296")</f>
        <v>82090296</v>
      </c>
      <c r="F484" s="9" t="s">
        <v>1498</v>
      </c>
      <c r="G484" s="9" t="s">
        <v>1499</v>
      </c>
      <c r="H484" s="9" t="s">
        <v>1500</v>
      </c>
      <c r="I484" s="10">
        <v>45616</v>
      </c>
    </row>
    <row r="485" spans="1:9" x14ac:dyDescent="0.15">
      <c r="A485" s="9">
        <v>484</v>
      </c>
      <c r="B485" s="9" t="s">
        <v>9</v>
      </c>
      <c r="C485" s="9">
        <v>1926</v>
      </c>
      <c r="D485" s="10">
        <v>45722</v>
      </c>
      <c r="E485" s="11" t="str">
        <f>+HYPERLINK("http://trademark.i-assist.jp/data/china/image_1926th/82090501.pdf","82090501")</f>
        <v>82090501</v>
      </c>
      <c r="F485" s="9" t="s">
        <v>1501</v>
      </c>
      <c r="G485" s="9" t="s">
        <v>1502</v>
      </c>
      <c r="H485" s="12" t="s">
        <v>1503</v>
      </c>
      <c r="I485" s="10">
        <v>45616</v>
      </c>
    </row>
    <row r="486" spans="1:9" x14ac:dyDescent="0.15">
      <c r="A486" s="9">
        <v>485</v>
      </c>
      <c r="B486" s="9" t="s">
        <v>9</v>
      </c>
      <c r="C486" s="9">
        <v>1926</v>
      </c>
      <c r="D486" s="10">
        <v>45722</v>
      </c>
      <c r="E486" s="11" t="str">
        <f>+HYPERLINK("http://trademark.i-assist.jp/data/china/image_1926th/82090603.pdf","82090603")</f>
        <v>82090603</v>
      </c>
      <c r="F486" s="9" t="s">
        <v>1504</v>
      </c>
      <c r="G486" s="9" t="s">
        <v>1505</v>
      </c>
      <c r="H486" s="9" t="s">
        <v>1506</v>
      </c>
      <c r="I486" s="10">
        <v>45616</v>
      </c>
    </row>
    <row r="487" spans="1:9" x14ac:dyDescent="0.15">
      <c r="A487" s="9">
        <v>486</v>
      </c>
      <c r="B487" s="9" t="s">
        <v>9</v>
      </c>
      <c r="C487" s="9">
        <v>1926</v>
      </c>
      <c r="D487" s="10">
        <v>45722</v>
      </c>
      <c r="E487" s="11" t="str">
        <f>+HYPERLINK("http://trademark.i-assist.jp/data/china/image_1926th/82090767.pdf","82090767")</f>
        <v>82090767</v>
      </c>
      <c r="F487" s="9" t="s">
        <v>1507</v>
      </c>
      <c r="G487" s="12" t="s">
        <v>1508</v>
      </c>
      <c r="H487" s="9" t="s">
        <v>1509</v>
      </c>
      <c r="I487" s="10">
        <v>45616</v>
      </c>
    </row>
    <row r="488" spans="1:9" x14ac:dyDescent="0.15">
      <c r="A488" s="9">
        <v>487</v>
      </c>
      <c r="B488" s="9" t="s">
        <v>9</v>
      </c>
      <c r="C488" s="9">
        <v>1926</v>
      </c>
      <c r="D488" s="10">
        <v>45722</v>
      </c>
      <c r="E488" s="11" t="str">
        <f>+HYPERLINK("http://trademark.i-assist.jp/data/china/image_1926th/82090812.pdf","82090812")</f>
        <v>82090812</v>
      </c>
      <c r="F488" s="9" t="s">
        <v>1510</v>
      </c>
      <c r="G488" s="9" t="s">
        <v>1511</v>
      </c>
      <c r="H488" s="9" t="s">
        <v>1512</v>
      </c>
      <c r="I488" s="10">
        <v>45616</v>
      </c>
    </row>
    <row r="489" spans="1:9" x14ac:dyDescent="0.15">
      <c r="A489" s="9">
        <v>488</v>
      </c>
      <c r="B489" s="9" t="s">
        <v>9</v>
      </c>
      <c r="C489" s="9">
        <v>1926</v>
      </c>
      <c r="D489" s="10">
        <v>45722</v>
      </c>
      <c r="E489" s="11" t="str">
        <f>+HYPERLINK("http://trademark.i-assist.jp/data/china/image_1926th/82090864.pdf","82090864")</f>
        <v>82090864</v>
      </c>
      <c r="F489" s="9" t="s">
        <v>1513</v>
      </c>
      <c r="G489" s="12" t="s">
        <v>1514</v>
      </c>
      <c r="H489" s="12" t="s">
        <v>1515</v>
      </c>
      <c r="I489" s="10">
        <v>45616</v>
      </c>
    </row>
    <row r="490" spans="1:9" x14ac:dyDescent="0.15">
      <c r="A490" s="9">
        <v>489</v>
      </c>
      <c r="B490" s="9" t="s">
        <v>9</v>
      </c>
      <c r="C490" s="9">
        <v>1926</v>
      </c>
      <c r="D490" s="10">
        <v>45722</v>
      </c>
      <c r="E490" s="11" t="str">
        <f>+HYPERLINK("http://trademark.i-assist.jp/data/china/image_1926th/82090923.pdf","82090923")</f>
        <v>82090923</v>
      </c>
      <c r="F490" s="9" t="s">
        <v>1516</v>
      </c>
      <c r="G490" s="9" t="s">
        <v>1517</v>
      </c>
      <c r="H490" s="9" t="s">
        <v>1518</v>
      </c>
      <c r="I490" s="10">
        <v>45616</v>
      </c>
    </row>
    <row r="491" spans="1:9" x14ac:dyDescent="0.15">
      <c r="A491" s="9">
        <v>490</v>
      </c>
      <c r="B491" s="9" t="s">
        <v>9</v>
      </c>
      <c r="C491" s="9">
        <v>1926</v>
      </c>
      <c r="D491" s="10">
        <v>45722</v>
      </c>
      <c r="E491" s="11" t="str">
        <f>+HYPERLINK("http://trademark.i-assist.jp/data/china/image_1926th/82091518.pdf","82091518")</f>
        <v>82091518</v>
      </c>
      <c r="F491" s="9" t="s">
        <v>1519</v>
      </c>
      <c r="G491" s="12" t="s">
        <v>27</v>
      </c>
      <c r="H491" s="9" t="s">
        <v>1520</v>
      </c>
      <c r="I491" s="10">
        <v>45617</v>
      </c>
    </row>
    <row r="492" spans="1:9" x14ac:dyDescent="0.15">
      <c r="A492" s="9">
        <v>491</v>
      </c>
      <c r="B492" s="9" t="s">
        <v>9</v>
      </c>
      <c r="C492" s="9">
        <v>1926</v>
      </c>
      <c r="D492" s="10">
        <v>45722</v>
      </c>
      <c r="E492" s="11" t="str">
        <f>+HYPERLINK("http://trademark.i-assist.jp/data/china/image_1926th/82092037.pdf","82092037")</f>
        <v>82092037</v>
      </c>
      <c r="F492" s="9" t="s">
        <v>1521</v>
      </c>
      <c r="G492" s="9" t="s">
        <v>71</v>
      </c>
      <c r="H492" s="9" t="s">
        <v>1522</v>
      </c>
      <c r="I492" s="10">
        <v>45617</v>
      </c>
    </row>
    <row r="493" spans="1:9" x14ac:dyDescent="0.15">
      <c r="A493" s="9">
        <v>492</v>
      </c>
      <c r="B493" s="9" t="s">
        <v>9</v>
      </c>
      <c r="C493" s="9">
        <v>1926</v>
      </c>
      <c r="D493" s="10">
        <v>45722</v>
      </c>
      <c r="E493" s="11" t="str">
        <f>+HYPERLINK("http://trademark.i-assist.jp/data/china/image_1926th/82092364.pdf","82092364")</f>
        <v>82092364</v>
      </c>
      <c r="F493" s="9" t="s">
        <v>1523</v>
      </c>
      <c r="G493" s="9" t="s">
        <v>1524</v>
      </c>
      <c r="H493" s="9" t="s">
        <v>1525</v>
      </c>
      <c r="I493" s="10">
        <v>45617</v>
      </c>
    </row>
    <row r="494" spans="1:9" x14ac:dyDescent="0.15">
      <c r="A494" s="9">
        <v>493</v>
      </c>
      <c r="B494" s="9" t="s">
        <v>9</v>
      </c>
      <c r="C494" s="9">
        <v>1926</v>
      </c>
      <c r="D494" s="10">
        <v>45722</v>
      </c>
      <c r="E494" s="11" t="str">
        <f>+HYPERLINK("http://trademark.i-assist.jp/data/china/image_1926th/82092438.pdf","82092438")</f>
        <v>82092438</v>
      </c>
      <c r="F494" s="12" t="s">
        <v>1526</v>
      </c>
      <c r="G494" s="12" t="s">
        <v>1527</v>
      </c>
      <c r="H494" s="9" t="s">
        <v>1528</v>
      </c>
      <c r="I494" s="10">
        <v>45617</v>
      </c>
    </row>
    <row r="495" spans="1:9" x14ac:dyDescent="0.15">
      <c r="A495" s="9">
        <v>494</v>
      </c>
      <c r="B495" s="9" t="s">
        <v>9</v>
      </c>
      <c r="C495" s="9">
        <v>1926</v>
      </c>
      <c r="D495" s="10">
        <v>45722</v>
      </c>
      <c r="E495" s="11" t="str">
        <f>+HYPERLINK("http://trademark.i-assist.jp/data/china/image_1926th/82092709.pdf","82092709")</f>
        <v>82092709</v>
      </c>
      <c r="F495" s="9" t="s">
        <v>1529</v>
      </c>
      <c r="G495" s="12" t="s">
        <v>1530</v>
      </c>
      <c r="H495" s="9" t="s">
        <v>1531</v>
      </c>
      <c r="I495" s="10">
        <v>45617</v>
      </c>
    </row>
    <row r="496" spans="1:9" x14ac:dyDescent="0.15">
      <c r="A496" s="9">
        <v>495</v>
      </c>
      <c r="B496" s="9" t="s">
        <v>9</v>
      </c>
      <c r="C496" s="9">
        <v>1926</v>
      </c>
      <c r="D496" s="10">
        <v>45722</v>
      </c>
      <c r="E496" s="11" t="str">
        <f>+HYPERLINK("http://trademark.i-assist.jp/data/china/image_1926th/82092854.pdf","82092854")</f>
        <v>82092854</v>
      </c>
      <c r="F496" s="9" t="s">
        <v>1532</v>
      </c>
      <c r="G496" s="9" t="s">
        <v>1533</v>
      </c>
      <c r="H496" s="9" t="s">
        <v>1534</v>
      </c>
      <c r="I496" s="10">
        <v>45617</v>
      </c>
    </row>
    <row r="497" spans="1:9" x14ac:dyDescent="0.15">
      <c r="A497" s="9">
        <v>496</v>
      </c>
      <c r="B497" s="9" t="s">
        <v>9</v>
      </c>
      <c r="C497" s="9">
        <v>1926</v>
      </c>
      <c r="D497" s="10">
        <v>45722</v>
      </c>
      <c r="E497" s="11" t="str">
        <f>+HYPERLINK("http://trademark.i-assist.jp/data/china/image_1926th/82092912.pdf","82092912")</f>
        <v>82092912</v>
      </c>
      <c r="F497" s="12" t="s">
        <v>1535</v>
      </c>
      <c r="G497" s="9" t="s">
        <v>1451</v>
      </c>
      <c r="H497" s="9" t="s">
        <v>1536</v>
      </c>
      <c r="I497" s="10">
        <v>45617</v>
      </c>
    </row>
    <row r="498" spans="1:9" x14ac:dyDescent="0.15">
      <c r="A498" s="9">
        <v>497</v>
      </c>
      <c r="B498" s="9" t="s">
        <v>9</v>
      </c>
      <c r="C498" s="9">
        <v>1926</v>
      </c>
      <c r="D498" s="10">
        <v>45722</v>
      </c>
      <c r="E498" s="11" t="str">
        <f>+HYPERLINK("http://trademark.i-assist.jp/data/china/image_1926th/82093014.pdf","82093014")</f>
        <v>82093014</v>
      </c>
      <c r="F498" s="9" t="s">
        <v>1537</v>
      </c>
      <c r="G498" s="9" t="s">
        <v>1538</v>
      </c>
      <c r="H498" s="9" t="s">
        <v>1539</v>
      </c>
      <c r="I498" s="10">
        <v>45617</v>
      </c>
    </row>
    <row r="499" spans="1:9" x14ac:dyDescent="0.15">
      <c r="A499" s="9">
        <v>498</v>
      </c>
      <c r="B499" s="9" t="s">
        <v>9</v>
      </c>
      <c r="C499" s="9">
        <v>1926</v>
      </c>
      <c r="D499" s="10">
        <v>45722</v>
      </c>
      <c r="E499" s="11" t="str">
        <f>+HYPERLINK("http://trademark.i-assist.jp/data/china/image_1926th/82093403.pdf","82093403")</f>
        <v>82093403</v>
      </c>
      <c r="F499" s="9" t="s">
        <v>1540</v>
      </c>
      <c r="G499" s="9" t="s">
        <v>1541</v>
      </c>
      <c r="H499" s="9" t="s">
        <v>1542</v>
      </c>
      <c r="I499" s="10">
        <v>45617</v>
      </c>
    </row>
    <row r="500" spans="1:9" x14ac:dyDescent="0.15">
      <c r="A500" s="9">
        <v>499</v>
      </c>
      <c r="B500" s="9" t="s">
        <v>9</v>
      </c>
      <c r="C500" s="9">
        <v>1926</v>
      </c>
      <c r="D500" s="10">
        <v>45722</v>
      </c>
      <c r="E500" s="11" t="str">
        <f>+HYPERLINK("http://trademark.i-assist.jp/data/china/image_1926th/82093883.pdf","82093883")</f>
        <v>82093883</v>
      </c>
      <c r="F500" s="12" t="s">
        <v>20</v>
      </c>
      <c r="G500" s="12" t="s">
        <v>1543</v>
      </c>
      <c r="H500" s="9" t="s">
        <v>1544</v>
      </c>
      <c r="I500" s="10">
        <v>45617</v>
      </c>
    </row>
    <row r="501" spans="1:9" x14ac:dyDescent="0.15">
      <c r="A501" s="9">
        <v>500</v>
      </c>
      <c r="B501" s="9" t="s">
        <v>9</v>
      </c>
      <c r="C501" s="9">
        <v>1926</v>
      </c>
      <c r="D501" s="10">
        <v>45722</v>
      </c>
      <c r="E501" s="11" t="str">
        <f>+HYPERLINK("http://trademark.i-assist.jp/data/china/image_1926th/82093943.pdf","82093943")</f>
        <v>82093943</v>
      </c>
      <c r="F501" s="9" t="s">
        <v>1545</v>
      </c>
      <c r="G501" s="12" t="s">
        <v>1546</v>
      </c>
      <c r="H501" s="9" t="s">
        <v>1547</v>
      </c>
      <c r="I501" s="10">
        <v>45617</v>
      </c>
    </row>
    <row r="502" spans="1:9" x14ac:dyDescent="0.15">
      <c r="A502" s="9">
        <v>501</v>
      </c>
      <c r="B502" s="9" t="s">
        <v>9</v>
      </c>
      <c r="C502" s="9">
        <v>1926</v>
      </c>
      <c r="D502" s="10">
        <v>45722</v>
      </c>
      <c r="E502" s="11" t="str">
        <f>+HYPERLINK("http://trademark.i-assist.jp/data/china/image_1926th/82094295.pdf","82094295")</f>
        <v>82094295</v>
      </c>
      <c r="F502" s="9" t="s">
        <v>1548</v>
      </c>
      <c r="G502" s="12" t="s">
        <v>207</v>
      </c>
      <c r="H502" s="9" t="s">
        <v>1549</v>
      </c>
      <c r="I502" s="10">
        <v>45617</v>
      </c>
    </row>
    <row r="503" spans="1:9" x14ac:dyDescent="0.15">
      <c r="A503" s="9">
        <v>502</v>
      </c>
      <c r="B503" s="9" t="s">
        <v>9</v>
      </c>
      <c r="C503" s="9">
        <v>1926</v>
      </c>
      <c r="D503" s="10">
        <v>45722</v>
      </c>
      <c r="E503" s="11" t="str">
        <f>+HYPERLINK("http://trademark.i-assist.jp/data/china/image_1926th/82094439.pdf","82094439")</f>
        <v>82094439</v>
      </c>
      <c r="F503" s="12" t="s">
        <v>1550</v>
      </c>
      <c r="G503" s="12" t="s">
        <v>1551</v>
      </c>
      <c r="H503" s="9" t="s">
        <v>1552</v>
      </c>
      <c r="I503" s="10">
        <v>45617</v>
      </c>
    </row>
    <row r="504" spans="1:9" x14ac:dyDescent="0.15">
      <c r="A504" s="9">
        <v>503</v>
      </c>
      <c r="B504" s="9" t="s">
        <v>9</v>
      </c>
      <c r="C504" s="9">
        <v>1926</v>
      </c>
      <c r="D504" s="10">
        <v>45722</v>
      </c>
      <c r="E504" s="11" t="str">
        <f>+HYPERLINK("http://trademark.i-assist.jp/data/china/image_1926th/82094610.pdf","82094610")</f>
        <v>82094610</v>
      </c>
      <c r="F504" s="9" t="s">
        <v>1553</v>
      </c>
      <c r="G504" s="9" t="s">
        <v>1554</v>
      </c>
      <c r="H504" s="9" t="s">
        <v>1555</v>
      </c>
      <c r="I504" s="10">
        <v>45617</v>
      </c>
    </row>
    <row r="505" spans="1:9" x14ac:dyDescent="0.15">
      <c r="A505" s="9">
        <v>504</v>
      </c>
      <c r="B505" s="9" t="s">
        <v>9</v>
      </c>
      <c r="C505" s="9">
        <v>1926</v>
      </c>
      <c r="D505" s="10">
        <v>45722</v>
      </c>
      <c r="E505" s="11" t="str">
        <f>+HYPERLINK("http://trademark.i-assist.jp/data/china/image_1926th/82095088.pdf","82095088")</f>
        <v>82095088</v>
      </c>
      <c r="F505" s="9" t="s">
        <v>1556</v>
      </c>
      <c r="G505" s="9" t="s">
        <v>1557</v>
      </c>
      <c r="H505" s="9" t="s">
        <v>1558</v>
      </c>
      <c r="I505" s="10">
        <v>45617</v>
      </c>
    </row>
    <row r="506" spans="1:9" x14ac:dyDescent="0.15">
      <c r="A506" s="9">
        <v>505</v>
      </c>
      <c r="B506" s="9" t="s">
        <v>9</v>
      </c>
      <c r="C506" s="9">
        <v>1926</v>
      </c>
      <c r="D506" s="10">
        <v>45722</v>
      </c>
      <c r="E506" s="11" t="str">
        <f>+HYPERLINK("http://trademark.i-assist.jp/data/china/image_1926th/82095481.pdf","82095481")</f>
        <v>82095481</v>
      </c>
      <c r="F506" s="9" t="s">
        <v>1559</v>
      </c>
      <c r="G506" s="9" t="s">
        <v>1560</v>
      </c>
      <c r="H506" s="9" t="s">
        <v>1561</v>
      </c>
      <c r="I506" s="10">
        <v>45617</v>
      </c>
    </row>
    <row r="507" spans="1:9" x14ac:dyDescent="0.15">
      <c r="A507" s="9">
        <v>506</v>
      </c>
      <c r="B507" s="9" t="s">
        <v>9</v>
      </c>
      <c r="C507" s="9">
        <v>1926</v>
      </c>
      <c r="D507" s="10">
        <v>45722</v>
      </c>
      <c r="E507" s="11" t="str">
        <f>+HYPERLINK("http://trademark.i-assist.jp/data/china/image_1926th/82095893.pdf","82095893")</f>
        <v>82095893</v>
      </c>
      <c r="F507" s="9" t="s">
        <v>1562</v>
      </c>
      <c r="G507" s="9" t="s">
        <v>1563</v>
      </c>
      <c r="H507" s="9" t="s">
        <v>1564</v>
      </c>
      <c r="I507" s="10">
        <v>45617</v>
      </c>
    </row>
    <row r="508" spans="1:9" x14ac:dyDescent="0.15">
      <c r="A508" s="9">
        <v>507</v>
      </c>
      <c r="B508" s="9" t="s">
        <v>9</v>
      </c>
      <c r="C508" s="9">
        <v>1926</v>
      </c>
      <c r="D508" s="10">
        <v>45722</v>
      </c>
      <c r="E508" s="11" t="str">
        <f>+HYPERLINK("http://trademark.i-assist.jp/data/china/image_1926th/82096045.pdf","82096045")</f>
        <v>82096045</v>
      </c>
      <c r="F508" s="9" t="s">
        <v>1519</v>
      </c>
      <c r="G508" s="12" t="s">
        <v>27</v>
      </c>
      <c r="H508" s="9" t="s">
        <v>1565</v>
      </c>
      <c r="I508" s="10">
        <v>45617</v>
      </c>
    </row>
    <row r="509" spans="1:9" x14ac:dyDescent="0.15">
      <c r="A509" s="9">
        <v>508</v>
      </c>
      <c r="B509" s="9" t="s">
        <v>9</v>
      </c>
      <c r="C509" s="9">
        <v>1926</v>
      </c>
      <c r="D509" s="10">
        <v>45722</v>
      </c>
      <c r="E509" s="11" t="str">
        <f>+HYPERLINK("http://trademark.i-assist.jp/data/china/image_1926th/82096584.pdf","82096584")</f>
        <v>82096584</v>
      </c>
      <c r="F509" s="9" t="s">
        <v>1566</v>
      </c>
      <c r="G509" s="12" t="s">
        <v>1567</v>
      </c>
      <c r="H509" s="9" t="s">
        <v>1568</v>
      </c>
      <c r="I509" s="10">
        <v>45617</v>
      </c>
    </row>
    <row r="510" spans="1:9" x14ac:dyDescent="0.15">
      <c r="A510" s="9">
        <v>509</v>
      </c>
      <c r="B510" s="9" t="s">
        <v>9</v>
      </c>
      <c r="C510" s="9">
        <v>1926</v>
      </c>
      <c r="D510" s="10">
        <v>45722</v>
      </c>
      <c r="E510" s="11" t="str">
        <f>+HYPERLINK("http://trademark.i-assist.jp/data/china/image_1926th/82096907.pdf","82096907")</f>
        <v>82096907</v>
      </c>
      <c r="F510" s="9" t="s">
        <v>1569</v>
      </c>
      <c r="G510" s="12" t="s">
        <v>1570</v>
      </c>
      <c r="H510" s="9" t="s">
        <v>1571</v>
      </c>
      <c r="I510" s="10">
        <v>45617</v>
      </c>
    </row>
    <row r="511" spans="1:9" x14ac:dyDescent="0.15">
      <c r="A511" s="9">
        <v>510</v>
      </c>
      <c r="B511" s="9" t="s">
        <v>9</v>
      </c>
      <c r="C511" s="9">
        <v>1926</v>
      </c>
      <c r="D511" s="10">
        <v>45722</v>
      </c>
      <c r="E511" s="11" t="str">
        <f>+HYPERLINK("http://trademark.i-assist.jp/data/china/image_1926th/82096958.pdf","82096958")</f>
        <v>82096958</v>
      </c>
      <c r="F511" s="9" t="s">
        <v>1572</v>
      </c>
      <c r="G511" s="9" t="s">
        <v>1573</v>
      </c>
      <c r="H511" s="9" t="s">
        <v>1574</v>
      </c>
      <c r="I511" s="10">
        <v>45617</v>
      </c>
    </row>
    <row r="512" spans="1:9" x14ac:dyDescent="0.15">
      <c r="A512" s="9">
        <v>511</v>
      </c>
      <c r="B512" s="9" t="s">
        <v>9</v>
      </c>
      <c r="C512" s="9">
        <v>1926</v>
      </c>
      <c r="D512" s="10">
        <v>45722</v>
      </c>
      <c r="E512" s="11" t="str">
        <f>+HYPERLINK("http://trademark.i-assist.jp/data/china/image_1926th/82097303.pdf","82097303")</f>
        <v>82097303</v>
      </c>
      <c r="F512" s="9" t="s">
        <v>1575</v>
      </c>
      <c r="G512" s="12" t="s">
        <v>1576</v>
      </c>
      <c r="H512" s="12" t="s">
        <v>1577</v>
      </c>
      <c r="I512" s="10">
        <v>45617</v>
      </c>
    </row>
    <row r="513" spans="1:9" x14ac:dyDescent="0.15">
      <c r="A513" s="9">
        <v>512</v>
      </c>
      <c r="B513" s="9" t="s">
        <v>9</v>
      </c>
      <c r="C513" s="9">
        <v>1926</v>
      </c>
      <c r="D513" s="10">
        <v>45722</v>
      </c>
      <c r="E513" s="11" t="str">
        <f>+HYPERLINK("http://trademark.i-assist.jp/data/china/image_1926th/82097334.pdf","82097334")</f>
        <v>82097334</v>
      </c>
      <c r="F513" s="9" t="s">
        <v>1578</v>
      </c>
      <c r="G513" s="9" t="s">
        <v>1579</v>
      </c>
      <c r="H513" s="12" t="s">
        <v>1580</v>
      </c>
      <c r="I513" s="10">
        <v>45617</v>
      </c>
    </row>
    <row r="514" spans="1:9" x14ac:dyDescent="0.15">
      <c r="A514" s="9">
        <v>513</v>
      </c>
      <c r="B514" s="9" t="s">
        <v>9</v>
      </c>
      <c r="C514" s="9">
        <v>1926</v>
      </c>
      <c r="D514" s="10">
        <v>45722</v>
      </c>
      <c r="E514" s="11" t="str">
        <f>+HYPERLINK("http://trademark.i-assist.jp/data/china/image_1926th/82097344.pdf","82097344")</f>
        <v>82097344</v>
      </c>
      <c r="F514" s="9" t="s">
        <v>1581</v>
      </c>
      <c r="G514" s="9" t="s">
        <v>1582</v>
      </c>
      <c r="H514" s="9" t="s">
        <v>1583</v>
      </c>
      <c r="I514" s="10">
        <v>45617</v>
      </c>
    </row>
    <row r="515" spans="1:9" x14ac:dyDescent="0.15">
      <c r="A515" s="9">
        <v>514</v>
      </c>
      <c r="B515" s="9" t="s">
        <v>9</v>
      </c>
      <c r="C515" s="9">
        <v>1926</v>
      </c>
      <c r="D515" s="10">
        <v>45722</v>
      </c>
      <c r="E515" s="11" t="str">
        <f>+HYPERLINK("http://trademark.i-assist.jp/data/china/image_1926th/82097465.pdf","82097465")</f>
        <v>82097465</v>
      </c>
      <c r="F515" s="12" t="s">
        <v>1584</v>
      </c>
      <c r="G515" s="9" t="s">
        <v>1585</v>
      </c>
      <c r="H515" s="9" t="s">
        <v>1586</v>
      </c>
      <c r="I515" s="10">
        <v>45617</v>
      </c>
    </row>
    <row r="516" spans="1:9" x14ac:dyDescent="0.15">
      <c r="A516" s="9">
        <v>515</v>
      </c>
      <c r="B516" s="9" t="s">
        <v>9</v>
      </c>
      <c r="C516" s="9">
        <v>1926</v>
      </c>
      <c r="D516" s="10">
        <v>45722</v>
      </c>
      <c r="E516" s="11" t="str">
        <f>+HYPERLINK("http://trademark.i-assist.jp/data/china/image_1926th/82097601.pdf","82097601")</f>
        <v>82097601</v>
      </c>
      <c r="F516" s="9" t="s">
        <v>1587</v>
      </c>
      <c r="G516" s="9" t="s">
        <v>1588</v>
      </c>
      <c r="H516" s="9" t="s">
        <v>1589</v>
      </c>
      <c r="I516" s="10">
        <v>45617</v>
      </c>
    </row>
    <row r="517" spans="1:9" x14ac:dyDescent="0.15">
      <c r="A517" s="9">
        <v>516</v>
      </c>
      <c r="B517" s="9" t="s">
        <v>9</v>
      </c>
      <c r="C517" s="9">
        <v>1926</v>
      </c>
      <c r="D517" s="10">
        <v>45722</v>
      </c>
      <c r="E517" s="11" t="str">
        <f>+HYPERLINK("http://trademark.i-assist.jp/data/china/image_1926th/82097833.pdf","82097833")</f>
        <v>82097833</v>
      </c>
      <c r="F517" s="9" t="s">
        <v>1590</v>
      </c>
      <c r="G517" s="12" t="s">
        <v>1591</v>
      </c>
      <c r="H517" s="9" t="s">
        <v>1592</v>
      </c>
      <c r="I517" s="10">
        <v>45617</v>
      </c>
    </row>
    <row r="518" spans="1:9" x14ac:dyDescent="0.15">
      <c r="A518" s="9">
        <v>517</v>
      </c>
      <c r="B518" s="9" t="s">
        <v>9</v>
      </c>
      <c r="C518" s="9">
        <v>1926</v>
      </c>
      <c r="D518" s="10">
        <v>45722</v>
      </c>
      <c r="E518" s="11" t="str">
        <f>+HYPERLINK("http://trademark.i-assist.jp/data/china/image_1926th/82097861.pdf","82097861")</f>
        <v>82097861</v>
      </c>
      <c r="F518" s="9" t="s">
        <v>1593</v>
      </c>
      <c r="G518" s="9" t="s">
        <v>1594</v>
      </c>
      <c r="H518" s="9" t="s">
        <v>1595</v>
      </c>
      <c r="I518" s="10">
        <v>45617</v>
      </c>
    </row>
    <row r="519" spans="1:9" x14ac:dyDescent="0.15">
      <c r="A519" s="9">
        <v>518</v>
      </c>
      <c r="B519" s="9" t="s">
        <v>9</v>
      </c>
      <c r="C519" s="9">
        <v>1926</v>
      </c>
      <c r="D519" s="10">
        <v>45722</v>
      </c>
      <c r="E519" s="11" t="str">
        <f>+HYPERLINK("http://trademark.i-assist.jp/data/china/image_1926th/82098118.pdf","82098118")</f>
        <v>82098118</v>
      </c>
      <c r="F519" s="9" t="s">
        <v>1596</v>
      </c>
      <c r="G519" s="9" t="s">
        <v>1597</v>
      </c>
      <c r="H519" s="9" t="s">
        <v>1598</v>
      </c>
      <c r="I519" s="10">
        <v>45617</v>
      </c>
    </row>
    <row r="520" spans="1:9" x14ac:dyDescent="0.15">
      <c r="A520" s="9">
        <v>519</v>
      </c>
      <c r="B520" s="9" t="s">
        <v>9</v>
      </c>
      <c r="C520" s="9">
        <v>1926</v>
      </c>
      <c r="D520" s="10">
        <v>45722</v>
      </c>
      <c r="E520" s="11" t="str">
        <f>+HYPERLINK("http://trademark.i-assist.jp/data/china/image_1926th/82099671.pdf","82099671")</f>
        <v>82099671</v>
      </c>
      <c r="F520" s="12" t="s">
        <v>1599</v>
      </c>
      <c r="G520" s="12" t="s">
        <v>1527</v>
      </c>
      <c r="H520" s="9" t="s">
        <v>1600</v>
      </c>
      <c r="I520" s="10">
        <v>45617</v>
      </c>
    </row>
    <row r="521" spans="1:9" x14ac:dyDescent="0.15">
      <c r="A521" s="9">
        <v>520</v>
      </c>
      <c r="B521" s="9" t="s">
        <v>9</v>
      </c>
      <c r="C521" s="9">
        <v>1926</v>
      </c>
      <c r="D521" s="10">
        <v>45722</v>
      </c>
      <c r="E521" s="11" t="str">
        <f>+HYPERLINK("http://trademark.i-assist.jp/data/china/image_1926th/82100759.pdf","82100759")</f>
        <v>82100759</v>
      </c>
      <c r="F521" s="9" t="s">
        <v>1601</v>
      </c>
      <c r="G521" s="9" t="s">
        <v>1602</v>
      </c>
      <c r="H521" s="9" t="s">
        <v>1603</v>
      </c>
      <c r="I521" s="10">
        <v>45617</v>
      </c>
    </row>
    <row r="522" spans="1:9" x14ac:dyDescent="0.15">
      <c r="A522" s="9">
        <v>521</v>
      </c>
      <c r="B522" s="9" t="s">
        <v>9</v>
      </c>
      <c r="C522" s="9">
        <v>1926</v>
      </c>
      <c r="D522" s="10">
        <v>45722</v>
      </c>
      <c r="E522" s="11" t="str">
        <f>+HYPERLINK("http://trademark.i-assist.jp/data/china/image_1926th/82101087.pdf","82101087")</f>
        <v>82101087</v>
      </c>
      <c r="F522" s="9" t="s">
        <v>1604</v>
      </c>
      <c r="G522" s="12" t="s">
        <v>1605</v>
      </c>
      <c r="H522" s="12" t="s">
        <v>1606</v>
      </c>
      <c r="I522" s="10">
        <v>45617</v>
      </c>
    </row>
    <row r="523" spans="1:9" x14ac:dyDescent="0.15">
      <c r="A523" s="9">
        <v>522</v>
      </c>
      <c r="B523" s="9" t="s">
        <v>9</v>
      </c>
      <c r="C523" s="9">
        <v>1926</v>
      </c>
      <c r="D523" s="10">
        <v>45722</v>
      </c>
      <c r="E523" s="11" t="str">
        <f>+HYPERLINK("http://trademark.i-assist.jp/data/china/image_1926th/82101415.pdf","82101415")</f>
        <v>82101415</v>
      </c>
      <c r="F523" s="9" t="s">
        <v>1607</v>
      </c>
      <c r="G523" s="9" t="s">
        <v>1608</v>
      </c>
      <c r="H523" s="9" t="s">
        <v>1609</v>
      </c>
      <c r="I523" s="10">
        <v>45617</v>
      </c>
    </row>
    <row r="524" spans="1:9" x14ac:dyDescent="0.15">
      <c r="A524" s="9">
        <v>523</v>
      </c>
      <c r="B524" s="9" t="s">
        <v>9</v>
      </c>
      <c r="C524" s="9">
        <v>1926</v>
      </c>
      <c r="D524" s="10">
        <v>45722</v>
      </c>
      <c r="E524" s="11" t="str">
        <f>+HYPERLINK("http://trademark.i-assist.jp/data/china/image_1926th/82101468.pdf","82101468")</f>
        <v>82101468</v>
      </c>
      <c r="F524" s="9" t="s">
        <v>1610</v>
      </c>
      <c r="G524" s="9" t="s">
        <v>1611</v>
      </c>
      <c r="H524" s="9" t="s">
        <v>1612</v>
      </c>
      <c r="I524" s="10">
        <v>45617</v>
      </c>
    </row>
    <row r="525" spans="1:9" x14ac:dyDescent="0.15">
      <c r="A525" s="9">
        <v>524</v>
      </c>
      <c r="B525" s="9" t="s">
        <v>9</v>
      </c>
      <c r="C525" s="9">
        <v>1926</v>
      </c>
      <c r="D525" s="10">
        <v>45722</v>
      </c>
      <c r="E525" s="11" t="str">
        <f>+HYPERLINK("http://trademark.i-assist.jp/data/china/image_1926th/82101515.pdf","82101515")</f>
        <v>82101515</v>
      </c>
      <c r="F525" s="9" t="s">
        <v>1613</v>
      </c>
      <c r="G525" s="9" t="s">
        <v>1614</v>
      </c>
      <c r="H525" s="9" t="s">
        <v>1615</v>
      </c>
      <c r="I525" s="10">
        <v>45617</v>
      </c>
    </row>
    <row r="526" spans="1:9" x14ac:dyDescent="0.15">
      <c r="A526" s="9">
        <v>525</v>
      </c>
      <c r="B526" s="9" t="s">
        <v>9</v>
      </c>
      <c r="C526" s="9">
        <v>1926</v>
      </c>
      <c r="D526" s="10">
        <v>45722</v>
      </c>
      <c r="E526" s="11" t="str">
        <f>+HYPERLINK("http://trademark.i-assist.jp/data/china/image_1926th/82102221.pdf","82102221")</f>
        <v>82102221</v>
      </c>
      <c r="F526" s="9" t="s">
        <v>1616</v>
      </c>
      <c r="G526" s="9" t="s">
        <v>71</v>
      </c>
      <c r="H526" s="9" t="s">
        <v>1617</v>
      </c>
      <c r="I526" s="10">
        <v>45617</v>
      </c>
    </row>
    <row r="527" spans="1:9" x14ac:dyDescent="0.15">
      <c r="A527" s="9">
        <v>526</v>
      </c>
      <c r="B527" s="9" t="s">
        <v>9</v>
      </c>
      <c r="C527" s="9">
        <v>1926</v>
      </c>
      <c r="D527" s="10">
        <v>45722</v>
      </c>
      <c r="E527" s="11" t="str">
        <f>+HYPERLINK("http://trademark.i-assist.jp/data/china/image_1926th/82102488.pdf","82102488")</f>
        <v>82102488</v>
      </c>
      <c r="F527" s="12" t="s">
        <v>1618</v>
      </c>
      <c r="G527" s="9" t="s">
        <v>1619</v>
      </c>
      <c r="H527" s="9" t="s">
        <v>1620</v>
      </c>
      <c r="I527" s="10">
        <v>45617</v>
      </c>
    </row>
    <row r="528" spans="1:9" x14ac:dyDescent="0.15">
      <c r="A528" s="9">
        <v>527</v>
      </c>
      <c r="B528" s="9" t="s">
        <v>9</v>
      </c>
      <c r="C528" s="9">
        <v>1926</v>
      </c>
      <c r="D528" s="10">
        <v>45722</v>
      </c>
      <c r="E528" s="11" t="str">
        <f>+HYPERLINK("http://trademark.i-assist.jp/data/china/image_1926th/82102548.pdf","82102548")</f>
        <v>82102548</v>
      </c>
      <c r="F528" s="12" t="s">
        <v>1621</v>
      </c>
      <c r="G528" s="9" t="s">
        <v>1622</v>
      </c>
      <c r="H528" s="9" t="s">
        <v>1623</v>
      </c>
      <c r="I528" s="10">
        <v>45617</v>
      </c>
    </row>
    <row r="529" spans="1:9" x14ac:dyDescent="0.15">
      <c r="A529" s="9">
        <v>528</v>
      </c>
      <c r="B529" s="9" t="s">
        <v>9</v>
      </c>
      <c r="C529" s="9">
        <v>1926</v>
      </c>
      <c r="D529" s="10">
        <v>45722</v>
      </c>
      <c r="E529" s="11" t="str">
        <f>+HYPERLINK("http://trademark.i-assist.jp/data/china/image_1926th/82102930.pdf","82102930")</f>
        <v>82102930</v>
      </c>
      <c r="F529" s="12" t="s">
        <v>1624</v>
      </c>
      <c r="G529" s="12" t="s">
        <v>1625</v>
      </c>
      <c r="H529" s="9" t="s">
        <v>1626</v>
      </c>
      <c r="I529" s="10">
        <v>45617</v>
      </c>
    </row>
    <row r="530" spans="1:9" x14ac:dyDescent="0.15">
      <c r="A530" s="9">
        <v>529</v>
      </c>
      <c r="B530" s="9" t="s">
        <v>9</v>
      </c>
      <c r="C530" s="9">
        <v>1926</v>
      </c>
      <c r="D530" s="10">
        <v>45722</v>
      </c>
      <c r="E530" s="11" t="str">
        <f>+HYPERLINK("http://trademark.i-assist.jp/data/china/image_1926th/82103467.pdf","82103467")</f>
        <v>82103467</v>
      </c>
      <c r="F530" s="9" t="s">
        <v>1627</v>
      </c>
      <c r="G530" s="9" t="s">
        <v>1628</v>
      </c>
      <c r="H530" s="9" t="s">
        <v>1629</v>
      </c>
      <c r="I530" s="10">
        <v>45617</v>
      </c>
    </row>
    <row r="531" spans="1:9" x14ac:dyDescent="0.15">
      <c r="A531" s="9">
        <v>530</v>
      </c>
      <c r="B531" s="9" t="s">
        <v>9</v>
      </c>
      <c r="C531" s="9">
        <v>1926</v>
      </c>
      <c r="D531" s="10">
        <v>45722</v>
      </c>
      <c r="E531" s="11" t="str">
        <f>+HYPERLINK("http://trademark.i-assist.jp/data/china/image_1926th/82103718.pdf","82103718")</f>
        <v>82103718</v>
      </c>
      <c r="F531" s="9" t="s">
        <v>1630</v>
      </c>
      <c r="G531" s="12" t="s">
        <v>11</v>
      </c>
      <c r="H531" s="9" t="s">
        <v>1631</v>
      </c>
      <c r="I531" s="10">
        <v>45617</v>
      </c>
    </row>
    <row r="532" spans="1:9" x14ac:dyDescent="0.15">
      <c r="A532" s="9">
        <v>531</v>
      </c>
      <c r="B532" s="9" t="s">
        <v>9</v>
      </c>
      <c r="C532" s="9">
        <v>1926</v>
      </c>
      <c r="D532" s="10">
        <v>45722</v>
      </c>
      <c r="E532" s="11" t="str">
        <f>+HYPERLINK("http://trademark.i-assist.jp/data/china/image_1926th/82103790.pdf","82103790")</f>
        <v>82103790</v>
      </c>
      <c r="F532" s="9" t="s">
        <v>1632</v>
      </c>
      <c r="G532" s="9" t="s">
        <v>1633</v>
      </c>
      <c r="H532" s="9" t="s">
        <v>1634</v>
      </c>
      <c r="I532" s="10">
        <v>45617</v>
      </c>
    </row>
    <row r="533" spans="1:9" x14ac:dyDescent="0.15">
      <c r="A533" s="9">
        <v>532</v>
      </c>
      <c r="B533" s="9" t="s">
        <v>9</v>
      </c>
      <c r="C533" s="9">
        <v>1926</v>
      </c>
      <c r="D533" s="10">
        <v>45722</v>
      </c>
      <c r="E533" s="11" t="str">
        <f>+HYPERLINK("http://trademark.i-assist.jp/data/china/image_1926th/82103988.pdf","82103988")</f>
        <v>82103988</v>
      </c>
      <c r="F533" s="9" t="s">
        <v>1635</v>
      </c>
      <c r="G533" s="9" t="s">
        <v>1636</v>
      </c>
      <c r="H533" s="9" t="s">
        <v>1637</v>
      </c>
      <c r="I533" s="10">
        <v>45617</v>
      </c>
    </row>
    <row r="534" spans="1:9" x14ac:dyDescent="0.15">
      <c r="A534" s="9">
        <v>533</v>
      </c>
      <c r="B534" s="9" t="s">
        <v>9</v>
      </c>
      <c r="C534" s="9">
        <v>1926</v>
      </c>
      <c r="D534" s="10">
        <v>45722</v>
      </c>
      <c r="E534" s="11" t="str">
        <f>+HYPERLINK("http://trademark.i-assist.jp/data/china/image_1926th/82104082.pdf","82104082")</f>
        <v>82104082</v>
      </c>
      <c r="F534" s="9" t="s">
        <v>1638</v>
      </c>
      <c r="G534" s="9" t="s">
        <v>71</v>
      </c>
      <c r="H534" s="9" t="s">
        <v>1639</v>
      </c>
      <c r="I534" s="10">
        <v>45617</v>
      </c>
    </row>
    <row r="535" spans="1:9" x14ac:dyDescent="0.15">
      <c r="A535" s="9">
        <v>534</v>
      </c>
      <c r="B535" s="9" t="s">
        <v>9</v>
      </c>
      <c r="C535" s="9">
        <v>1926</v>
      </c>
      <c r="D535" s="10">
        <v>45722</v>
      </c>
      <c r="E535" s="11" t="str">
        <f>+HYPERLINK("http://trademark.i-assist.jp/data/china/image_1926th/82104093.pdf","82104093")</f>
        <v>82104093</v>
      </c>
      <c r="F535" s="9" t="s">
        <v>1640</v>
      </c>
      <c r="G535" s="9" t="s">
        <v>1641</v>
      </c>
      <c r="H535" s="9" t="s">
        <v>1642</v>
      </c>
      <c r="I535" s="10">
        <v>45617</v>
      </c>
    </row>
    <row r="536" spans="1:9" x14ac:dyDescent="0.15">
      <c r="A536" s="9">
        <v>535</v>
      </c>
      <c r="B536" s="9" t="s">
        <v>9</v>
      </c>
      <c r="C536" s="9">
        <v>1926</v>
      </c>
      <c r="D536" s="10">
        <v>45722</v>
      </c>
      <c r="E536" s="11" t="str">
        <f>+HYPERLINK("http://trademark.i-assist.jp/data/china/image_1926th/82104632.pdf","82104632")</f>
        <v>82104632</v>
      </c>
      <c r="F536" s="9" t="s">
        <v>1643</v>
      </c>
      <c r="G536" s="12" t="s">
        <v>76</v>
      </c>
      <c r="H536" s="9" t="s">
        <v>1644</v>
      </c>
      <c r="I536" s="10">
        <v>45617</v>
      </c>
    </row>
    <row r="537" spans="1:9" x14ac:dyDescent="0.15">
      <c r="A537" s="9">
        <v>536</v>
      </c>
      <c r="B537" s="9" t="s">
        <v>9</v>
      </c>
      <c r="C537" s="9">
        <v>1926</v>
      </c>
      <c r="D537" s="10">
        <v>45722</v>
      </c>
      <c r="E537" s="11" t="str">
        <f>+HYPERLINK("http://trademark.i-assist.jp/data/china/image_1926th/82104731.pdf","82104731")</f>
        <v>82104731</v>
      </c>
      <c r="F537" s="9" t="s">
        <v>1645</v>
      </c>
      <c r="G537" s="9" t="s">
        <v>1628</v>
      </c>
      <c r="H537" s="9" t="s">
        <v>1646</v>
      </c>
      <c r="I537" s="10">
        <v>45617</v>
      </c>
    </row>
    <row r="538" spans="1:9" x14ac:dyDescent="0.15">
      <c r="A538" s="9">
        <v>537</v>
      </c>
      <c r="B538" s="9" t="s">
        <v>9</v>
      </c>
      <c r="C538" s="9">
        <v>1926</v>
      </c>
      <c r="D538" s="10">
        <v>45722</v>
      </c>
      <c r="E538" s="11" t="str">
        <f>+HYPERLINK("http://trademark.i-assist.jp/data/china/image_1926th/82104869.pdf","82104869")</f>
        <v>82104869</v>
      </c>
      <c r="F538" s="9" t="s">
        <v>1647</v>
      </c>
      <c r="G538" s="9" t="s">
        <v>71</v>
      </c>
      <c r="H538" s="9" t="s">
        <v>1648</v>
      </c>
      <c r="I538" s="10">
        <v>45617</v>
      </c>
    </row>
    <row r="539" spans="1:9" x14ac:dyDescent="0.15">
      <c r="A539" s="9">
        <v>538</v>
      </c>
      <c r="B539" s="9" t="s">
        <v>9</v>
      </c>
      <c r="C539" s="9">
        <v>1926</v>
      </c>
      <c r="D539" s="10">
        <v>45722</v>
      </c>
      <c r="E539" s="11" t="str">
        <f>+HYPERLINK("http://trademark.i-assist.jp/data/china/image_1926th/82105349.pdf","82105349")</f>
        <v>82105349</v>
      </c>
      <c r="F539" s="9" t="s">
        <v>1649</v>
      </c>
      <c r="G539" s="9" t="s">
        <v>1557</v>
      </c>
      <c r="H539" s="9" t="s">
        <v>1650</v>
      </c>
      <c r="I539" s="10">
        <v>45617</v>
      </c>
    </row>
    <row r="540" spans="1:9" x14ac:dyDescent="0.15">
      <c r="A540" s="9">
        <v>539</v>
      </c>
      <c r="B540" s="9" t="s">
        <v>9</v>
      </c>
      <c r="C540" s="9">
        <v>1926</v>
      </c>
      <c r="D540" s="10">
        <v>45722</v>
      </c>
      <c r="E540" s="11" t="str">
        <f>+HYPERLINK("http://trademark.i-assist.jp/data/china/image_1926th/82105447.pdf","82105447")</f>
        <v>82105447</v>
      </c>
      <c r="F540" s="9" t="s">
        <v>1651</v>
      </c>
      <c r="G540" s="9" t="s">
        <v>1563</v>
      </c>
      <c r="H540" s="9" t="s">
        <v>1652</v>
      </c>
      <c r="I540" s="10">
        <v>45617</v>
      </c>
    </row>
    <row r="541" spans="1:9" x14ac:dyDescent="0.15">
      <c r="A541" s="9">
        <v>540</v>
      </c>
      <c r="B541" s="9" t="s">
        <v>9</v>
      </c>
      <c r="C541" s="9">
        <v>1926</v>
      </c>
      <c r="D541" s="10">
        <v>45722</v>
      </c>
      <c r="E541" s="11" t="str">
        <f>+HYPERLINK("http://trademark.i-assist.jp/data/china/image_1926th/82106526.pdf","82106526")</f>
        <v>82106526</v>
      </c>
      <c r="F541" s="9" t="s">
        <v>1653</v>
      </c>
      <c r="G541" s="12" t="s">
        <v>1654</v>
      </c>
      <c r="H541" s="9" t="s">
        <v>1655</v>
      </c>
      <c r="I541" s="10">
        <v>45617</v>
      </c>
    </row>
    <row r="542" spans="1:9" x14ac:dyDescent="0.15">
      <c r="A542" s="9">
        <v>541</v>
      </c>
      <c r="B542" s="9" t="s">
        <v>9</v>
      </c>
      <c r="C542" s="9">
        <v>1926</v>
      </c>
      <c r="D542" s="10">
        <v>45722</v>
      </c>
      <c r="E542" s="11" t="str">
        <f>+HYPERLINK("http://trademark.i-assist.jp/data/china/image_1926th/82106881.pdf","82106881")</f>
        <v>82106881</v>
      </c>
      <c r="F542" s="9" t="s">
        <v>1656</v>
      </c>
      <c r="G542" s="9" t="s">
        <v>1657</v>
      </c>
      <c r="H542" s="9" t="s">
        <v>1658</v>
      </c>
      <c r="I542" s="10">
        <v>45617</v>
      </c>
    </row>
    <row r="543" spans="1:9" x14ac:dyDescent="0.15">
      <c r="A543" s="9">
        <v>542</v>
      </c>
      <c r="B543" s="9" t="s">
        <v>9</v>
      </c>
      <c r="C543" s="9">
        <v>1926</v>
      </c>
      <c r="D543" s="10">
        <v>45722</v>
      </c>
      <c r="E543" s="11" t="str">
        <f>+HYPERLINK("http://trademark.i-assist.jp/data/china/image_1926th/82106965.pdf","82106965")</f>
        <v>82106965</v>
      </c>
      <c r="F543" s="9" t="s">
        <v>1659</v>
      </c>
      <c r="G543" s="9" t="s">
        <v>1660</v>
      </c>
      <c r="H543" s="9" t="s">
        <v>1661</v>
      </c>
      <c r="I543" s="10">
        <v>45617</v>
      </c>
    </row>
    <row r="544" spans="1:9" x14ac:dyDescent="0.15">
      <c r="A544" s="9">
        <v>543</v>
      </c>
      <c r="B544" s="9" t="s">
        <v>9</v>
      </c>
      <c r="C544" s="9">
        <v>1926</v>
      </c>
      <c r="D544" s="10">
        <v>45722</v>
      </c>
      <c r="E544" s="11" t="str">
        <f>+HYPERLINK("http://trademark.i-assist.jp/data/china/image_1926th/82107177.pdf","82107177")</f>
        <v>82107177</v>
      </c>
      <c r="F544" s="9" t="s">
        <v>1662</v>
      </c>
      <c r="G544" s="9" t="s">
        <v>1663</v>
      </c>
      <c r="H544" s="9" t="s">
        <v>1664</v>
      </c>
      <c r="I544" s="10">
        <v>45617</v>
      </c>
    </row>
    <row r="545" spans="1:9" x14ac:dyDescent="0.15">
      <c r="A545" s="9">
        <v>544</v>
      </c>
      <c r="B545" s="9" t="s">
        <v>9</v>
      </c>
      <c r="C545" s="9">
        <v>1926</v>
      </c>
      <c r="D545" s="10">
        <v>45722</v>
      </c>
      <c r="E545" s="11" t="str">
        <f>+HYPERLINK("http://trademark.i-assist.jp/data/china/image_1926th/82107291.pdf","82107291")</f>
        <v>82107291</v>
      </c>
      <c r="F545" s="9" t="s">
        <v>1665</v>
      </c>
      <c r="G545" s="9" t="s">
        <v>1666</v>
      </c>
      <c r="H545" s="9" t="s">
        <v>1667</v>
      </c>
      <c r="I545" s="10">
        <v>45617</v>
      </c>
    </row>
    <row r="546" spans="1:9" x14ac:dyDescent="0.15">
      <c r="A546" s="9">
        <v>545</v>
      </c>
      <c r="B546" s="9" t="s">
        <v>9</v>
      </c>
      <c r="C546" s="9">
        <v>1926</v>
      </c>
      <c r="D546" s="10">
        <v>45722</v>
      </c>
      <c r="E546" s="11" t="str">
        <f>+HYPERLINK("http://trademark.i-assist.jp/data/china/image_1926th/82107579.pdf","82107579")</f>
        <v>82107579</v>
      </c>
      <c r="F546" s="12" t="s">
        <v>1668</v>
      </c>
      <c r="G546" s="9" t="s">
        <v>74</v>
      </c>
      <c r="H546" s="9" t="s">
        <v>1669</v>
      </c>
      <c r="I546" s="10">
        <v>45617</v>
      </c>
    </row>
    <row r="547" spans="1:9" x14ac:dyDescent="0.15">
      <c r="A547" s="9">
        <v>546</v>
      </c>
      <c r="B547" s="9" t="s">
        <v>9</v>
      </c>
      <c r="C547" s="9">
        <v>1926</v>
      </c>
      <c r="D547" s="10">
        <v>45722</v>
      </c>
      <c r="E547" s="11" t="str">
        <f>+HYPERLINK("http://trademark.i-assist.jp/data/china/image_1926th/82108337.pdf","82108337")</f>
        <v>82108337</v>
      </c>
      <c r="F547" s="9" t="s">
        <v>1670</v>
      </c>
      <c r="G547" s="9" t="s">
        <v>1671</v>
      </c>
      <c r="H547" s="12" t="s">
        <v>1672</v>
      </c>
      <c r="I547" s="10">
        <v>45617</v>
      </c>
    </row>
    <row r="548" spans="1:9" x14ac:dyDescent="0.15">
      <c r="A548" s="9">
        <v>547</v>
      </c>
      <c r="B548" s="9" t="s">
        <v>9</v>
      </c>
      <c r="C548" s="9">
        <v>1926</v>
      </c>
      <c r="D548" s="10">
        <v>45722</v>
      </c>
      <c r="E548" s="11" t="str">
        <f>+HYPERLINK("http://trademark.i-assist.jp/data/china/image_1926th/82108691.pdf","82108691")</f>
        <v>82108691</v>
      </c>
      <c r="F548" s="9" t="s">
        <v>1673</v>
      </c>
      <c r="G548" s="9" t="s">
        <v>1563</v>
      </c>
      <c r="H548" s="9" t="s">
        <v>1674</v>
      </c>
      <c r="I548" s="10">
        <v>45617</v>
      </c>
    </row>
    <row r="549" spans="1:9" x14ac:dyDescent="0.15">
      <c r="A549" s="9">
        <v>548</v>
      </c>
      <c r="B549" s="9" t="s">
        <v>9</v>
      </c>
      <c r="C549" s="9">
        <v>1926</v>
      </c>
      <c r="D549" s="10">
        <v>45722</v>
      </c>
      <c r="E549" s="11" t="str">
        <f>+HYPERLINK("http://trademark.i-assist.jp/data/china/image_1926th/82108967.pdf","82108967")</f>
        <v>82108967</v>
      </c>
      <c r="F549" s="9" t="s">
        <v>1675</v>
      </c>
      <c r="G549" s="12" t="s">
        <v>1676</v>
      </c>
      <c r="H549" s="9" t="s">
        <v>1677</v>
      </c>
      <c r="I549" s="10">
        <v>45617</v>
      </c>
    </row>
    <row r="550" spans="1:9" x14ac:dyDescent="0.15">
      <c r="A550" s="9">
        <v>549</v>
      </c>
      <c r="B550" s="9" t="s">
        <v>9</v>
      </c>
      <c r="C550" s="9">
        <v>1926</v>
      </c>
      <c r="D550" s="10">
        <v>45722</v>
      </c>
      <c r="E550" s="11" t="str">
        <f>+HYPERLINK("http://trademark.i-assist.jp/data/china/image_1926th/82109110.pdf","82109110")</f>
        <v>82109110</v>
      </c>
      <c r="F550" s="9" t="s">
        <v>1678</v>
      </c>
      <c r="G550" s="9" t="s">
        <v>71</v>
      </c>
      <c r="H550" s="9" t="s">
        <v>1679</v>
      </c>
      <c r="I550" s="10">
        <v>45617</v>
      </c>
    </row>
    <row r="551" spans="1:9" x14ac:dyDescent="0.15">
      <c r="A551" s="9">
        <v>550</v>
      </c>
      <c r="B551" s="9" t="s">
        <v>9</v>
      </c>
      <c r="C551" s="9">
        <v>1926</v>
      </c>
      <c r="D551" s="10">
        <v>45722</v>
      </c>
      <c r="E551" s="11" t="str">
        <f>+HYPERLINK("http://trademark.i-assist.jp/data/china/image_1926th/82109267.pdf","82109267")</f>
        <v>82109267</v>
      </c>
      <c r="F551" s="12" t="s">
        <v>1680</v>
      </c>
      <c r="G551" s="9" t="s">
        <v>1636</v>
      </c>
      <c r="H551" s="9" t="s">
        <v>1681</v>
      </c>
      <c r="I551" s="10">
        <v>45617</v>
      </c>
    </row>
    <row r="552" spans="1:9" x14ac:dyDescent="0.15">
      <c r="A552" s="9">
        <v>551</v>
      </c>
      <c r="B552" s="9" t="s">
        <v>9</v>
      </c>
      <c r="C552" s="9">
        <v>1926</v>
      </c>
      <c r="D552" s="10">
        <v>45722</v>
      </c>
      <c r="E552" s="11" t="str">
        <f>+HYPERLINK("http://trademark.i-assist.jp/data/china/image_1926th/82109374.pdf","82109374")</f>
        <v>82109374</v>
      </c>
      <c r="F552" s="9" t="s">
        <v>1519</v>
      </c>
      <c r="G552" s="12" t="s">
        <v>27</v>
      </c>
      <c r="H552" s="9" t="s">
        <v>1682</v>
      </c>
      <c r="I552" s="10">
        <v>45617</v>
      </c>
    </row>
    <row r="553" spans="1:9" x14ac:dyDescent="0.15">
      <c r="A553" s="9">
        <v>552</v>
      </c>
      <c r="B553" s="9" t="s">
        <v>9</v>
      </c>
      <c r="C553" s="9">
        <v>1926</v>
      </c>
      <c r="D553" s="10">
        <v>45722</v>
      </c>
      <c r="E553" s="11" t="str">
        <f>+HYPERLINK("http://trademark.i-assist.jp/data/china/image_1926th/82109407.pdf","82109407")</f>
        <v>82109407</v>
      </c>
      <c r="F553" s="9" t="s">
        <v>1683</v>
      </c>
      <c r="G553" s="9" t="s">
        <v>1684</v>
      </c>
      <c r="H553" s="9" t="s">
        <v>1685</v>
      </c>
      <c r="I553" s="10">
        <v>45617</v>
      </c>
    </row>
    <row r="554" spans="1:9" x14ac:dyDescent="0.15">
      <c r="A554" s="9">
        <v>553</v>
      </c>
      <c r="B554" s="9" t="s">
        <v>9</v>
      </c>
      <c r="C554" s="9">
        <v>1926</v>
      </c>
      <c r="D554" s="10">
        <v>45722</v>
      </c>
      <c r="E554" s="11" t="str">
        <f>+HYPERLINK("http://trademark.i-assist.jp/data/china/image_1926th/82109421.pdf","82109421")</f>
        <v>82109421</v>
      </c>
      <c r="F554" s="12" t="s">
        <v>20</v>
      </c>
      <c r="G554" s="12" t="s">
        <v>75</v>
      </c>
      <c r="H554" s="9" t="s">
        <v>1686</v>
      </c>
      <c r="I554" s="10">
        <v>45617</v>
      </c>
    </row>
    <row r="555" spans="1:9" x14ac:dyDescent="0.15">
      <c r="A555" s="9">
        <v>554</v>
      </c>
      <c r="B555" s="9" t="s">
        <v>9</v>
      </c>
      <c r="C555" s="9">
        <v>1926</v>
      </c>
      <c r="D555" s="10">
        <v>45722</v>
      </c>
      <c r="E555" s="11" t="str">
        <f>+HYPERLINK("http://trademark.i-assist.jp/data/china/image_1926th/82109443.pdf","82109443")</f>
        <v>82109443</v>
      </c>
      <c r="F555" s="9" t="s">
        <v>1687</v>
      </c>
      <c r="G555" s="9" t="s">
        <v>1688</v>
      </c>
      <c r="H555" s="9" t="s">
        <v>1689</v>
      </c>
      <c r="I555" s="10">
        <v>45617</v>
      </c>
    </row>
    <row r="556" spans="1:9" x14ac:dyDescent="0.15">
      <c r="A556" s="9">
        <v>555</v>
      </c>
      <c r="B556" s="9" t="s">
        <v>9</v>
      </c>
      <c r="C556" s="9">
        <v>1926</v>
      </c>
      <c r="D556" s="10">
        <v>45722</v>
      </c>
      <c r="E556" s="11" t="str">
        <f>+HYPERLINK("http://trademark.i-assist.jp/data/china/image_1926th/82109933.pdf","82109933")</f>
        <v>82109933</v>
      </c>
      <c r="F556" s="9" t="s">
        <v>1690</v>
      </c>
      <c r="G556" s="9" t="s">
        <v>71</v>
      </c>
      <c r="H556" s="9" t="s">
        <v>1691</v>
      </c>
      <c r="I556" s="10">
        <v>45617</v>
      </c>
    </row>
    <row r="557" spans="1:9" x14ac:dyDescent="0.15">
      <c r="A557" s="9">
        <v>556</v>
      </c>
      <c r="B557" s="9" t="s">
        <v>9</v>
      </c>
      <c r="C557" s="9">
        <v>1926</v>
      </c>
      <c r="D557" s="10">
        <v>45722</v>
      </c>
      <c r="E557" s="11" t="str">
        <f>+HYPERLINK("http://trademark.i-assist.jp/data/china/image_1926th/82110382.pdf","82110382")</f>
        <v>82110382</v>
      </c>
      <c r="F557" s="12" t="s">
        <v>20</v>
      </c>
      <c r="G557" s="9" t="s">
        <v>79</v>
      </c>
      <c r="H557" s="9" t="s">
        <v>1692</v>
      </c>
      <c r="I557" s="10">
        <v>45617</v>
      </c>
    </row>
    <row r="558" spans="1:9" x14ac:dyDescent="0.15">
      <c r="A558" s="9">
        <v>557</v>
      </c>
      <c r="B558" s="9" t="s">
        <v>9</v>
      </c>
      <c r="C558" s="9">
        <v>1926</v>
      </c>
      <c r="D558" s="10">
        <v>45722</v>
      </c>
      <c r="E558" s="11" t="str">
        <f>+HYPERLINK("http://trademark.i-assist.jp/data/china/image_1926th/82110396.pdf","82110396")</f>
        <v>82110396</v>
      </c>
      <c r="F558" s="12" t="s">
        <v>1693</v>
      </c>
      <c r="G558" s="12" t="s">
        <v>1694</v>
      </c>
      <c r="H558" s="9" t="s">
        <v>1695</v>
      </c>
      <c r="I558" s="10">
        <v>45617</v>
      </c>
    </row>
    <row r="559" spans="1:9" x14ac:dyDescent="0.15">
      <c r="A559" s="9">
        <v>558</v>
      </c>
      <c r="B559" s="9" t="s">
        <v>9</v>
      </c>
      <c r="C559" s="9">
        <v>1926</v>
      </c>
      <c r="D559" s="10">
        <v>45722</v>
      </c>
      <c r="E559" s="11" t="str">
        <f>+HYPERLINK("http://trademark.i-assist.jp/data/china/image_1926th/82110397.pdf","82110397")</f>
        <v>82110397</v>
      </c>
      <c r="F559" s="9" t="s">
        <v>1696</v>
      </c>
      <c r="G559" s="9" t="s">
        <v>71</v>
      </c>
      <c r="H559" s="9" t="s">
        <v>1697</v>
      </c>
      <c r="I559" s="10">
        <v>45617</v>
      </c>
    </row>
    <row r="560" spans="1:9" x14ac:dyDescent="0.15">
      <c r="A560" s="9">
        <v>559</v>
      </c>
      <c r="B560" s="9" t="s">
        <v>9</v>
      </c>
      <c r="C560" s="9">
        <v>1926</v>
      </c>
      <c r="D560" s="10">
        <v>45722</v>
      </c>
      <c r="E560" s="11" t="str">
        <f>+HYPERLINK("http://trademark.i-assist.jp/data/china/image_1926th/82110549.pdf","82110549")</f>
        <v>82110549</v>
      </c>
      <c r="F560" s="12" t="s">
        <v>1698</v>
      </c>
      <c r="G560" s="12" t="s">
        <v>1699</v>
      </c>
      <c r="H560" s="9" t="s">
        <v>1700</v>
      </c>
      <c r="I560" s="10">
        <v>45617</v>
      </c>
    </row>
    <row r="561" spans="1:9" x14ac:dyDescent="0.15">
      <c r="A561" s="9">
        <v>560</v>
      </c>
      <c r="B561" s="9" t="s">
        <v>9</v>
      </c>
      <c r="C561" s="9">
        <v>1926</v>
      </c>
      <c r="D561" s="10">
        <v>45722</v>
      </c>
      <c r="E561" s="11" t="str">
        <f>+HYPERLINK("http://trademark.i-assist.jp/data/china/image_1926th/82110875.pdf","82110875")</f>
        <v>82110875</v>
      </c>
      <c r="F561" s="9" t="s">
        <v>1701</v>
      </c>
      <c r="G561" s="12" t="s">
        <v>1702</v>
      </c>
      <c r="H561" s="12" t="s">
        <v>1703</v>
      </c>
      <c r="I561" s="10">
        <v>45617</v>
      </c>
    </row>
    <row r="562" spans="1:9" x14ac:dyDescent="0.15">
      <c r="A562" s="9">
        <v>561</v>
      </c>
      <c r="B562" s="9" t="s">
        <v>9</v>
      </c>
      <c r="C562" s="9">
        <v>1926</v>
      </c>
      <c r="D562" s="10">
        <v>45722</v>
      </c>
      <c r="E562" s="11" t="str">
        <f>+HYPERLINK("http://trademark.i-assist.jp/data/china/image_1926th/82110923.pdf","82110923")</f>
        <v>82110923</v>
      </c>
      <c r="F562" s="9" t="s">
        <v>1704</v>
      </c>
      <c r="G562" s="9" t="s">
        <v>1705</v>
      </c>
      <c r="H562" s="9" t="s">
        <v>1706</v>
      </c>
      <c r="I562" s="10">
        <v>45617</v>
      </c>
    </row>
    <row r="563" spans="1:9" x14ac:dyDescent="0.15">
      <c r="A563" s="9">
        <v>562</v>
      </c>
      <c r="B563" s="9" t="s">
        <v>9</v>
      </c>
      <c r="C563" s="9">
        <v>1926</v>
      </c>
      <c r="D563" s="10">
        <v>45722</v>
      </c>
      <c r="E563" s="11" t="str">
        <f>+HYPERLINK("http://trademark.i-assist.jp/data/china/image_1926th/82111466.pdf","82111466")</f>
        <v>82111466</v>
      </c>
      <c r="F563" s="9" t="s">
        <v>1707</v>
      </c>
      <c r="G563" s="12" t="s">
        <v>1708</v>
      </c>
      <c r="H563" s="12" t="s">
        <v>1709</v>
      </c>
      <c r="I563" s="10">
        <v>45617</v>
      </c>
    </row>
    <row r="564" spans="1:9" x14ac:dyDescent="0.15">
      <c r="A564" s="9">
        <v>563</v>
      </c>
      <c r="B564" s="9" t="s">
        <v>9</v>
      </c>
      <c r="C564" s="9">
        <v>1926</v>
      </c>
      <c r="D564" s="10">
        <v>45722</v>
      </c>
      <c r="E564" s="11" t="str">
        <f>+HYPERLINK("http://trademark.i-assist.jp/data/china/image_1926th/82111596.pdf","82111596")</f>
        <v>82111596</v>
      </c>
      <c r="F564" s="9" t="s">
        <v>1710</v>
      </c>
      <c r="G564" s="9" t="s">
        <v>1608</v>
      </c>
      <c r="H564" s="9" t="s">
        <v>1711</v>
      </c>
      <c r="I564" s="10">
        <v>45617</v>
      </c>
    </row>
    <row r="565" spans="1:9" x14ac:dyDescent="0.15">
      <c r="A565" s="9">
        <v>564</v>
      </c>
      <c r="B565" s="9" t="s">
        <v>9</v>
      </c>
      <c r="C565" s="9">
        <v>1926</v>
      </c>
      <c r="D565" s="10">
        <v>45722</v>
      </c>
      <c r="E565" s="11" t="str">
        <f>+HYPERLINK("http://trademark.i-assist.jp/data/china/image_1926th/82111739.pdf","82111739")</f>
        <v>82111739</v>
      </c>
      <c r="F565" s="9" t="s">
        <v>1712</v>
      </c>
      <c r="G565" s="12" t="s">
        <v>594</v>
      </c>
      <c r="H565" s="9" t="s">
        <v>1713</v>
      </c>
      <c r="I565" s="10">
        <v>45617</v>
      </c>
    </row>
    <row r="566" spans="1:9" x14ac:dyDescent="0.15">
      <c r="A566" s="9">
        <v>565</v>
      </c>
      <c r="B566" s="9" t="s">
        <v>9</v>
      </c>
      <c r="C566" s="9">
        <v>1926</v>
      </c>
      <c r="D566" s="10">
        <v>45722</v>
      </c>
      <c r="E566" s="11" t="str">
        <f>+HYPERLINK("http://trademark.i-assist.jp/data/china/image_1926th/82112056.pdf","82112056")</f>
        <v>82112056</v>
      </c>
      <c r="F566" s="9" t="s">
        <v>72</v>
      </c>
      <c r="G566" s="12" t="s">
        <v>73</v>
      </c>
      <c r="H566" s="9" t="s">
        <v>1714</v>
      </c>
      <c r="I566" s="10">
        <v>45617</v>
      </c>
    </row>
    <row r="567" spans="1:9" x14ac:dyDescent="0.15">
      <c r="A567" s="9">
        <v>566</v>
      </c>
      <c r="B567" s="9" t="s">
        <v>9</v>
      </c>
      <c r="C567" s="9">
        <v>1926</v>
      </c>
      <c r="D567" s="10">
        <v>45722</v>
      </c>
      <c r="E567" s="11" t="str">
        <f>+HYPERLINK("http://trademark.i-assist.jp/data/china/image_1926th/82112248.pdf","82112248")</f>
        <v>82112248</v>
      </c>
      <c r="F567" s="9" t="s">
        <v>1715</v>
      </c>
      <c r="G567" s="9" t="s">
        <v>1602</v>
      </c>
      <c r="H567" s="9" t="s">
        <v>1716</v>
      </c>
      <c r="I567" s="10">
        <v>45617</v>
      </c>
    </row>
    <row r="568" spans="1:9" x14ac:dyDescent="0.15">
      <c r="A568" s="9">
        <v>567</v>
      </c>
      <c r="B568" s="9" t="s">
        <v>9</v>
      </c>
      <c r="C568" s="9">
        <v>1926</v>
      </c>
      <c r="D568" s="10">
        <v>45722</v>
      </c>
      <c r="E568" s="11" t="str">
        <f>+HYPERLINK("http://trademark.i-assist.jp/data/china/image_1926th/82112319.pdf","82112319")</f>
        <v>82112319</v>
      </c>
      <c r="F568" s="9" t="s">
        <v>1717</v>
      </c>
      <c r="G568" s="9" t="s">
        <v>1718</v>
      </c>
      <c r="H568" s="9" t="s">
        <v>1719</v>
      </c>
      <c r="I568" s="10">
        <v>45617</v>
      </c>
    </row>
    <row r="569" spans="1:9" x14ac:dyDescent="0.15">
      <c r="A569" s="9">
        <v>568</v>
      </c>
      <c r="B569" s="9" t="s">
        <v>9</v>
      </c>
      <c r="C569" s="9">
        <v>1926</v>
      </c>
      <c r="D569" s="10">
        <v>45722</v>
      </c>
      <c r="E569" s="11" t="str">
        <f>+HYPERLINK("http://trademark.i-assist.jp/data/china/image_1926th/82112326.pdf","82112326")</f>
        <v>82112326</v>
      </c>
      <c r="F569" s="9" t="s">
        <v>1720</v>
      </c>
      <c r="G569" s="12" t="s">
        <v>1721</v>
      </c>
      <c r="H569" s="9" t="s">
        <v>1722</v>
      </c>
      <c r="I569" s="10">
        <v>45617</v>
      </c>
    </row>
    <row r="570" spans="1:9" x14ac:dyDescent="0.15">
      <c r="A570" s="9">
        <v>569</v>
      </c>
      <c r="B570" s="9" t="s">
        <v>9</v>
      </c>
      <c r="C570" s="9">
        <v>1926</v>
      </c>
      <c r="D570" s="10">
        <v>45722</v>
      </c>
      <c r="E570" s="11" t="str">
        <f>+HYPERLINK("http://trademark.i-assist.jp/data/china/image_1926th/82112810.pdf","82112810")</f>
        <v>82112810</v>
      </c>
      <c r="F570" s="9" t="s">
        <v>1723</v>
      </c>
      <c r="G570" s="12" t="s">
        <v>1724</v>
      </c>
      <c r="H570" s="9" t="s">
        <v>1725</v>
      </c>
      <c r="I570" s="10">
        <v>45617</v>
      </c>
    </row>
    <row r="571" spans="1:9" x14ac:dyDescent="0.15">
      <c r="A571" s="9">
        <v>570</v>
      </c>
      <c r="B571" s="9" t="s">
        <v>9</v>
      </c>
      <c r="C571" s="9">
        <v>1926</v>
      </c>
      <c r="D571" s="10">
        <v>45722</v>
      </c>
      <c r="E571" s="11" t="str">
        <f>+HYPERLINK("http://trademark.i-assist.jp/data/china/image_1926th/82113652.pdf","82113652")</f>
        <v>82113652</v>
      </c>
      <c r="F571" s="9" t="s">
        <v>1656</v>
      </c>
      <c r="G571" s="9" t="s">
        <v>1657</v>
      </c>
      <c r="H571" s="9" t="s">
        <v>1726</v>
      </c>
      <c r="I571" s="10">
        <v>45617</v>
      </c>
    </row>
    <row r="572" spans="1:9" x14ac:dyDescent="0.15">
      <c r="A572" s="9">
        <v>571</v>
      </c>
      <c r="B572" s="9" t="s">
        <v>9</v>
      </c>
      <c r="C572" s="9">
        <v>1926</v>
      </c>
      <c r="D572" s="10">
        <v>45722</v>
      </c>
      <c r="E572" s="11" t="str">
        <f>+HYPERLINK("http://trademark.i-assist.jp/data/china/image_1926th/82114048.pdf","82114048")</f>
        <v>82114048</v>
      </c>
      <c r="F572" s="9" t="s">
        <v>1727</v>
      </c>
      <c r="G572" s="12" t="s">
        <v>1708</v>
      </c>
      <c r="H572" s="9" t="s">
        <v>1728</v>
      </c>
      <c r="I572" s="10">
        <v>45617</v>
      </c>
    </row>
    <row r="573" spans="1:9" x14ac:dyDescent="0.15">
      <c r="A573" s="9">
        <v>572</v>
      </c>
      <c r="B573" s="9" t="s">
        <v>9</v>
      </c>
      <c r="C573" s="9">
        <v>1926</v>
      </c>
      <c r="D573" s="10">
        <v>45722</v>
      </c>
      <c r="E573" s="11" t="str">
        <f>+HYPERLINK("http://trademark.i-assist.jp/data/china/image_1926th/82114185.pdf","82114185")</f>
        <v>82114185</v>
      </c>
      <c r="F573" s="12" t="s">
        <v>20</v>
      </c>
      <c r="G573" s="9" t="s">
        <v>1729</v>
      </c>
      <c r="H573" s="9" t="s">
        <v>1730</v>
      </c>
      <c r="I573" s="10">
        <v>45617</v>
      </c>
    </row>
    <row r="574" spans="1:9" x14ac:dyDescent="0.15">
      <c r="A574" s="9">
        <v>573</v>
      </c>
      <c r="B574" s="9" t="s">
        <v>9</v>
      </c>
      <c r="C574" s="9">
        <v>1926</v>
      </c>
      <c r="D574" s="10">
        <v>45722</v>
      </c>
      <c r="E574" s="11" t="str">
        <f>+HYPERLINK("http://trademark.i-assist.jp/data/china/image_1926th/82114625.pdf","82114625")</f>
        <v>82114625</v>
      </c>
      <c r="F574" s="9" t="s">
        <v>1731</v>
      </c>
      <c r="G574" s="9" t="s">
        <v>1732</v>
      </c>
      <c r="H574" s="9" t="s">
        <v>1733</v>
      </c>
      <c r="I574" s="10">
        <v>45617</v>
      </c>
    </row>
    <row r="575" spans="1:9" x14ac:dyDescent="0.15">
      <c r="A575" s="9">
        <v>574</v>
      </c>
      <c r="B575" s="9" t="s">
        <v>9</v>
      </c>
      <c r="C575" s="9">
        <v>1926</v>
      </c>
      <c r="D575" s="10">
        <v>45722</v>
      </c>
      <c r="E575" s="11" t="str">
        <f>+HYPERLINK("http://trademark.i-assist.jp/data/china/image_1926th/82114869.pdf","82114869")</f>
        <v>82114869</v>
      </c>
      <c r="F575" s="9" t="s">
        <v>1734</v>
      </c>
      <c r="G575" s="9" t="s">
        <v>1633</v>
      </c>
      <c r="H575" s="9" t="s">
        <v>1735</v>
      </c>
      <c r="I575" s="10">
        <v>45617</v>
      </c>
    </row>
    <row r="576" spans="1:9" x14ac:dyDescent="0.15">
      <c r="A576" s="9">
        <v>575</v>
      </c>
      <c r="B576" s="9" t="s">
        <v>9</v>
      </c>
      <c r="C576" s="9">
        <v>1926</v>
      </c>
      <c r="D576" s="10">
        <v>45722</v>
      </c>
      <c r="E576" s="11" t="str">
        <f>+HYPERLINK("http://trademark.i-assist.jp/data/china/image_1926th/82115141.pdf","82115141")</f>
        <v>82115141</v>
      </c>
      <c r="F576" s="9" t="s">
        <v>1736</v>
      </c>
      <c r="G576" s="12" t="s">
        <v>1737</v>
      </c>
      <c r="H576" s="9" t="s">
        <v>1738</v>
      </c>
      <c r="I576" s="10">
        <v>45617</v>
      </c>
    </row>
    <row r="577" spans="1:9" x14ac:dyDescent="0.15">
      <c r="A577" s="9">
        <v>576</v>
      </c>
      <c r="B577" s="9" t="s">
        <v>9</v>
      </c>
      <c r="C577" s="9">
        <v>1926</v>
      </c>
      <c r="D577" s="10">
        <v>45722</v>
      </c>
      <c r="E577" s="11" t="str">
        <f>+HYPERLINK("http://trademark.i-assist.jp/data/china/image_1926th/82115342.pdf","82115342")</f>
        <v>82115342</v>
      </c>
      <c r="F577" s="12" t="s">
        <v>20</v>
      </c>
      <c r="G577" s="12" t="s">
        <v>1543</v>
      </c>
      <c r="H577" s="9" t="s">
        <v>1739</v>
      </c>
      <c r="I577" s="10">
        <v>45617</v>
      </c>
    </row>
    <row r="578" spans="1:9" x14ac:dyDescent="0.15">
      <c r="A578" s="9">
        <v>577</v>
      </c>
      <c r="B578" s="9" t="s">
        <v>9</v>
      </c>
      <c r="C578" s="9">
        <v>1926</v>
      </c>
      <c r="D578" s="10">
        <v>45722</v>
      </c>
      <c r="E578" s="11" t="str">
        <f>+HYPERLINK("http://trademark.i-assist.jp/data/china/image_1926th/82115520.pdf","82115520")</f>
        <v>82115520</v>
      </c>
      <c r="F578" s="9" t="s">
        <v>1740</v>
      </c>
      <c r="G578" s="9" t="s">
        <v>1741</v>
      </c>
      <c r="H578" s="9" t="s">
        <v>1742</v>
      </c>
      <c r="I578" s="10">
        <v>45617</v>
      </c>
    </row>
    <row r="579" spans="1:9" x14ac:dyDescent="0.15">
      <c r="A579" s="9">
        <v>578</v>
      </c>
      <c r="B579" s="9" t="s">
        <v>9</v>
      </c>
      <c r="C579" s="9">
        <v>1926</v>
      </c>
      <c r="D579" s="10">
        <v>45722</v>
      </c>
      <c r="E579" s="11" t="str">
        <f>+HYPERLINK("http://trademark.i-assist.jp/data/china/image_1926th/82115906.pdf","82115906")</f>
        <v>82115906</v>
      </c>
      <c r="F579" s="9" t="s">
        <v>72</v>
      </c>
      <c r="G579" s="12" t="s">
        <v>73</v>
      </c>
      <c r="H579" s="9" t="s">
        <v>1743</v>
      </c>
      <c r="I579" s="10">
        <v>45617</v>
      </c>
    </row>
    <row r="580" spans="1:9" x14ac:dyDescent="0.15">
      <c r="A580" s="9">
        <v>579</v>
      </c>
      <c r="B580" s="9" t="s">
        <v>9</v>
      </c>
      <c r="C580" s="9">
        <v>1926</v>
      </c>
      <c r="D580" s="10">
        <v>45722</v>
      </c>
      <c r="E580" s="11" t="str">
        <f>+HYPERLINK("http://trademark.i-assist.jp/data/china/image_1926th/82115942.pdf","82115942")</f>
        <v>82115942</v>
      </c>
      <c r="F580" s="12" t="s">
        <v>20</v>
      </c>
      <c r="G580" s="12" t="s">
        <v>73</v>
      </c>
      <c r="H580" s="9" t="s">
        <v>1744</v>
      </c>
      <c r="I580" s="10">
        <v>45617</v>
      </c>
    </row>
    <row r="581" spans="1:9" x14ac:dyDescent="0.15">
      <c r="A581" s="9">
        <v>580</v>
      </c>
      <c r="B581" s="9" t="s">
        <v>9</v>
      </c>
      <c r="C581" s="9">
        <v>1926</v>
      </c>
      <c r="D581" s="10">
        <v>45722</v>
      </c>
      <c r="E581" s="11" t="str">
        <f>+HYPERLINK("http://trademark.i-assist.jp/data/china/image_1926th/82116010.pdf","82116010")</f>
        <v>82116010</v>
      </c>
      <c r="F581" s="9" t="s">
        <v>1745</v>
      </c>
      <c r="G581" s="12" t="s">
        <v>1746</v>
      </c>
      <c r="H581" s="9" t="s">
        <v>1747</v>
      </c>
      <c r="I581" s="10">
        <v>45617</v>
      </c>
    </row>
    <row r="582" spans="1:9" x14ac:dyDescent="0.15">
      <c r="A582" s="9">
        <v>581</v>
      </c>
      <c r="B582" s="9" t="s">
        <v>9</v>
      </c>
      <c r="C582" s="9">
        <v>1926</v>
      </c>
      <c r="D582" s="10">
        <v>45722</v>
      </c>
      <c r="E582" s="11" t="str">
        <f>+HYPERLINK("http://trademark.i-assist.jp/data/china/image_1926th/82116032.pdf","82116032")</f>
        <v>82116032</v>
      </c>
      <c r="F582" s="9" t="s">
        <v>1748</v>
      </c>
      <c r="G582" s="9" t="s">
        <v>1557</v>
      </c>
      <c r="H582" s="9" t="s">
        <v>1749</v>
      </c>
      <c r="I582" s="10">
        <v>45617</v>
      </c>
    </row>
    <row r="583" spans="1:9" x14ac:dyDescent="0.15">
      <c r="A583" s="9">
        <v>582</v>
      </c>
      <c r="B583" s="9" t="s">
        <v>9</v>
      </c>
      <c r="C583" s="9">
        <v>1926</v>
      </c>
      <c r="D583" s="10">
        <v>45722</v>
      </c>
      <c r="E583" s="11" t="str">
        <f>+HYPERLINK("http://trademark.i-assist.jp/data/china/image_1926th/82116777.pdf","82116777")</f>
        <v>82116777</v>
      </c>
      <c r="F583" s="9" t="s">
        <v>1750</v>
      </c>
      <c r="G583" s="12" t="s">
        <v>1751</v>
      </c>
      <c r="H583" s="12" t="s">
        <v>1752</v>
      </c>
      <c r="I583" s="10">
        <v>45617</v>
      </c>
    </row>
    <row r="584" spans="1:9" x14ac:dyDescent="0.15">
      <c r="A584" s="9">
        <v>583</v>
      </c>
      <c r="B584" s="9" t="s">
        <v>9</v>
      </c>
      <c r="C584" s="9">
        <v>1926</v>
      </c>
      <c r="D584" s="10">
        <v>45722</v>
      </c>
      <c r="E584" s="11" t="str">
        <f>+HYPERLINK("http://trademark.i-assist.jp/data/china/image_1926th/82116849.pdf","82116849")</f>
        <v>82116849</v>
      </c>
      <c r="F584" s="9" t="s">
        <v>1753</v>
      </c>
      <c r="G584" s="9" t="s">
        <v>1754</v>
      </c>
      <c r="H584" s="9" t="s">
        <v>1755</v>
      </c>
      <c r="I584" s="10">
        <v>45617</v>
      </c>
    </row>
    <row r="585" spans="1:9" x14ac:dyDescent="0.15">
      <c r="A585" s="9">
        <v>584</v>
      </c>
      <c r="B585" s="9" t="s">
        <v>9</v>
      </c>
      <c r="C585" s="9">
        <v>1926</v>
      </c>
      <c r="D585" s="10">
        <v>45722</v>
      </c>
      <c r="E585" s="11" t="str">
        <f>+HYPERLINK("http://trademark.i-assist.jp/data/china/image_1926th/82117209.pdf","82117209")</f>
        <v>82117209</v>
      </c>
      <c r="F585" s="9" t="s">
        <v>1756</v>
      </c>
      <c r="G585" s="9" t="s">
        <v>86</v>
      </c>
      <c r="H585" s="12" t="s">
        <v>1757</v>
      </c>
      <c r="I585" s="10">
        <v>45618</v>
      </c>
    </row>
    <row r="586" spans="1:9" x14ac:dyDescent="0.15">
      <c r="A586" s="9">
        <v>585</v>
      </c>
      <c r="B586" s="9" t="s">
        <v>9</v>
      </c>
      <c r="C586" s="9">
        <v>1926</v>
      </c>
      <c r="D586" s="10">
        <v>45722</v>
      </c>
      <c r="E586" s="11" t="str">
        <f>+HYPERLINK("http://trademark.i-assist.jp/data/china/image_1926th/82117334.pdf","82117334")</f>
        <v>82117334</v>
      </c>
      <c r="F586" s="9" t="s">
        <v>1758</v>
      </c>
      <c r="G586" s="9" t="s">
        <v>1759</v>
      </c>
      <c r="H586" s="9" t="s">
        <v>1760</v>
      </c>
      <c r="I586" s="10">
        <v>45618</v>
      </c>
    </row>
    <row r="587" spans="1:9" x14ac:dyDescent="0.15">
      <c r="A587" s="9">
        <v>586</v>
      </c>
      <c r="B587" s="9" t="s">
        <v>9</v>
      </c>
      <c r="C587" s="9">
        <v>1926</v>
      </c>
      <c r="D587" s="10">
        <v>45722</v>
      </c>
      <c r="E587" s="11" t="str">
        <f>+HYPERLINK("http://trademark.i-assist.jp/data/china/image_1926th/82117551.pdf","82117551")</f>
        <v>82117551</v>
      </c>
      <c r="F587" s="9" t="s">
        <v>1761</v>
      </c>
      <c r="G587" s="12" t="s">
        <v>1762</v>
      </c>
      <c r="H587" s="9" t="s">
        <v>1763</v>
      </c>
      <c r="I587" s="10">
        <v>45618</v>
      </c>
    </row>
    <row r="588" spans="1:9" x14ac:dyDescent="0.15">
      <c r="A588" s="9">
        <v>587</v>
      </c>
      <c r="B588" s="9" t="s">
        <v>9</v>
      </c>
      <c r="C588" s="9">
        <v>1926</v>
      </c>
      <c r="D588" s="10">
        <v>45722</v>
      </c>
      <c r="E588" s="11" t="str">
        <f>+HYPERLINK("http://trademark.i-assist.jp/data/china/image_1926th/82117961.pdf","82117961")</f>
        <v>82117961</v>
      </c>
      <c r="F588" s="9" t="s">
        <v>1764</v>
      </c>
      <c r="G588" s="9" t="s">
        <v>90</v>
      </c>
      <c r="H588" s="9" t="s">
        <v>1765</v>
      </c>
      <c r="I588" s="10">
        <v>45618</v>
      </c>
    </row>
    <row r="589" spans="1:9" x14ac:dyDescent="0.15">
      <c r="A589" s="9">
        <v>588</v>
      </c>
      <c r="B589" s="9" t="s">
        <v>9</v>
      </c>
      <c r="C589" s="9">
        <v>1926</v>
      </c>
      <c r="D589" s="10">
        <v>45722</v>
      </c>
      <c r="E589" s="11" t="str">
        <f>+HYPERLINK("http://trademark.i-assist.jp/data/china/image_1926th/82118000.pdf","82118000")</f>
        <v>82118000</v>
      </c>
      <c r="F589" s="9" t="s">
        <v>1766</v>
      </c>
      <c r="G589" s="9" t="s">
        <v>1767</v>
      </c>
      <c r="H589" s="9" t="s">
        <v>1768</v>
      </c>
      <c r="I589" s="10">
        <v>45618</v>
      </c>
    </row>
    <row r="590" spans="1:9" x14ac:dyDescent="0.15">
      <c r="A590" s="9">
        <v>589</v>
      </c>
      <c r="B590" s="9" t="s">
        <v>9</v>
      </c>
      <c r="C590" s="9">
        <v>1926</v>
      </c>
      <c r="D590" s="10">
        <v>45722</v>
      </c>
      <c r="E590" s="11" t="str">
        <f>+HYPERLINK("http://trademark.i-assist.jp/data/china/image_1926th/82118255.pdf","82118255")</f>
        <v>82118255</v>
      </c>
      <c r="F590" s="9" t="s">
        <v>1769</v>
      </c>
      <c r="G590" s="9" t="s">
        <v>1770</v>
      </c>
      <c r="H590" s="9" t="s">
        <v>1771</v>
      </c>
      <c r="I590" s="10">
        <v>45618</v>
      </c>
    </row>
    <row r="591" spans="1:9" x14ac:dyDescent="0.15">
      <c r="A591" s="9">
        <v>590</v>
      </c>
      <c r="B591" s="9" t="s">
        <v>9</v>
      </c>
      <c r="C591" s="9">
        <v>1926</v>
      </c>
      <c r="D591" s="10">
        <v>45722</v>
      </c>
      <c r="E591" s="11" t="str">
        <f>+HYPERLINK("http://trademark.i-assist.jp/data/china/image_1926th/82119410.pdf","82119410")</f>
        <v>82119410</v>
      </c>
      <c r="F591" s="12" t="s">
        <v>1772</v>
      </c>
      <c r="G591" s="9" t="s">
        <v>1773</v>
      </c>
      <c r="H591" s="9" t="s">
        <v>1774</v>
      </c>
      <c r="I591" s="10">
        <v>45618</v>
      </c>
    </row>
    <row r="592" spans="1:9" x14ac:dyDescent="0.15">
      <c r="A592" s="9">
        <v>591</v>
      </c>
      <c r="B592" s="9" t="s">
        <v>9</v>
      </c>
      <c r="C592" s="9">
        <v>1926</v>
      </c>
      <c r="D592" s="10">
        <v>45722</v>
      </c>
      <c r="E592" s="11" t="str">
        <f>+HYPERLINK("http://trademark.i-assist.jp/data/china/image_1926th/82119494.pdf","82119494")</f>
        <v>82119494</v>
      </c>
      <c r="F592" s="9" t="s">
        <v>164</v>
      </c>
      <c r="G592" s="9" t="s">
        <v>59</v>
      </c>
      <c r="H592" s="9" t="s">
        <v>1775</v>
      </c>
      <c r="I592" s="10">
        <v>45618</v>
      </c>
    </row>
    <row r="593" spans="1:9" x14ac:dyDescent="0.15">
      <c r="A593" s="9">
        <v>592</v>
      </c>
      <c r="B593" s="9" t="s">
        <v>9</v>
      </c>
      <c r="C593" s="9">
        <v>1926</v>
      </c>
      <c r="D593" s="10">
        <v>45722</v>
      </c>
      <c r="E593" s="11" t="str">
        <f>+HYPERLINK("http://trademark.i-assist.jp/data/china/image_1926th/82119869.pdf","82119869")</f>
        <v>82119869</v>
      </c>
      <c r="F593" s="9" t="s">
        <v>1776</v>
      </c>
      <c r="G593" s="12" t="s">
        <v>1777</v>
      </c>
      <c r="H593" s="9" t="s">
        <v>1778</v>
      </c>
      <c r="I593" s="10">
        <v>45618</v>
      </c>
    </row>
    <row r="594" spans="1:9" x14ac:dyDescent="0.15">
      <c r="A594" s="9">
        <v>593</v>
      </c>
      <c r="B594" s="9" t="s">
        <v>9</v>
      </c>
      <c r="C594" s="9">
        <v>1926</v>
      </c>
      <c r="D594" s="10">
        <v>45722</v>
      </c>
      <c r="E594" s="11" t="str">
        <f>+HYPERLINK("http://trademark.i-assist.jp/data/china/image_1926th/82120414.pdf","82120414")</f>
        <v>82120414</v>
      </c>
      <c r="F594" s="9" t="s">
        <v>1779</v>
      </c>
      <c r="G594" s="9" t="s">
        <v>1780</v>
      </c>
      <c r="H594" s="9" t="s">
        <v>1781</v>
      </c>
      <c r="I594" s="10">
        <v>45618</v>
      </c>
    </row>
    <row r="595" spans="1:9" x14ac:dyDescent="0.15">
      <c r="A595" s="9">
        <v>594</v>
      </c>
      <c r="B595" s="9" t="s">
        <v>9</v>
      </c>
      <c r="C595" s="9">
        <v>1926</v>
      </c>
      <c r="D595" s="10">
        <v>45722</v>
      </c>
      <c r="E595" s="11" t="str">
        <f>+HYPERLINK("http://trademark.i-assist.jp/data/china/image_1926th/82121091.pdf","82121091")</f>
        <v>82121091</v>
      </c>
      <c r="F595" s="12" t="s">
        <v>1782</v>
      </c>
      <c r="G595" s="9" t="s">
        <v>92</v>
      </c>
      <c r="H595" s="9" t="s">
        <v>1783</v>
      </c>
      <c r="I595" s="10">
        <v>45618</v>
      </c>
    </row>
    <row r="596" spans="1:9" x14ac:dyDescent="0.15">
      <c r="A596" s="9">
        <v>595</v>
      </c>
      <c r="B596" s="9" t="s">
        <v>9</v>
      </c>
      <c r="C596" s="9">
        <v>1926</v>
      </c>
      <c r="D596" s="10">
        <v>45722</v>
      </c>
      <c r="E596" s="11" t="str">
        <f>+HYPERLINK("http://trademark.i-assist.jp/data/china/image_1926th/82121350.pdf","82121350")</f>
        <v>82121350</v>
      </c>
      <c r="F596" s="9" t="s">
        <v>1784</v>
      </c>
      <c r="G596" s="12" t="s">
        <v>1785</v>
      </c>
      <c r="H596" s="9" t="s">
        <v>1786</v>
      </c>
      <c r="I596" s="10">
        <v>45618</v>
      </c>
    </row>
    <row r="597" spans="1:9" x14ac:dyDescent="0.15">
      <c r="A597" s="9">
        <v>596</v>
      </c>
      <c r="B597" s="9" t="s">
        <v>9</v>
      </c>
      <c r="C597" s="9">
        <v>1926</v>
      </c>
      <c r="D597" s="10">
        <v>45722</v>
      </c>
      <c r="E597" s="11" t="str">
        <f>+HYPERLINK("http://trademark.i-assist.jp/data/china/image_1926th/82121380.pdf","82121380")</f>
        <v>82121380</v>
      </c>
      <c r="F597" s="12" t="s">
        <v>1787</v>
      </c>
      <c r="G597" s="12" t="s">
        <v>62</v>
      </c>
      <c r="H597" s="9" t="s">
        <v>1788</v>
      </c>
      <c r="I597" s="10">
        <v>45618</v>
      </c>
    </row>
    <row r="598" spans="1:9" x14ac:dyDescent="0.15">
      <c r="A598" s="9">
        <v>597</v>
      </c>
      <c r="B598" s="9" t="s">
        <v>9</v>
      </c>
      <c r="C598" s="9">
        <v>1926</v>
      </c>
      <c r="D598" s="10">
        <v>45722</v>
      </c>
      <c r="E598" s="11" t="str">
        <f>+HYPERLINK("http://trademark.i-assist.jp/data/china/image_1926th/82121849A.pdf","82121849A")</f>
        <v>82121849A</v>
      </c>
      <c r="F598" s="9" t="s">
        <v>1789</v>
      </c>
      <c r="G598" s="12" t="s">
        <v>1790</v>
      </c>
      <c r="H598" s="9" t="s">
        <v>1791</v>
      </c>
      <c r="I598" s="10">
        <v>45618</v>
      </c>
    </row>
    <row r="599" spans="1:9" x14ac:dyDescent="0.15">
      <c r="A599" s="9">
        <v>598</v>
      </c>
      <c r="B599" s="9" t="s">
        <v>9</v>
      </c>
      <c r="C599" s="9">
        <v>1926</v>
      </c>
      <c r="D599" s="10">
        <v>45722</v>
      </c>
      <c r="E599" s="11" t="str">
        <f>+HYPERLINK("http://trademark.i-assist.jp/data/china/image_1926th/82122237.pdf","82122237")</f>
        <v>82122237</v>
      </c>
      <c r="F599" s="9" t="s">
        <v>1792</v>
      </c>
      <c r="G599" s="12" t="s">
        <v>81</v>
      </c>
      <c r="H599" s="9" t="s">
        <v>1793</v>
      </c>
      <c r="I599" s="10">
        <v>45618</v>
      </c>
    </row>
    <row r="600" spans="1:9" x14ac:dyDescent="0.15">
      <c r="A600" s="9">
        <v>599</v>
      </c>
      <c r="B600" s="9" t="s">
        <v>9</v>
      </c>
      <c r="C600" s="9">
        <v>1926</v>
      </c>
      <c r="D600" s="10">
        <v>45722</v>
      </c>
      <c r="E600" s="11" t="str">
        <f>+HYPERLINK("http://trademark.i-assist.jp/data/china/image_1926th/82122613.pdf","82122613")</f>
        <v>82122613</v>
      </c>
      <c r="F600" s="12" t="s">
        <v>1794</v>
      </c>
      <c r="G600" s="12" t="s">
        <v>1795</v>
      </c>
      <c r="H600" s="9" t="s">
        <v>1796</v>
      </c>
      <c r="I600" s="10">
        <v>45618</v>
      </c>
    </row>
    <row r="601" spans="1:9" x14ac:dyDescent="0.15">
      <c r="A601" s="9">
        <v>600</v>
      </c>
      <c r="B601" s="9" t="s">
        <v>9</v>
      </c>
      <c r="C601" s="9">
        <v>1926</v>
      </c>
      <c r="D601" s="10">
        <v>45722</v>
      </c>
      <c r="E601" s="11" t="str">
        <f>+HYPERLINK("http://trademark.i-assist.jp/data/china/image_1926th/82123143.pdf","82123143")</f>
        <v>82123143</v>
      </c>
      <c r="F601" s="9" t="s">
        <v>1797</v>
      </c>
      <c r="G601" s="9" t="s">
        <v>50</v>
      </c>
      <c r="H601" s="12" t="s">
        <v>1798</v>
      </c>
      <c r="I601" s="10">
        <v>45618</v>
      </c>
    </row>
    <row r="602" spans="1:9" x14ac:dyDescent="0.15">
      <c r="A602" s="9">
        <v>601</v>
      </c>
      <c r="B602" s="9" t="s">
        <v>9</v>
      </c>
      <c r="C602" s="9">
        <v>1926</v>
      </c>
      <c r="D602" s="10">
        <v>45722</v>
      </c>
      <c r="E602" s="11" t="str">
        <f>+HYPERLINK("http://trademark.i-assist.jp/data/china/image_1926th/82123966.pdf","82123966")</f>
        <v>82123966</v>
      </c>
      <c r="F602" s="12" t="s">
        <v>1799</v>
      </c>
      <c r="G602" s="9" t="s">
        <v>1800</v>
      </c>
      <c r="H602" s="12" t="s">
        <v>1801</v>
      </c>
      <c r="I602" s="10">
        <v>45618</v>
      </c>
    </row>
    <row r="603" spans="1:9" x14ac:dyDescent="0.15">
      <c r="A603" s="9">
        <v>602</v>
      </c>
      <c r="B603" s="9" t="s">
        <v>9</v>
      </c>
      <c r="C603" s="9">
        <v>1926</v>
      </c>
      <c r="D603" s="10">
        <v>45722</v>
      </c>
      <c r="E603" s="11" t="str">
        <f>+HYPERLINK("http://trademark.i-assist.jp/data/china/image_1926th/82123998.pdf","82123998")</f>
        <v>82123998</v>
      </c>
      <c r="F603" s="9" t="s">
        <v>1802</v>
      </c>
      <c r="G603" s="9" t="s">
        <v>1803</v>
      </c>
      <c r="H603" s="9" t="s">
        <v>1804</v>
      </c>
      <c r="I603" s="10">
        <v>45618</v>
      </c>
    </row>
    <row r="604" spans="1:9" x14ac:dyDescent="0.15">
      <c r="A604" s="9">
        <v>603</v>
      </c>
      <c r="B604" s="9" t="s">
        <v>9</v>
      </c>
      <c r="C604" s="9">
        <v>1926</v>
      </c>
      <c r="D604" s="10">
        <v>45722</v>
      </c>
      <c r="E604" s="11" t="str">
        <f>+HYPERLINK("http://trademark.i-assist.jp/data/china/image_1926th/82124037.pdf","82124037")</f>
        <v>82124037</v>
      </c>
      <c r="F604" s="9" t="s">
        <v>1805</v>
      </c>
      <c r="G604" s="9" t="s">
        <v>1806</v>
      </c>
      <c r="H604" s="9" t="s">
        <v>1807</v>
      </c>
      <c r="I604" s="10">
        <v>45618</v>
      </c>
    </row>
    <row r="605" spans="1:9" x14ac:dyDescent="0.15">
      <c r="A605" s="9">
        <v>604</v>
      </c>
      <c r="B605" s="9" t="s">
        <v>9</v>
      </c>
      <c r="C605" s="9">
        <v>1926</v>
      </c>
      <c r="D605" s="10">
        <v>45722</v>
      </c>
      <c r="E605" s="11" t="str">
        <f>+HYPERLINK("http://trademark.i-assist.jp/data/china/image_1926th/82124484.pdf","82124484")</f>
        <v>82124484</v>
      </c>
      <c r="F605" s="9" t="s">
        <v>1808</v>
      </c>
      <c r="G605" s="9" t="s">
        <v>1809</v>
      </c>
      <c r="H605" s="9" t="s">
        <v>1810</v>
      </c>
      <c r="I605" s="10">
        <v>45618</v>
      </c>
    </row>
    <row r="606" spans="1:9" x14ac:dyDescent="0.15">
      <c r="A606" s="9">
        <v>605</v>
      </c>
      <c r="B606" s="9" t="s">
        <v>9</v>
      </c>
      <c r="C606" s="9">
        <v>1926</v>
      </c>
      <c r="D606" s="10">
        <v>45722</v>
      </c>
      <c r="E606" s="11" t="str">
        <f>+HYPERLINK("http://trademark.i-assist.jp/data/china/image_1926th/82124572.pdf","82124572")</f>
        <v>82124572</v>
      </c>
      <c r="F606" s="9" t="s">
        <v>1811</v>
      </c>
      <c r="G606" s="12" t="s">
        <v>1812</v>
      </c>
      <c r="H606" s="9" t="s">
        <v>1813</v>
      </c>
      <c r="I606" s="10">
        <v>45618</v>
      </c>
    </row>
    <row r="607" spans="1:9" x14ac:dyDescent="0.15">
      <c r="A607" s="9">
        <v>606</v>
      </c>
      <c r="B607" s="9" t="s">
        <v>9</v>
      </c>
      <c r="C607" s="9">
        <v>1926</v>
      </c>
      <c r="D607" s="10">
        <v>45722</v>
      </c>
      <c r="E607" s="11" t="str">
        <f>+HYPERLINK("http://trademark.i-assist.jp/data/china/image_1926th/82124754.pdf","82124754")</f>
        <v>82124754</v>
      </c>
      <c r="F607" s="12" t="s">
        <v>1814</v>
      </c>
      <c r="G607" s="9" t="s">
        <v>1815</v>
      </c>
      <c r="H607" s="9" t="s">
        <v>1816</v>
      </c>
      <c r="I607" s="10">
        <v>45618</v>
      </c>
    </row>
    <row r="608" spans="1:9" x14ac:dyDescent="0.15">
      <c r="A608" s="9">
        <v>607</v>
      </c>
      <c r="B608" s="9" t="s">
        <v>9</v>
      </c>
      <c r="C608" s="9">
        <v>1926</v>
      </c>
      <c r="D608" s="10">
        <v>45722</v>
      </c>
      <c r="E608" s="11" t="str">
        <f>+HYPERLINK("http://trademark.i-assist.jp/data/china/image_1926th/82124821.pdf","82124821")</f>
        <v>82124821</v>
      </c>
      <c r="F608" s="12" t="s">
        <v>1817</v>
      </c>
      <c r="G608" s="12" t="s">
        <v>1818</v>
      </c>
      <c r="H608" s="9" t="s">
        <v>1819</v>
      </c>
      <c r="I608" s="10">
        <v>45618</v>
      </c>
    </row>
    <row r="609" spans="1:9" x14ac:dyDescent="0.15">
      <c r="A609" s="9">
        <v>608</v>
      </c>
      <c r="B609" s="9" t="s">
        <v>9</v>
      </c>
      <c r="C609" s="9">
        <v>1926</v>
      </c>
      <c r="D609" s="10">
        <v>45722</v>
      </c>
      <c r="E609" s="11" t="str">
        <f>+HYPERLINK("http://trademark.i-assist.jp/data/china/image_1926th/82125217.pdf","82125217")</f>
        <v>82125217</v>
      </c>
      <c r="F609" s="9" t="s">
        <v>1820</v>
      </c>
      <c r="G609" s="9" t="s">
        <v>1821</v>
      </c>
      <c r="H609" s="9" t="s">
        <v>1822</v>
      </c>
      <c r="I609" s="10">
        <v>45618</v>
      </c>
    </row>
    <row r="610" spans="1:9" x14ac:dyDescent="0.15">
      <c r="A610" s="9">
        <v>609</v>
      </c>
      <c r="B610" s="9" t="s">
        <v>9</v>
      </c>
      <c r="C610" s="9">
        <v>1926</v>
      </c>
      <c r="D610" s="10">
        <v>45722</v>
      </c>
      <c r="E610" s="11" t="str">
        <f>+HYPERLINK("http://trademark.i-assist.jp/data/china/image_1926th/82125302.pdf","82125302")</f>
        <v>82125302</v>
      </c>
      <c r="F610" s="9" t="s">
        <v>1823</v>
      </c>
      <c r="G610" s="12" t="s">
        <v>81</v>
      </c>
      <c r="H610" s="9" t="s">
        <v>1824</v>
      </c>
      <c r="I610" s="10">
        <v>45618</v>
      </c>
    </row>
    <row r="611" spans="1:9" x14ac:dyDescent="0.15">
      <c r="A611" s="9">
        <v>610</v>
      </c>
      <c r="B611" s="9" t="s">
        <v>9</v>
      </c>
      <c r="C611" s="9">
        <v>1926</v>
      </c>
      <c r="D611" s="10">
        <v>45722</v>
      </c>
      <c r="E611" s="11" t="str">
        <f>+HYPERLINK("http://trademark.i-assist.jp/data/china/image_1926th/82125587.pdf","82125587")</f>
        <v>82125587</v>
      </c>
      <c r="F611" s="9" t="s">
        <v>1825</v>
      </c>
      <c r="G611" s="9" t="s">
        <v>1826</v>
      </c>
      <c r="H611" s="9" t="s">
        <v>1827</v>
      </c>
      <c r="I611" s="10">
        <v>45618</v>
      </c>
    </row>
    <row r="612" spans="1:9" x14ac:dyDescent="0.15">
      <c r="A612" s="9">
        <v>611</v>
      </c>
      <c r="B612" s="9" t="s">
        <v>9</v>
      </c>
      <c r="C612" s="9">
        <v>1926</v>
      </c>
      <c r="D612" s="10">
        <v>45722</v>
      </c>
      <c r="E612" s="11" t="str">
        <f>+HYPERLINK("http://trademark.i-assist.jp/data/china/image_1926th/82125621.pdf","82125621")</f>
        <v>82125621</v>
      </c>
      <c r="F612" s="12" t="s">
        <v>1828</v>
      </c>
      <c r="G612" s="9" t="s">
        <v>1829</v>
      </c>
      <c r="H612" s="9" t="s">
        <v>1830</v>
      </c>
      <c r="I612" s="10">
        <v>45618</v>
      </c>
    </row>
    <row r="613" spans="1:9" x14ac:dyDescent="0.15">
      <c r="A613" s="9">
        <v>612</v>
      </c>
      <c r="B613" s="9" t="s">
        <v>9</v>
      </c>
      <c r="C613" s="9">
        <v>1926</v>
      </c>
      <c r="D613" s="10">
        <v>45722</v>
      </c>
      <c r="E613" s="11" t="str">
        <f>+HYPERLINK("http://trademark.i-assist.jp/data/china/image_1926th/82126405.pdf","82126405")</f>
        <v>82126405</v>
      </c>
      <c r="F613" s="12" t="s">
        <v>1831</v>
      </c>
      <c r="G613" s="12" t="s">
        <v>1832</v>
      </c>
      <c r="H613" s="9" t="s">
        <v>1833</v>
      </c>
      <c r="I613" s="10">
        <v>45618</v>
      </c>
    </row>
    <row r="614" spans="1:9" x14ac:dyDescent="0.15">
      <c r="A614" s="9">
        <v>613</v>
      </c>
      <c r="B614" s="9" t="s">
        <v>9</v>
      </c>
      <c r="C614" s="9">
        <v>1926</v>
      </c>
      <c r="D614" s="10">
        <v>45722</v>
      </c>
      <c r="E614" s="11" t="str">
        <f>+HYPERLINK("http://trademark.i-assist.jp/data/china/image_1926th/82127496.pdf","82127496")</f>
        <v>82127496</v>
      </c>
      <c r="F614" s="9" t="s">
        <v>1769</v>
      </c>
      <c r="G614" s="9" t="s">
        <v>1770</v>
      </c>
      <c r="H614" s="9" t="s">
        <v>1834</v>
      </c>
      <c r="I614" s="10">
        <v>45618</v>
      </c>
    </row>
    <row r="615" spans="1:9" x14ac:dyDescent="0.15">
      <c r="A615" s="9">
        <v>614</v>
      </c>
      <c r="B615" s="9" t="s">
        <v>9</v>
      </c>
      <c r="C615" s="9">
        <v>1926</v>
      </c>
      <c r="D615" s="10">
        <v>45722</v>
      </c>
      <c r="E615" s="11" t="str">
        <f>+HYPERLINK("http://trademark.i-assist.jp/data/china/image_1926th/82127639.pdf","82127639")</f>
        <v>82127639</v>
      </c>
      <c r="F615" s="9" t="s">
        <v>1835</v>
      </c>
      <c r="G615" s="9" t="s">
        <v>1836</v>
      </c>
      <c r="H615" s="9" t="s">
        <v>1837</v>
      </c>
      <c r="I615" s="10">
        <v>45618</v>
      </c>
    </row>
    <row r="616" spans="1:9" x14ac:dyDescent="0.15">
      <c r="A616" s="9">
        <v>615</v>
      </c>
      <c r="B616" s="9" t="s">
        <v>9</v>
      </c>
      <c r="C616" s="9">
        <v>1926</v>
      </c>
      <c r="D616" s="10">
        <v>45722</v>
      </c>
      <c r="E616" s="11" t="str">
        <f>+HYPERLINK("http://trademark.i-assist.jp/data/china/image_1926th/82127896.pdf","82127896")</f>
        <v>82127896</v>
      </c>
      <c r="F616" s="9" t="s">
        <v>1838</v>
      </c>
      <c r="G616" s="9" t="s">
        <v>1839</v>
      </c>
      <c r="H616" s="9" t="s">
        <v>1840</v>
      </c>
      <c r="I616" s="10">
        <v>45618</v>
      </c>
    </row>
    <row r="617" spans="1:9" x14ac:dyDescent="0.15">
      <c r="A617" s="9">
        <v>616</v>
      </c>
      <c r="B617" s="9" t="s">
        <v>9</v>
      </c>
      <c r="C617" s="9">
        <v>1926</v>
      </c>
      <c r="D617" s="10">
        <v>45722</v>
      </c>
      <c r="E617" s="11" t="str">
        <f>+HYPERLINK("http://trademark.i-assist.jp/data/china/image_1926th/82128202.pdf","82128202")</f>
        <v>82128202</v>
      </c>
      <c r="F617" s="12" t="s">
        <v>1841</v>
      </c>
      <c r="G617" s="12" t="s">
        <v>1842</v>
      </c>
      <c r="H617" s="9" t="s">
        <v>1843</v>
      </c>
      <c r="I617" s="10">
        <v>45618</v>
      </c>
    </row>
    <row r="618" spans="1:9" x14ac:dyDescent="0.15">
      <c r="A618" s="9">
        <v>617</v>
      </c>
      <c r="B618" s="9" t="s">
        <v>9</v>
      </c>
      <c r="C618" s="9">
        <v>1926</v>
      </c>
      <c r="D618" s="10">
        <v>45722</v>
      </c>
      <c r="E618" s="11" t="str">
        <f>+HYPERLINK("http://trademark.i-assist.jp/data/china/image_1926th/82128432.pdf","82128432")</f>
        <v>82128432</v>
      </c>
      <c r="F618" s="12" t="s">
        <v>1844</v>
      </c>
      <c r="G618" s="9" t="s">
        <v>85</v>
      </c>
      <c r="H618" s="9" t="s">
        <v>1845</v>
      </c>
      <c r="I618" s="10">
        <v>45618</v>
      </c>
    </row>
    <row r="619" spans="1:9" x14ac:dyDescent="0.15">
      <c r="A619" s="9">
        <v>618</v>
      </c>
      <c r="B619" s="9" t="s">
        <v>9</v>
      </c>
      <c r="C619" s="9">
        <v>1926</v>
      </c>
      <c r="D619" s="10">
        <v>45722</v>
      </c>
      <c r="E619" s="11" t="str">
        <f>+HYPERLINK("http://trademark.i-assist.jp/data/china/image_1926th/82128453.pdf","82128453")</f>
        <v>82128453</v>
      </c>
      <c r="F619" s="9" t="s">
        <v>1846</v>
      </c>
      <c r="G619" s="9" t="s">
        <v>1847</v>
      </c>
      <c r="H619" s="9" t="s">
        <v>1848</v>
      </c>
      <c r="I619" s="10">
        <v>45618</v>
      </c>
    </row>
    <row r="620" spans="1:9" x14ac:dyDescent="0.15">
      <c r="A620" s="9">
        <v>619</v>
      </c>
      <c r="B620" s="9" t="s">
        <v>9</v>
      </c>
      <c r="C620" s="9">
        <v>1926</v>
      </c>
      <c r="D620" s="10">
        <v>45722</v>
      </c>
      <c r="E620" s="11" t="str">
        <f>+HYPERLINK("http://trademark.i-assist.jp/data/china/image_1926th/82128510.pdf","82128510")</f>
        <v>82128510</v>
      </c>
      <c r="F620" s="9" t="s">
        <v>1849</v>
      </c>
      <c r="G620" s="9" t="s">
        <v>1850</v>
      </c>
      <c r="H620" s="9" t="s">
        <v>1851</v>
      </c>
      <c r="I620" s="10">
        <v>45618</v>
      </c>
    </row>
    <row r="621" spans="1:9" x14ac:dyDescent="0.15">
      <c r="A621" s="9">
        <v>620</v>
      </c>
      <c r="B621" s="9" t="s">
        <v>9</v>
      </c>
      <c r="C621" s="9">
        <v>1926</v>
      </c>
      <c r="D621" s="10">
        <v>45722</v>
      </c>
      <c r="E621" s="11" t="str">
        <f>+HYPERLINK("http://trademark.i-assist.jp/data/china/image_1926th/82128668.pdf","82128668")</f>
        <v>82128668</v>
      </c>
      <c r="F621" s="9" t="s">
        <v>1852</v>
      </c>
      <c r="G621" s="9" t="s">
        <v>1853</v>
      </c>
      <c r="H621" s="12" t="s">
        <v>1854</v>
      </c>
      <c r="I621" s="10">
        <v>45618</v>
      </c>
    </row>
    <row r="622" spans="1:9" x14ac:dyDescent="0.15">
      <c r="A622" s="9">
        <v>621</v>
      </c>
      <c r="B622" s="9" t="s">
        <v>9</v>
      </c>
      <c r="C622" s="9">
        <v>1926</v>
      </c>
      <c r="D622" s="10">
        <v>45722</v>
      </c>
      <c r="E622" s="11" t="str">
        <f>+HYPERLINK("http://trademark.i-assist.jp/data/china/image_1926th/82128812.pdf","82128812")</f>
        <v>82128812</v>
      </c>
      <c r="F622" s="9" t="s">
        <v>1855</v>
      </c>
      <c r="G622" s="9" t="s">
        <v>1856</v>
      </c>
      <c r="H622" s="9" t="s">
        <v>1857</v>
      </c>
      <c r="I622" s="10">
        <v>45618</v>
      </c>
    </row>
    <row r="623" spans="1:9" x14ac:dyDescent="0.15">
      <c r="A623" s="9">
        <v>622</v>
      </c>
      <c r="B623" s="9" t="s">
        <v>9</v>
      </c>
      <c r="C623" s="9">
        <v>1926</v>
      </c>
      <c r="D623" s="10">
        <v>45722</v>
      </c>
      <c r="E623" s="11" t="str">
        <f>+HYPERLINK("http://trademark.i-assist.jp/data/china/image_1926th/82129140.pdf","82129140")</f>
        <v>82129140</v>
      </c>
      <c r="F623" s="12" t="s">
        <v>1858</v>
      </c>
      <c r="G623" s="9" t="s">
        <v>92</v>
      </c>
      <c r="H623" s="12" t="s">
        <v>1859</v>
      </c>
      <c r="I623" s="10">
        <v>45618</v>
      </c>
    </row>
    <row r="624" spans="1:9" x14ac:dyDescent="0.15">
      <c r="A624" s="9">
        <v>623</v>
      </c>
      <c r="B624" s="9" t="s">
        <v>9</v>
      </c>
      <c r="C624" s="9">
        <v>1926</v>
      </c>
      <c r="D624" s="10">
        <v>45722</v>
      </c>
      <c r="E624" s="11" t="str">
        <f>+HYPERLINK("http://trademark.i-assist.jp/data/china/image_1926th/82129141.pdf","82129141")</f>
        <v>82129141</v>
      </c>
      <c r="F624" s="9" t="s">
        <v>1860</v>
      </c>
      <c r="G624" s="9" t="s">
        <v>1861</v>
      </c>
      <c r="H624" s="9" t="s">
        <v>1862</v>
      </c>
      <c r="I624" s="10">
        <v>45618</v>
      </c>
    </row>
    <row r="625" spans="1:9" x14ac:dyDescent="0.15">
      <c r="A625" s="9">
        <v>624</v>
      </c>
      <c r="B625" s="9" t="s">
        <v>9</v>
      </c>
      <c r="C625" s="9">
        <v>1926</v>
      </c>
      <c r="D625" s="10">
        <v>45722</v>
      </c>
      <c r="E625" s="11" t="str">
        <f>+HYPERLINK("http://trademark.i-assist.jp/data/china/image_1926th/82129385.pdf","82129385")</f>
        <v>82129385</v>
      </c>
      <c r="F625" s="9" t="s">
        <v>1863</v>
      </c>
      <c r="G625" s="9" t="s">
        <v>1864</v>
      </c>
      <c r="H625" s="9" t="s">
        <v>1865</v>
      </c>
      <c r="I625" s="10">
        <v>45618</v>
      </c>
    </row>
    <row r="626" spans="1:9" x14ac:dyDescent="0.15">
      <c r="A626" s="9">
        <v>625</v>
      </c>
      <c r="B626" s="9" t="s">
        <v>9</v>
      </c>
      <c r="C626" s="9">
        <v>1926</v>
      </c>
      <c r="D626" s="10">
        <v>45722</v>
      </c>
      <c r="E626" s="11" t="str">
        <f>+HYPERLINK("http://trademark.i-assist.jp/data/china/image_1926th/82129465.pdf","82129465")</f>
        <v>82129465</v>
      </c>
      <c r="F626" s="9" t="s">
        <v>1866</v>
      </c>
      <c r="G626" s="12" t="s">
        <v>1867</v>
      </c>
      <c r="H626" s="9" t="s">
        <v>1868</v>
      </c>
      <c r="I626" s="10">
        <v>45618</v>
      </c>
    </row>
    <row r="627" spans="1:9" x14ac:dyDescent="0.15">
      <c r="A627" s="9">
        <v>626</v>
      </c>
      <c r="B627" s="9" t="s">
        <v>9</v>
      </c>
      <c r="C627" s="9">
        <v>1926</v>
      </c>
      <c r="D627" s="10">
        <v>45722</v>
      </c>
      <c r="E627" s="11" t="str">
        <f>+HYPERLINK("http://trademark.i-assist.jp/data/china/image_1926th/82129508.pdf","82129508")</f>
        <v>82129508</v>
      </c>
      <c r="F627" s="9" t="s">
        <v>1869</v>
      </c>
      <c r="G627" s="9" t="s">
        <v>84</v>
      </c>
      <c r="H627" s="9" t="s">
        <v>1870</v>
      </c>
      <c r="I627" s="10">
        <v>45618</v>
      </c>
    </row>
    <row r="628" spans="1:9" x14ac:dyDescent="0.15">
      <c r="A628" s="9">
        <v>627</v>
      </c>
      <c r="B628" s="9" t="s">
        <v>9</v>
      </c>
      <c r="C628" s="9">
        <v>1926</v>
      </c>
      <c r="D628" s="10">
        <v>45722</v>
      </c>
      <c r="E628" s="11" t="str">
        <f>+HYPERLINK("http://trademark.i-assist.jp/data/china/image_1926th/82129938.pdf","82129938")</f>
        <v>82129938</v>
      </c>
      <c r="F628" s="9" t="s">
        <v>1871</v>
      </c>
      <c r="G628" s="12" t="s">
        <v>1795</v>
      </c>
      <c r="H628" s="9" t="s">
        <v>1872</v>
      </c>
      <c r="I628" s="10">
        <v>45618</v>
      </c>
    </row>
    <row r="629" spans="1:9" x14ac:dyDescent="0.15">
      <c r="A629" s="9">
        <v>628</v>
      </c>
      <c r="B629" s="9" t="s">
        <v>9</v>
      </c>
      <c r="C629" s="9">
        <v>1926</v>
      </c>
      <c r="D629" s="10">
        <v>45722</v>
      </c>
      <c r="E629" s="11" t="str">
        <f>+HYPERLINK("http://trademark.i-assist.jp/data/china/image_1926th/82130018.pdf","82130018")</f>
        <v>82130018</v>
      </c>
      <c r="F629" s="9" t="s">
        <v>1873</v>
      </c>
      <c r="G629" s="9" t="s">
        <v>1806</v>
      </c>
      <c r="H629" s="9" t="s">
        <v>1874</v>
      </c>
      <c r="I629" s="10">
        <v>45618</v>
      </c>
    </row>
    <row r="630" spans="1:9" x14ac:dyDescent="0.15">
      <c r="A630" s="9">
        <v>629</v>
      </c>
      <c r="B630" s="9" t="s">
        <v>9</v>
      </c>
      <c r="C630" s="9">
        <v>1926</v>
      </c>
      <c r="D630" s="10">
        <v>45722</v>
      </c>
      <c r="E630" s="11" t="str">
        <f>+HYPERLINK("http://trademark.i-assist.jp/data/china/image_1926th/82130081.pdf","82130081")</f>
        <v>82130081</v>
      </c>
      <c r="F630" s="9" t="s">
        <v>1875</v>
      </c>
      <c r="G630" s="9" t="s">
        <v>1876</v>
      </c>
      <c r="H630" s="9" t="s">
        <v>1877</v>
      </c>
      <c r="I630" s="10">
        <v>45618</v>
      </c>
    </row>
    <row r="631" spans="1:9" x14ac:dyDescent="0.15">
      <c r="A631" s="9">
        <v>630</v>
      </c>
      <c r="B631" s="9" t="s">
        <v>9</v>
      </c>
      <c r="C631" s="9">
        <v>1926</v>
      </c>
      <c r="D631" s="10">
        <v>45722</v>
      </c>
      <c r="E631" s="11" t="str">
        <f>+HYPERLINK("http://trademark.i-assist.jp/data/china/image_1926th/82130104.pdf","82130104")</f>
        <v>82130104</v>
      </c>
      <c r="F631" s="9" t="s">
        <v>1878</v>
      </c>
      <c r="G631" s="9" t="s">
        <v>1879</v>
      </c>
      <c r="H631" s="9" t="s">
        <v>1880</v>
      </c>
      <c r="I631" s="10">
        <v>45618</v>
      </c>
    </row>
    <row r="632" spans="1:9" x14ac:dyDescent="0.15">
      <c r="A632" s="9">
        <v>631</v>
      </c>
      <c r="B632" s="9" t="s">
        <v>9</v>
      </c>
      <c r="C632" s="9">
        <v>1926</v>
      </c>
      <c r="D632" s="10">
        <v>45722</v>
      </c>
      <c r="E632" s="11" t="str">
        <f>+HYPERLINK("http://trademark.i-assist.jp/data/china/image_1926th/82130122.pdf","82130122")</f>
        <v>82130122</v>
      </c>
      <c r="F632" s="9" t="s">
        <v>1881</v>
      </c>
      <c r="G632" s="9" t="s">
        <v>142</v>
      </c>
      <c r="H632" s="9" t="s">
        <v>1882</v>
      </c>
      <c r="I632" s="10">
        <v>45618</v>
      </c>
    </row>
    <row r="633" spans="1:9" x14ac:dyDescent="0.15">
      <c r="A633" s="9">
        <v>632</v>
      </c>
      <c r="B633" s="9" t="s">
        <v>9</v>
      </c>
      <c r="C633" s="9">
        <v>1926</v>
      </c>
      <c r="D633" s="10">
        <v>45722</v>
      </c>
      <c r="E633" s="11" t="str">
        <f>+HYPERLINK("http://trademark.i-assist.jp/data/china/image_1926th/82130234.pdf","82130234")</f>
        <v>82130234</v>
      </c>
      <c r="F633" s="12" t="s">
        <v>1883</v>
      </c>
      <c r="G633" s="9" t="s">
        <v>1884</v>
      </c>
      <c r="H633" s="9" t="s">
        <v>1885</v>
      </c>
      <c r="I633" s="10">
        <v>45618</v>
      </c>
    </row>
    <row r="634" spans="1:9" x14ac:dyDescent="0.15">
      <c r="A634" s="9">
        <v>633</v>
      </c>
      <c r="B634" s="9" t="s">
        <v>9</v>
      </c>
      <c r="C634" s="9">
        <v>1926</v>
      </c>
      <c r="D634" s="10">
        <v>45722</v>
      </c>
      <c r="E634" s="11" t="str">
        <f>+HYPERLINK("http://trademark.i-assist.jp/data/china/image_1926th/82130272.pdf","82130272")</f>
        <v>82130272</v>
      </c>
      <c r="F634" s="9" t="s">
        <v>1886</v>
      </c>
      <c r="G634" s="9" t="s">
        <v>89</v>
      </c>
      <c r="H634" s="12" t="s">
        <v>1887</v>
      </c>
      <c r="I634" s="10">
        <v>45618</v>
      </c>
    </row>
    <row r="635" spans="1:9" x14ac:dyDescent="0.15">
      <c r="A635" s="9">
        <v>634</v>
      </c>
      <c r="B635" s="9" t="s">
        <v>9</v>
      </c>
      <c r="C635" s="9">
        <v>1926</v>
      </c>
      <c r="D635" s="10">
        <v>45722</v>
      </c>
      <c r="E635" s="11" t="str">
        <f>+HYPERLINK("http://trademark.i-assist.jp/data/china/image_1926th/82130543.pdf","82130543")</f>
        <v>82130543</v>
      </c>
      <c r="F635" s="9" t="s">
        <v>1888</v>
      </c>
      <c r="G635" s="9" t="s">
        <v>1889</v>
      </c>
      <c r="H635" s="9" t="s">
        <v>1890</v>
      </c>
      <c r="I635" s="10">
        <v>45618</v>
      </c>
    </row>
    <row r="636" spans="1:9" x14ac:dyDescent="0.15">
      <c r="A636" s="9">
        <v>635</v>
      </c>
      <c r="B636" s="9" t="s">
        <v>9</v>
      </c>
      <c r="C636" s="9">
        <v>1926</v>
      </c>
      <c r="D636" s="10">
        <v>45722</v>
      </c>
      <c r="E636" s="11" t="str">
        <f>+HYPERLINK("http://trademark.i-assist.jp/data/china/image_1926th/82131513.pdf","82131513")</f>
        <v>82131513</v>
      </c>
      <c r="F636" s="9" t="s">
        <v>1891</v>
      </c>
      <c r="G636" s="9" t="s">
        <v>1892</v>
      </c>
      <c r="H636" s="12" t="s">
        <v>1893</v>
      </c>
      <c r="I636" s="10">
        <v>45618</v>
      </c>
    </row>
    <row r="637" spans="1:9" x14ac:dyDescent="0.15">
      <c r="A637" s="9">
        <v>636</v>
      </c>
      <c r="B637" s="9" t="s">
        <v>9</v>
      </c>
      <c r="C637" s="9">
        <v>1926</v>
      </c>
      <c r="D637" s="10">
        <v>45722</v>
      </c>
      <c r="E637" s="11" t="str">
        <f>+HYPERLINK("http://trademark.i-assist.jp/data/china/image_1926th/82131548.pdf","82131548")</f>
        <v>82131548</v>
      </c>
      <c r="F637" s="9" t="s">
        <v>1894</v>
      </c>
      <c r="G637" s="9" t="s">
        <v>57</v>
      </c>
      <c r="H637" s="9" t="s">
        <v>1895</v>
      </c>
      <c r="I637" s="10">
        <v>45618</v>
      </c>
    </row>
    <row r="638" spans="1:9" x14ac:dyDescent="0.15">
      <c r="A638" s="9">
        <v>637</v>
      </c>
      <c r="B638" s="9" t="s">
        <v>9</v>
      </c>
      <c r="C638" s="9">
        <v>1926</v>
      </c>
      <c r="D638" s="10">
        <v>45722</v>
      </c>
      <c r="E638" s="11" t="str">
        <f>+HYPERLINK("http://trademark.i-assist.jp/data/china/image_1926th/82131939.pdf","82131939")</f>
        <v>82131939</v>
      </c>
      <c r="F638" s="12" t="s">
        <v>1896</v>
      </c>
      <c r="G638" s="9" t="s">
        <v>1897</v>
      </c>
      <c r="H638" s="9" t="s">
        <v>1898</v>
      </c>
      <c r="I638" s="10">
        <v>45618</v>
      </c>
    </row>
    <row r="639" spans="1:9" x14ac:dyDescent="0.15">
      <c r="A639" s="9">
        <v>638</v>
      </c>
      <c r="B639" s="9" t="s">
        <v>9</v>
      </c>
      <c r="C639" s="9">
        <v>1926</v>
      </c>
      <c r="D639" s="10">
        <v>45722</v>
      </c>
      <c r="E639" s="11" t="str">
        <f>+HYPERLINK("http://trademark.i-assist.jp/data/china/image_1926th/82131965.pdf","82131965")</f>
        <v>82131965</v>
      </c>
      <c r="F639" s="12" t="s">
        <v>1899</v>
      </c>
      <c r="G639" s="9" t="s">
        <v>1900</v>
      </c>
      <c r="H639" s="9" t="s">
        <v>1901</v>
      </c>
      <c r="I639" s="10">
        <v>45618</v>
      </c>
    </row>
    <row r="640" spans="1:9" x14ac:dyDescent="0.15">
      <c r="A640" s="9">
        <v>639</v>
      </c>
      <c r="B640" s="9" t="s">
        <v>9</v>
      </c>
      <c r="C640" s="9">
        <v>1926</v>
      </c>
      <c r="D640" s="10">
        <v>45722</v>
      </c>
      <c r="E640" s="11" t="str">
        <f>+HYPERLINK("http://trademark.i-assist.jp/data/china/image_1926th/82132018.pdf","82132018")</f>
        <v>82132018</v>
      </c>
      <c r="F640" s="9" t="s">
        <v>1902</v>
      </c>
      <c r="G640" s="9" t="s">
        <v>80</v>
      </c>
      <c r="H640" s="9" t="s">
        <v>1903</v>
      </c>
      <c r="I640" s="10">
        <v>45618</v>
      </c>
    </row>
    <row r="641" spans="1:9" x14ac:dyDescent="0.15">
      <c r="A641" s="9">
        <v>640</v>
      </c>
      <c r="B641" s="9" t="s">
        <v>9</v>
      </c>
      <c r="C641" s="9">
        <v>1926</v>
      </c>
      <c r="D641" s="10">
        <v>45722</v>
      </c>
      <c r="E641" s="11" t="str">
        <f>+HYPERLINK("http://trademark.i-assist.jp/data/china/image_1926th/82132045.pdf","82132045")</f>
        <v>82132045</v>
      </c>
      <c r="F641" s="9" t="s">
        <v>1904</v>
      </c>
      <c r="G641" s="9" t="s">
        <v>1815</v>
      </c>
      <c r="H641" s="12" t="s">
        <v>1905</v>
      </c>
      <c r="I641" s="10">
        <v>45618</v>
      </c>
    </row>
    <row r="642" spans="1:9" x14ac:dyDescent="0.15">
      <c r="A642" s="9">
        <v>641</v>
      </c>
      <c r="B642" s="9" t="s">
        <v>9</v>
      </c>
      <c r="C642" s="9">
        <v>1926</v>
      </c>
      <c r="D642" s="10">
        <v>45722</v>
      </c>
      <c r="E642" s="11" t="str">
        <f>+HYPERLINK("http://trademark.i-assist.jp/data/china/image_1926th/82132060.pdf","82132060")</f>
        <v>82132060</v>
      </c>
      <c r="F642" s="9" t="s">
        <v>1906</v>
      </c>
      <c r="G642" s="9" t="s">
        <v>90</v>
      </c>
      <c r="H642" s="9" t="s">
        <v>1907</v>
      </c>
      <c r="I642" s="10">
        <v>45618</v>
      </c>
    </row>
    <row r="643" spans="1:9" x14ac:dyDescent="0.15">
      <c r="A643" s="9">
        <v>642</v>
      </c>
      <c r="B643" s="9" t="s">
        <v>9</v>
      </c>
      <c r="C643" s="9">
        <v>1926</v>
      </c>
      <c r="D643" s="10">
        <v>45722</v>
      </c>
      <c r="E643" s="11" t="str">
        <f>+HYPERLINK("http://trademark.i-assist.jp/data/china/image_1926th/82132246.pdf","82132246")</f>
        <v>82132246</v>
      </c>
      <c r="F643" s="9" t="s">
        <v>1908</v>
      </c>
      <c r="G643" s="9" t="s">
        <v>1909</v>
      </c>
      <c r="H643" s="9" t="s">
        <v>1910</v>
      </c>
      <c r="I643" s="10">
        <v>45618</v>
      </c>
    </row>
    <row r="644" spans="1:9" x14ac:dyDescent="0.15">
      <c r="A644" s="9">
        <v>643</v>
      </c>
      <c r="B644" s="9" t="s">
        <v>9</v>
      </c>
      <c r="C644" s="9">
        <v>1926</v>
      </c>
      <c r="D644" s="10">
        <v>45722</v>
      </c>
      <c r="E644" s="11" t="str">
        <f>+HYPERLINK("http://trademark.i-assist.jp/data/china/image_1926th/82132895.pdf","82132895")</f>
        <v>82132895</v>
      </c>
      <c r="F644" s="9" t="s">
        <v>1911</v>
      </c>
      <c r="G644" s="9" t="s">
        <v>1770</v>
      </c>
      <c r="H644" s="9" t="s">
        <v>1912</v>
      </c>
      <c r="I644" s="10">
        <v>45618</v>
      </c>
    </row>
    <row r="645" spans="1:9" x14ac:dyDescent="0.15">
      <c r="A645" s="9">
        <v>644</v>
      </c>
      <c r="B645" s="9" t="s">
        <v>9</v>
      </c>
      <c r="C645" s="9">
        <v>1926</v>
      </c>
      <c r="D645" s="10">
        <v>45722</v>
      </c>
      <c r="E645" s="11" t="str">
        <f>+HYPERLINK("http://trademark.i-assist.jp/data/china/image_1926th/82132990.pdf","82132990")</f>
        <v>82132990</v>
      </c>
      <c r="F645" s="12" t="s">
        <v>1913</v>
      </c>
      <c r="G645" s="9" t="s">
        <v>1856</v>
      </c>
      <c r="H645" s="9" t="s">
        <v>1914</v>
      </c>
      <c r="I645" s="10">
        <v>45618</v>
      </c>
    </row>
    <row r="646" spans="1:9" x14ac:dyDescent="0.15">
      <c r="A646" s="9">
        <v>645</v>
      </c>
      <c r="B646" s="9" t="s">
        <v>9</v>
      </c>
      <c r="C646" s="9">
        <v>1926</v>
      </c>
      <c r="D646" s="10">
        <v>45722</v>
      </c>
      <c r="E646" s="11" t="str">
        <f>+HYPERLINK("http://trademark.i-assist.jp/data/china/image_1926th/82133021.pdf","82133021")</f>
        <v>82133021</v>
      </c>
      <c r="F646" s="9" t="s">
        <v>1915</v>
      </c>
      <c r="G646" s="9" t="s">
        <v>1732</v>
      </c>
      <c r="H646" s="9" t="s">
        <v>1916</v>
      </c>
      <c r="I646" s="10">
        <v>45618</v>
      </c>
    </row>
    <row r="647" spans="1:9" x14ac:dyDescent="0.15">
      <c r="A647" s="9">
        <v>646</v>
      </c>
      <c r="B647" s="9" t="s">
        <v>9</v>
      </c>
      <c r="C647" s="9">
        <v>1926</v>
      </c>
      <c r="D647" s="10">
        <v>45722</v>
      </c>
      <c r="E647" s="11" t="str">
        <f>+HYPERLINK("http://trademark.i-assist.jp/data/china/image_1926th/82133071.pdf","82133071")</f>
        <v>82133071</v>
      </c>
      <c r="F647" s="12" t="s">
        <v>1917</v>
      </c>
      <c r="G647" s="9" t="s">
        <v>1918</v>
      </c>
      <c r="H647" s="12" t="s">
        <v>1919</v>
      </c>
      <c r="I647" s="10">
        <v>45618</v>
      </c>
    </row>
    <row r="648" spans="1:9" x14ac:dyDescent="0.15">
      <c r="A648" s="9">
        <v>647</v>
      </c>
      <c r="B648" s="9" t="s">
        <v>9</v>
      </c>
      <c r="C648" s="9">
        <v>1926</v>
      </c>
      <c r="D648" s="10">
        <v>45722</v>
      </c>
      <c r="E648" s="11" t="str">
        <f>+HYPERLINK("http://trademark.i-assist.jp/data/china/image_1926th/82133319.pdf","82133319")</f>
        <v>82133319</v>
      </c>
      <c r="F648" s="9" t="s">
        <v>1920</v>
      </c>
      <c r="G648" s="9" t="s">
        <v>1921</v>
      </c>
      <c r="H648" s="9" t="s">
        <v>1922</v>
      </c>
      <c r="I648" s="10">
        <v>45618</v>
      </c>
    </row>
    <row r="649" spans="1:9" x14ac:dyDescent="0.15">
      <c r="A649" s="9">
        <v>648</v>
      </c>
      <c r="B649" s="9" t="s">
        <v>9</v>
      </c>
      <c r="C649" s="9">
        <v>1926</v>
      </c>
      <c r="D649" s="10">
        <v>45722</v>
      </c>
      <c r="E649" s="11" t="str">
        <f>+HYPERLINK("http://trademark.i-assist.jp/data/china/image_1926th/82133396.pdf","82133396")</f>
        <v>82133396</v>
      </c>
      <c r="F649" s="9" t="s">
        <v>1923</v>
      </c>
      <c r="G649" s="9" t="s">
        <v>80</v>
      </c>
      <c r="H649" s="9" t="s">
        <v>1924</v>
      </c>
      <c r="I649" s="10">
        <v>45618</v>
      </c>
    </row>
    <row r="650" spans="1:9" x14ac:dyDescent="0.15">
      <c r="A650" s="9">
        <v>649</v>
      </c>
      <c r="B650" s="9" t="s">
        <v>9</v>
      </c>
      <c r="C650" s="9">
        <v>1926</v>
      </c>
      <c r="D650" s="10">
        <v>45722</v>
      </c>
      <c r="E650" s="11" t="str">
        <f>+HYPERLINK("http://trademark.i-assist.jp/data/china/image_1926th/82133626.pdf","82133626")</f>
        <v>82133626</v>
      </c>
      <c r="F650" s="12" t="s">
        <v>1925</v>
      </c>
      <c r="G650" s="12" t="s">
        <v>1832</v>
      </c>
      <c r="H650" s="9" t="s">
        <v>1926</v>
      </c>
      <c r="I650" s="10">
        <v>45618</v>
      </c>
    </row>
    <row r="651" spans="1:9" x14ac:dyDescent="0.15">
      <c r="A651" s="9">
        <v>650</v>
      </c>
      <c r="B651" s="9" t="s">
        <v>9</v>
      </c>
      <c r="C651" s="9">
        <v>1926</v>
      </c>
      <c r="D651" s="10">
        <v>45722</v>
      </c>
      <c r="E651" s="11" t="str">
        <f>+HYPERLINK("http://trademark.i-assist.jp/data/china/image_1926th/82133788.pdf","82133788")</f>
        <v>82133788</v>
      </c>
      <c r="F651" s="9" t="s">
        <v>1927</v>
      </c>
      <c r="G651" s="9" t="s">
        <v>1928</v>
      </c>
      <c r="H651" s="12" t="s">
        <v>1929</v>
      </c>
      <c r="I651" s="10">
        <v>45618</v>
      </c>
    </row>
    <row r="652" spans="1:9" x14ac:dyDescent="0.15">
      <c r="A652" s="9">
        <v>651</v>
      </c>
      <c r="B652" s="9" t="s">
        <v>9</v>
      </c>
      <c r="C652" s="9">
        <v>1926</v>
      </c>
      <c r="D652" s="10">
        <v>45722</v>
      </c>
      <c r="E652" s="11" t="str">
        <f>+HYPERLINK("http://trademark.i-assist.jp/data/china/image_1926th/82134017.pdf","82134017")</f>
        <v>82134017</v>
      </c>
      <c r="F652" s="9" t="s">
        <v>1930</v>
      </c>
      <c r="G652" s="12" t="s">
        <v>1931</v>
      </c>
      <c r="H652" s="9" t="s">
        <v>1932</v>
      </c>
      <c r="I652" s="10">
        <v>45618</v>
      </c>
    </row>
    <row r="653" spans="1:9" x14ac:dyDescent="0.15">
      <c r="A653" s="9">
        <v>652</v>
      </c>
      <c r="B653" s="9" t="s">
        <v>9</v>
      </c>
      <c r="C653" s="9">
        <v>1926</v>
      </c>
      <c r="D653" s="10">
        <v>45722</v>
      </c>
      <c r="E653" s="11" t="str">
        <f>+HYPERLINK("http://trademark.i-assist.jp/data/china/image_1926th/82134782.pdf","82134782")</f>
        <v>82134782</v>
      </c>
      <c r="F653" s="9" t="s">
        <v>1933</v>
      </c>
      <c r="G653" s="9" t="s">
        <v>1934</v>
      </c>
      <c r="H653" s="9" t="s">
        <v>1935</v>
      </c>
      <c r="I653" s="10">
        <v>45618</v>
      </c>
    </row>
    <row r="654" spans="1:9" x14ac:dyDescent="0.15">
      <c r="A654" s="9">
        <v>653</v>
      </c>
      <c r="B654" s="9" t="s">
        <v>9</v>
      </c>
      <c r="C654" s="9">
        <v>1926</v>
      </c>
      <c r="D654" s="10">
        <v>45722</v>
      </c>
      <c r="E654" s="11" t="str">
        <f>+HYPERLINK("http://trademark.i-assist.jp/data/china/image_1926th/82135095.pdf","82135095")</f>
        <v>82135095</v>
      </c>
      <c r="F654" s="9" t="s">
        <v>1936</v>
      </c>
      <c r="G654" s="9" t="s">
        <v>95</v>
      </c>
      <c r="H654" s="9" t="s">
        <v>1937</v>
      </c>
      <c r="I654" s="10">
        <v>45618</v>
      </c>
    </row>
    <row r="655" spans="1:9" x14ac:dyDescent="0.15">
      <c r="A655" s="9">
        <v>654</v>
      </c>
      <c r="B655" s="9" t="s">
        <v>9</v>
      </c>
      <c r="C655" s="9">
        <v>1926</v>
      </c>
      <c r="D655" s="10">
        <v>45722</v>
      </c>
      <c r="E655" s="11" t="str">
        <f>+HYPERLINK("http://trademark.i-assist.jp/data/china/image_1926th/82136048.pdf","82136048")</f>
        <v>82136048</v>
      </c>
      <c r="F655" s="9" t="s">
        <v>1938</v>
      </c>
      <c r="G655" s="9" t="s">
        <v>57</v>
      </c>
      <c r="H655" s="9" t="s">
        <v>1939</v>
      </c>
      <c r="I655" s="10">
        <v>45618</v>
      </c>
    </row>
    <row r="656" spans="1:9" x14ac:dyDescent="0.15">
      <c r="A656" s="9">
        <v>655</v>
      </c>
      <c r="B656" s="9" t="s">
        <v>9</v>
      </c>
      <c r="C656" s="9">
        <v>1926</v>
      </c>
      <c r="D656" s="10">
        <v>45722</v>
      </c>
      <c r="E656" s="11" t="str">
        <f>+HYPERLINK("http://trademark.i-assist.jp/data/china/image_1926th/82136126.pdf","82136126")</f>
        <v>82136126</v>
      </c>
      <c r="F656" s="12" t="s">
        <v>1940</v>
      </c>
      <c r="G656" s="12" t="s">
        <v>1941</v>
      </c>
      <c r="H656" s="9" t="s">
        <v>1942</v>
      </c>
      <c r="I656" s="10">
        <v>45618</v>
      </c>
    </row>
    <row r="657" spans="1:9" x14ac:dyDescent="0.15">
      <c r="A657" s="9">
        <v>656</v>
      </c>
      <c r="B657" s="9" t="s">
        <v>9</v>
      </c>
      <c r="C657" s="9">
        <v>1926</v>
      </c>
      <c r="D657" s="10">
        <v>45722</v>
      </c>
      <c r="E657" s="11" t="str">
        <f>+HYPERLINK("http://trademark.i-assist.jp/data/china/image_1926th/82136354.pdf","82136354")</f>
        <v>82136354</v>
      </c>
      <c r="F657" s="9" t="s">
        <v>1943</v>
      </c>
      <c r="G657" s="9" t="s">
        <v>1944</v>
      </c>
      <c r="H657" s="9" t="s">
        <v>1945</v>
      </c>
      <c r="I657" s="10">
        <v>45618</v>
      </c>
    </row>
    <row r="658" spans="1:9" x14ac:dyDescent="0.15">
      <c r="A658" s="9">
        <v>657</v>
      </c>
      <c r="B658" s="9" t="s">
        <v>9</v>
      </c>
      <c r="C658" s="9">
        <v>1926</v>
      </c>
      <c r="D658" s="10">
        <v>45722</v>
      </c>
      <c r="E658" s="11" t="str">
        <f>+HYPERLINK("http://trademark.i-assist.jp/data/china/image_1926th/82136485.pdf","82136485")</f>
        <v>82136485</v>
      </c>
      <c r="F658" s="9" t="s">
        <v>1946</v>
      </c>
      <c r="G658" s="9" t="s">
        <v>1947</v>
      </c>
      <c r="H658" s="9" t="s">
        <v>1948</v>
      </c>
      <c r="I658" s="10">
        <v>45618</v>
      </c>
    </row>
    <row r="659" spans="1:9" x14ac:dyDescent="0.15">
      <c r="A659" s="9">
        <v>658</v>
      </c>
      <c r="B659" s="9" t="s">
        <v>9</v>
      </c>
      <c r="C659" s="9">
        <v>1926</v>
      </c>
      <c r="D659" s="10">
        <v>45722</v>
      </c>
      <c r="E659" s="11" t="str">
        <f>+HYPERLINK("http://trademark.i-assist.jp/data/china/image_1926th/82136606.pdf","82136606")</f>
        <v>82136606</v>
      </c>
      <c r="F659" s="9" t="s">
        <v>1949</v>
      </c>
      <c r="G659" s="9" t="s">
        <v>1950</v>
      </c>
      <c r="H659" s="9" t="s">
        <v>1951</v>
      </c>
      <c r="I659" s="10">
        <v>45618</v>
      </c>
    </row>
    <row r="660" spans="1:9" x14ac:dyDescent="0.15">
      <c r="A660" s="9">
        <v>659</v>
      </c>
      <c r="B660" s="9" t="s">
        <v>9</v>
      </c>
      <c r="C660" s="9">
        <v>1926</v>
      </c>
      <c r="D660" s="10">
        <v>45722</v>
      </c>
      <c r="E660" s="11" t="str">
        <f>+HYPERLINK("http://trademark.i-assist.jp/data/china/image_1926th/82136825.pdf","82136825")</f>
        <v>82136825</v>
      </c>
      <c r="F660" s="9" t="s">
        <v>1952</v>
      </c>
      <c r="G660" s="9" t="s">
        <v>86</v>
      </c>
      <c r="H660" s="9" t="s">
        <v>1953</v>
      </c>
      <c r="I660" s="10">
        <v>45618</v>
      </c>
    </row>
    <row r="661" spans="1:9" x14ac:dyDescent="0.15">
      <c r="A661" s="9">
        <v>660</v>
      </c>
      <c r="B661" s="9" t="s">
        <v>9</v>
      </c>
      <c r="C661" s="9">
        <v>1926</v>
      </c>
      <c r="D661" s="10">
        <v>45722</v>
      </c>
      <c r="E661" s="11" t="str">
        <f>+HYPERLINK("http://trademark.i-assist.jp/data/china/image_1926th/82137615.pdf","82137615")</f>
        <v>82137615</v>
      </c>
      <c r="F661" s="9" t="s">
        <v>1954</v>
      </c>
      <c r="G661" s="9" t="s">
        <v>1955</v>
      </c>
      <c r="H661" s="12" t="s">
        <v>1956</v>
      </c>
      <c r="I661" s="10">
        <v>45618</v>
      </c>
    </row>
    <row r="662" spans="1:9" x14ac:dyDescent="0.15">
      <c r="A662" s="9">
        <v>661</v>
      </c>
      <c r="B662" s="9" t="s">
        <v>9</v>
      </c>
      <c r="C662" s="9">
        <v>1926</v>
      </c>
      <c r="D662" s="10">
        <v>45722</v>
      </c>
      <c r="E662" s="11" t="str">
        <f>+HYPERLINK("http://trademark.i-assist.jp/data/china/image_1926th/82137869.pdf","82137869")</f>
        <v>82137869</v>
      </c>
      <c r="F662" s="9" t="s">
        <v>1957</v>
      </c>
      <c r="G662" s="9" t="s">
        <v>1958</v>
      </c>
      <c r="H662" s="9" t="s">
        <v>1959</v>
      </c>
      <c r="I662" s="10">
        <v>45618</v>
      </c>
    </row>
    <row r="663" spans="1:9" x14ac:dyDescent="0.15">
      <c r="A663" s="9">
        <v>662</v>
      </c>
      <c r="B663" s="9" t="s">
        <v>9</v>
      </c>
      <c r="C663" s="9">
        <v>1926</v>
      </c>
      <c r="D663" s="10">
        <v>45722</v>
      </c>
      <c r="E663" s="11" t="str">
        <f>+HYPERLINK("http://trademark.i-assist.jp/data/china/image_1926th/82138995.pdf","82138995")</f>
        <v>82138995</v>
      </c>
      <c r="F663" s="12" t="s">
        <v>1960</v>
      </c>
      <c r="G663" s="12" t="s">
        <v>1961</v>
      </c>
      <c r="H663" s="12" t="s">
        <v>1962</v>
      </c>
      <c r="I663" s="10">
        <v>45618</v>
      </c>
    </row>
    <row r="664" spans="1:9" x14ac:dyDescent="0.15">
      <c r="A664" s="9">
        <v>663</v>
      </c>
      <c r="B664" s="9" t="s">
        <v>9</v>
      </c>
      <c r="C664" s="9">
        <v>1926</v>
      </c>
      <c r="D664" s="10">
        <v>45722</v>
      </c>
      <c r="E664" s="11" t="str">
        <f>+HYPERLINK("http://trademark.i-assist.jp/data/china/image_1926th/82139084.pdf","82139084")</f>
        <v>82139084</v>
      </c>
      <c r="F664" s="9" t="s">
        <v>1963</v>
      </c>
      <c r="G664" s="9" t="s">
        <v>1964</v>
      </c>
      <c r="H664" s="9" t="s">
        <v>1965</v>
      </c>
      <c r="I664" s="10">
        <v>45618</v>
      </c>
    </row>
    <row r="665" spans="1:9" x14ac:dyDescent="0.15">
      <c r="A665" s="9">
        <v>664</v>
      </c>
      <c r="B665" s="9" t="s">
        <v>9</v>
      </c>
      <c r="C665" s="9">
        <v>1926</v>
      </c>
      <c r="D665" s="10">
        <v>45722</v>
      </c>
      <c r="E665" s="11" t="str">
        <f>+HYPERLINK("http://trademark.i-assist.jp/data/china/image_1926th/82139370.pdf","82139370")</f>
        <v>82139370</v>
      </c>
      <c r="F665" s="12" t="s">
        <v>20</v>
      </c>
      <c r="G665" s="9" t="s">
        <v>1966</v>
      </c>
      <c r="H665" s="9" t="s">
        <v>1967</v>
      </c>
      <c r="I665" s="10">
        <v>45618</v>
      </c>
    </row>
    <row r="666" spans="1:9" x14ac:dyDescent="0.15">
      <c r="A666" s="9">
        <v>665</v>
      </c>
      <c r="B666" s="9" t="s">
        <v>9</v>
      </c>
      <c r="C666" s="9">
        <v>1926</v>
      </c>
      <c r="D666" s="10">
        <v>45722</v>
      </c>
      <c r="E666" s="11" t="str">
        <f>+HYPERLINK("http://trademark.i-assist.jp/data/china/image_1926th/82139747.pdf","82139747")</f>
        <v>82139747</v>
      </c>
      <c r="F666" s="9" t="s">
        <v>1968</v>
      </c>
      <c r="G666" s="9" t="s">
        <v>1969</v>
      </c>
      <c r="H666" s="9" t="s">
        <v>1970</v>
      </c>
      <c r="I666" s="10">
        <v>45618</v>
      </c>
    </row>
    <row r="667" spans="1:9" x14ac:dyDescent="0.15">
      <c r="A667" s="9">
        <v>666</v>
      </c>
      <c r="B667" s="9" t="s">
        <v>9</v>
      </c>
      <c r="C667" s="9">
        <v>1926</v>
      </c>
      <c r="D667" s="10">
        <v>45722</v>
      </c>
      <c r="E667" s="11" t="str">
        <f>+HYPERLINK("http://trademark.i-assist.jp/data/china/image_1926th/82140408.pdf","82140408")</f>
        <v>82140408</v>
      </c>
      <c r="F667" s="9" t="s">
        <v>1971</v>
      </c>
      <c r="G667" s="9" t="s">
        <v>1972</v>
      </c>
      <c r="H667" s="9" t="s">
        <v>1973</v>
      </c>
      <c r="I667" s="10">
        <v>45618</v>
      </c>
    </row>
    <row r="668" spans="1:9" x14ac:dyDescent="0.15">
      <c r="A668" s="9">
        <v>667</v>
      </c>
      <c r="B668" s="9" t="s">
        <v>9</v>
      </c>
      <c r="C668" s="9">
        <v>1926</v>
      </c>
      <c r="D668" s="10">
        <v>45722</v>
      </c>
      <c r="E668" s="11" t="str">
        <f>+HYPERLINK("http://trademark.i-assist.jp/data/china/image_1926th/82141401.pdf","82141401")</f>
        <v>82141401</v>
      </c>
      <c r="F668" s="9" t="s">
        <v>1974</v>
      </c>
      <c r="G668" s="9" t="s">
        <v>1975</v>
      </c>
      <c r="H668" s="9" t="s">
        <v>1976</v>
      </c>
      <c r="I668" s="10">
        <v>45618</v>
      </c>
    </row>
    <row r="669" spans="1:9" x14ac:dyDescent="0.15">
      <c r="A669" s="9">
        <v>668</v>
      </c>
      <c r="B669" s="9" t="s">
        <v>9</v>
      </c>
      <c r="C669" s="9">
        <v>1926</v>
      </c>
      <c r="D669" s="10">
        <v>45722</v>
      </c>
      <c r="E669" s="11" t="str">
        <f>+HYPERLINK("http://trademark.i-assist.jp/data/china/image_1926th/82141624.pdf","82141624")</f>
        <v>82141624</v>
      </c>
      <c r="F669" s="12" t="s">
        <v>1977</v>
      </c>
      <c r="G669" s="9" t="s">
        <v>57</v>
      </c>
      <c r="H669" s="9" t="s">
        <v>1978</v>
      </c>
      <c r="I669" s="10">
        <v>45618</v>
      </c>
    </row>
    <row r="670" spans="1:9" x14ac:dyDescent="0.15">
      <c r="A670" s="9">
        <v>669</v>
      </c>
      <c r="B670" s="9" t="s">
        <v>9</v>
      </c>
      <c r="C670" s="9">
        <v>1926</v>
      </c>
      <c r="D670" s="10">
        <v>45722</v>
      </c>
      <c r="E670" s="11" t="str">
        <f>+HYPERLINK("http://trademark.i-assist.jp/data/china/image_1926th/82141851.pdf","82141851")</f>
        <v>82141851</v>
      </c>
      <c r="F670" s="9" t="s">
        <v>1979</v>
      </c>
      <c r="G670" s="12" t="s">
        <v>1795</v>
      </c>
      <c r="H670" s="12" t="s">
        <v>1980</v>
      </c>
      <c r="I670" s="10">
        <v>45618</v>
      </c>
    </row>
    <row r="671" spans="1:9" x14ac:dyDescent="0.15">
      <c r="A671" s="9">
        <v>670</v>
      </c>
      <c r="B671" s="9" t="s">
        <v>9</v>
      </c>
      <c r="C671" s="9">
        <v>1926</v>
      </c>
      <c r="D671" s="10">
        <v>45722</v>
      </c>
      <c r="E671" s="11" t="str">
        <f>+HYPERLINK("http://trademark.i-assist.jp/data/china/image_1926th/82141987.pdf","82141987")</f>
        <v>82141987</v>
      </c>
      <c r="F671" s="12" t="s">
        <v>1981</v>
      </c>
      <c r="G671" s="9" t="s">
        <v>1982</v>
      </c>
      <c r="H671" s="9" t="s">
        <v>1983</v>
      </c>
      <c r="I671" s="10">
        <v>45618</v>
      </c>
    </row>
    <row r="672" spans="1:9" x14ac:dyDescent="0.15">
      <c r="A672" s="9">
        <v>671</v>
      </c>
      <c r="B672" s="9" t="s">
        <v>9</v>
      </c>
      <c r="C672" s="9">
        <v>1926</v>
      </c>
      <c r="D672" s="10">
        <v>45722</v>
      </c>
      <c r="E672" s="11" t="str">
        <f>+HYPERLINK("http://trademark.i-assist.jp/data/china/image_1926th/82142559.pdf","82142559")</f>
        <v>82142559</v>
      </c>
      <c r="F672" s="9" t="s">
        <v>1984</v>
      </c>
      <c r="G672" s="9" t="s">
        <v>1985</v>
      </c>
      <c r="H672" s="12" t="s">
        <v>1986</v>
      </c>
      <c r="I672" s="10">
        <v>45618</v>
      </c>
    </row>
    <row r="673" spans="1:9" x14ac:dyDescent="0.15">
      <c r="A673" s="9">
        <v>672</v>
      </c>
      <c r="B673" s="9" t="s">
        <v>9</v>
      </c>
      <c r="C673" s="9">
        <v>1926</v>
      </c>
      <c r="D673" s="10">
        <v>45722</v>
      </c>
      <c r="E673" s="11" t="str">
        <f>+HYPERLINK("http://trademark.i-assist.jp/data/china/image_1926th/82144052.pdf","82144052")</f>
        <v>82144052</v>
      </c>
      <c r="F673" s="9" t="s">
        <v>1987</v>
      </c>
      <c r="G673" s="12" t="s">
        <v>1988</v>
      </c>
      <c r="H673" s="9" t="s">
        <v>1989</v>
      </c>
      <c r="I673" s="10">
        <v>45620</v>
      </c>
    </row>
    <row r="674" spans="1:9" x14ac:dyDescent="0.15">
      <c r="A674" s="9">
        <v>673</v>
      </c>
      <c r="B674" s="9" t="s">
        <v>9</v>
      </c>
      <c r="C674" s="9">
        <v>1926</v>
      </c>
      <c r="D674" s="10">
        <v>45722</v>
      </c>
      <c r="E674" s="11" t="str">
        <f>+HYPERLINK("http://trademark.i-assist.jp/data/china/image_1926th/82144686.pdf","82144686")</f>
        <v>82144686</v>
      </c>
      <c r="F674" s="9" t="s">
        <v>1990</v>
      </c>
      <c r="G674" s="9" t="s">
        <v>1991</v>
      </c>
      <c r="H674" s="9" t="s">
        <v>1992</v>
      </c>
      <c r="I674" s="10">
        <v>45621</v>
      </c>
    </row>
    <row r="675" spans="1:9" x14ac:dyDescent="0.15">
      <c r="A675" s="9">
        <v>674</v>
      </c>
      <c r="B675" s="9" t="s">
        <v>9</v>
      </c>
      <c r="C675" s="9">
        <v>1926</v>
      </c>
      <c r="D675" s="10">
        <v>45722</v>
      </c>
      <c r="E675" s="11" t="str">
        <f>+HYPERLINK("http://trademark.i-assist.jp/data/china/image_1926th/82144687.pdf","82144687")</f>
        <v>82144687</v>
      </c>
      <c r="F675" s="9" t="s">
        <v>1990</v>
      </c>
      <c r="G675" s="9" t="s">
        <v>1991</v>
      </c>
      <c r="H675" s="9" t="s">
        <v>1993</v>
      </c>
      <c r="I675" s="10">
        <v>45621</v>
      </c>
    </row>
    <row r="676" spans="1:9" x14ac:dyDescent="0.15">
      <c r="A676" s="9">
        <v>675</v>
      </c>
      <c r="B676" s="9" t="s">
        <v>9</v>
      </c>
      <c r="C676" s="9">
        <v>1926</v>
      </c>
      <c r="D676" s="10">
        <v>45722</v>
      </c>
      <c r="E676" s="11" t="str">
        <f>+HYPERLINK("http://trademark.i-assist.jp/data/china/image_1926th/82144688.pdf","82144688")</f>
        <v>82144688</v>
      </c>
      <c r="F676" s="13" t="s">
        <v>1994</v>
      </c>
      <c r="G676" s="9" t="s">
        <v>1991</v>
      </c>
      <c r="H676" s="12" t="s">
        <v>1995</v>
      </c>
      <c r="I676" s="10">
        <v>45621</v>
      </c>
    </row>
    <row r="677" spans="1:9" x14ac:dyDescent="0.15">
      <c r="A677" s="9">
        <v>676</v>
      </c>
      <c r="B677" s="9" t="s">
        <v>9</v>
      </c>
      <c r="C677" s="9">
        <v>1926</v>
      </c>
      <c r="D677" s="10">
        <v>45722</v>
      </c>
      <c r="E677" s="11" t="str">
        <f>+HYPERLINK("http://trademark.i-assist.jp/data/china/image_1926th/82145056.pdf","82145056")</f>
        <v>82145056</v>
      </c>
      <c r="F677" s="12" t="s">
        <v>1996</v>
      </c>
      <c r="G677" s="9" t="s">
        <v>1997</v>
      </c>
      <c r="H677" s="9" t="s">
        <v>1998</v>
      </c>
      <c r="I677" s="10">
        <v>45621</v>
      </c>
    </row>
    <row r="678" spans="1:9" x14ac:dyDescent="0.15">
      <c r="A678" s="9">
        <v>677</v>
      </c>
      <c r="B678" s="9" t="s">
        <v>9</v>
      </c>
      <c r="C678" s="9">
        <v>1926</v>
      </c>
      <c r="D678" s="10">
        <v>45722</v>
      </c>
      <c r="E678" s="11" t="str">
        <f>+HYPERLINK("http://trademark.i-assist.jp/data/china/image_1926th/82145079.pdf","82145079")</f>
        <v>82145079</v>
      </c>
      <c r="F678" s="9" t="s">
        <v>1999</v>
      </c>
      <c r="G678" s="9" t="s">
        <v>2000</v>
      </c>
      <c r="H678" s="12" t="s">
        <v>2001</v>
      </c>
      <c r="I678" s="10">
        <v>45621</v>
      </c>
    </row>
    <row r="679" spans="1:9" x14ac:dyDescent="0.15">
      <c r="A679" s="9">
        <v>678</v>
      </c>
      <c r="B679" s="9" t="s">
        <v>9</v>
      </c>
      <c r="C679" s="9">
        <v>1926</v>
      </c>
      <c r="D679" s="10">
        <v>45722</v>
      </c>
      <c r="E679" s="11" t="str">
        <f>+HYPERLINK("http://trademark.i-assist.jp/data/china/image_1926th/82145151.pdf","82145151")</f>
        <v>82145151</v>
      </c>
      <c r="F679" s="12" t="s">
        <v>2002</v>
      </c>
      <c r="G679" s="9" t="s">
        <v>2003</v>
      </c>
      <c r="H679" s="9" t="s">
        <v>2004</v>
      </c>
      <c r="I679" s="10">
        <v>45621</v>
      </c>
    </row>
    <row r="680" spans="1:9" x14ac:dyDescent="0.15">
      <c r="A680" s="9">
        <v>679</v>
      </c>
      <c r="B680" s="9" t="s">
        <v>9</v>
      </c>
      <c r="C680" s="9">
        <v>1926</v>
      </c>
      <c r="D680" s="10">
        <v>45722</v>
      </c>
      <c r="E680" s="11" t="str">
        <f>+HYPERLINK("http://trademark.i-assist.jp/data/china/image_1926th/82145159.pdf","82145159")</f>
        <v>82145159</v>
      </c>
      <c r="F680" s="9" t="s">
        <v>2005</v>
      </c>
      <c r="G680" s="9" t="s">
        <v>2006</v>
      </c>
      <c r="H680" s="9" t="s">
        <v>2007</v>
      </c>
      <c r="I680" s="10">
        <v>45621</v>
      </c>
    </row>
    <row r="681" spans="1:9" x14ac:dyDescent="0.15">
      <c r="A681" s="9">
        <v>680</v>
      </c>
      <c r="B681" s="9" t="s">
        <v>9</v>
      </c>
      <c r="C681" s="9">
        <v>1926</v>
      </c>
      <c r="D681" s="10">
        <v>45722</v>
      </c>
      <c r="E681" s="11" t="str">
        <f>+HYPERLINK("http://trademark.i-assist.jp/data/china/image_1926th/82145186.pdf","82145186")</f>
        <v>82145186</v>
      </c>
      <c r="F681" s="9" t="s">
        <v>2008</v>
      </c>
      <c r="G681" s="9" t="s">
        <v>2006</v>
      </c>
      <c r="H681" s="9" t="s">
        <v>2009</v>
      </c>
      <c r="I681" s="10">
        <v>45621</v>
      </c>
    </row>
    <row r="682" spans="1:9" x14ac:dyDescent="0.15">
      <c r="A682" s="9">
        <v>681</v>
      </c>
      <c r="B682" s="9" t="s">
        <v>9</v>
      </c>
      <c r="C682" s="9">
        <v>1926</v>
      </c>
      <c r="D682" s="10">
        <v>45722</v>
      </c>
      <c r="E682" s="11" t="str">
        <f>+HYPERLINK("http://trademark.i-assist.jp/data/china/image_1926th/82145434.pdf","82145434")</f>
        <v>82145434</v>
      </c>
      <c r="F682" s="12" t="s">
        <v>2010</v>
      </c>
      <c r="G682" s="9" t="s">
        <v>177</v>
      </c>
      <c r="H682" s="9" t="s">
        <v>2011</v>
      </c>
      <c r="I682" s="10">
        <v>45621</v>
      </c>
    </row>
    <row r="683" spans="1:9" x14ac:dyDescent="0.15">
      <c r="A683" s="9">
        <v>682</v>
      </c>
      <c r="B683" s="9" t="s">
        <v>9</v>
      </c>
      <c r="C683" s="9">
        <v>1926</v>
      </c>
      <c r="D683" s="10">
        <v>45722</v>
      </c>
      <c r="E683" s="11" t="str">
        <f>+HYPERLINK("http://trademark.i-assist.jp/data/china/image_1926th/82145523.pdf","82145523")</f>
        <v>82145523</v>
      </c>
      <c r="F683" s="9" t="s">
        <v>2012</v>
      </c>
      <c r="G683" s="9" t="s">
        <v>90</v>
      </c>
      <c r="H683" s="9" t="s">
        <v>2013</v>
      </c>
      <c r="I683" s="10">
        <v>45621</v>
      </c>
    </row>
    <row r="684" spans="1:9" x14ac:dyDescent="0.15">
      <c r="A684" s="9">
        <v>683</v>
      </c>
      <c r="B684" s="9" t="s">
        <v>9</v>
      </c>
      <c r="C684" s="9">
        <v>1926</v>
      </c>
      <c r="D684" s="10">
        <v>45722</v>
      </c>
      <c r="E684" s="11" t="str">
        <f>+HYPERLINK("http://trademark.i-assist.jp/data/china/image_1926th/82145769.pdf","82145769")</f>
        <v>82145769</v>
      </c>
      <c r="F684" s="12" t="s">
        <v>2014</v>
      </c>
      <c r="G684" s="12" t="s">
        <v>2015</v>
      </c>
      <c r="H684" s="9" t="s">
        <v>2016</v>
      </c>
      <c r="I684" s="10">
        <v>45621</v>
      </c>
    </row>
    <row r="685" spans="1:9" x14ac:dyDescent="0.15">
      <c r="A685" s="9">
        <v>684</v>
      </c>
      <c r="B685" s="9" t="s">
        <v>9</v>
      </c>
      <c r="C685" s="9">
        <v>1926</v>
      </c>
      <c r="D685" s="10">
        <v>45722</v>
      </c>
      <c r="E685" s="11" t="str">
        <f>+HYPERLINK("http://trademark.i-assist.jp/data/china/image_1926th/82145828.pdf","82145828")</f>
        <v>82145828</v>
      </c>
      <c r="F685" s="12" t="s">
        <v>2017</v>
      </c>
      <c r="G685" s="12" t="s">
        <v>2018</v>
      </c>
      <c r="H685" s="9" t="s">
        <v>2019</v>
      </c>
      <c r="I685" s="10">
        <v>45621</v>
      </c>
    </row>
    <row r="686" spans="1:9" x14ac:dyDescent="0.15">
      <c r="A686" s="9">
        <v>685</v>
      </c>
      <c r="B686" s="9" t="s">
        <v>9</v>
      </c>
      <c r="C686" s="9">
        <v>1926</v>
      </c>
      <c r="D686" s="10">
        <v>45722</v>
      </c>
      <c r="E686" s="11" t="str">
        <f>+HYPERLINK("http://trademark.i-assist.jp/data/china/image_1926th/82146212.pdf","82146212")</f>
        <v>82146212</v>
      </c>
      <c r="F686" s="9" t="s">
        <v>2020</v>
      </c>
      <c r="G686" s="9" t="s">
        <v>2021</v>
      </c>
      <c r="H686" s="9" t="s">
        <v>2022</v>
      </c>
      <c r="I686" s="10">
        <v>45621</v>
      </c>
    </row>
    <row r="687" spans="1:9" x14ac:dyDescent="0.15">
      <c r="A687" s="9">
        <v>686</v>
      </c>
      <c r="B687" s="9" t="s">
        <v>9</v>
      </c>
      <c r="C687" s="9">
        <v>1926</v>
      </c>
      <c r="D687" s="10">
        <v>45722</v>
      </c>
      <c r="E687" s="11" t="str">
        <f>+HYPERLINK("http://trademark.i-assist.jp/data/china/image_1926th/82146455.pdf","82146455")</f>
        <v>82146455</v>
      </c>
      <c r="F687" s="9" t="s">
        <v>2023</v>
      </c>
      <c r="G687" s="9" t="s">
        <v>2024</v>
      </c>
      <c r="H687" s="9" t="s">
        <v>2025</v>
      </c>
      <c r="I687" s="10">
        <v>45621</v>
      </c>
    </row>
    <row r="688" spans="1:9" x14ac:dyDescent="0.15">
      <c r="A688" s="9">
        <v>687</v>
      </c>
      <c r="B688" s="9" t="s">
        <v>9</v>
      </c>
      <c r="C688" s="9">
        <v>1926</v>
      </c>
      <c r="D688" s="10">
        <v>45722</v>
      </c>
      <c r="E688" s="11" t="str">
        <f>+HYPERLINK("http://trademark.i-assist.jp/data/china/image_1926th/82147781.pdf","82147781")</f>
        <v>82147781</v>
      </c>
      <c r="F688" s="9" t="s">
        <v>2026</v>
      </c>
      <c r="G688" s="12" t="s">
        <v>132</v>
      </c>
      <c r="H688" s="9" t="s">
        <v>2027</v>
      </c>
      <c r="I688" s="10">
        <v>45621</v>
      </c>
    </row>
    <row r="689" spans="1:9" x14ac:dyDescent="0.15">
      <c r="A689" s="9">
        <v>688</v>
      </c>
      <c r="B689" s="9" t="s">
        <v>9</v>
      </c>
      <c r="C689" s="9">
        <v>1926</v>
      </c>
      <c r="D689" s="10">
        <v>45722</v>
      </c>
      <c r="E689" s="11" t="str">
        <f>+HYPERLINK("http://trademark.i-assist.jp/data/china/image_1926th/82147963.pdf","82147963")</f>
        <v>82147963</v>
      </c>
      <c r="F689" s="9" t="s">
        <v>2028</v>
      </c>
      <c r="G689" s="9" t="s">
        <v>2006</v>
      </c>
      <c r="H689" s="9" t="s">
        <v>2029</v>
      </c>
      <c r="I689" s="10">
        <v>45621</v>
      </c>
    </row>
    <row r="690" spans="1:9" x14ac:dyDescent="0.15">
      <c r="A690" s="9">
        <v>689</v>
      </c>
      <c r="B690" s="9" t="s">
        <v>9</v>
      </c>
      <c r="C690" s="9">
        <v>1926</v>
      </c>
      <c r="D690" s="10">
        <v>45722</v>
      </c>
      <c r="E690" s="11" t="str">
        <f>+HYPERLINK("http://trademark.i-assist.jp/data/china/image_1926th/82148013.pdf","82148013")</f>
        <v>82148013</v>
      </c>
      <c r="F690" s="9" t="s">
        <v>2030</v>
      </c>
      <c r="G690" s="12" t="s">
        <v>2031</v>
      </c>
      <c r="H690" s="9" t="s">
        <v>2032</v>
      </c>
      <c r="I690" s="10">
        <v>45621</v>
      </c>
    </row>
    <row r="691" spans="1:9" x14ac:dyDescent="0.15">
      <c r="A691" s="9">
        <v>690</v>
      </c>
      <c r="B691" s="9" t="s">
        <v>9</v>
      </c>
      <c r="C691" s="9">
        <v>1926</v>
      </c>
      <c r="D691" s="10">
        <v>45722</v>
      </c>
      <c r="E691" s="11" t="str">
        <f>+HYPERLINK("http://trademark.i-assist.jp/data/china/image_1926th/82148499.pdf","82148499")</f>
        <v>82148499</v>
      </c>
      <c r="F691" s="9" t="s">
        <v>2033</v>
      </c>
      <c r="G691" s="9" t="s">
        <v>133</v>
      </c>
      <c r="H691" s="9" t="s">
        <v>2034</v>
      </c>
      <c r="I691" s="10">
        <v>45621</v>
      </c>
    </row>
    <row r="692" spans="1:9" x14ac:dyDescent="0.15">
      <c r="A692" s="9">
        <v>691</v>
      </c>
      <c r="B692" s="9" t="s">
        <v>9</v>
      </c>
      <c r="C692" s="9">
        <v>1926</v>
      </c>
      <c r="D692" s="10">
        <v>45722</v>
      </c>
      <c r="E692" s="11" t="str">
        <f>+HYPERLINK("http://trademark.i-assist.jp/data/china/image_1926th/82148626.pdf","82148626")</f>
        <v>82148626</v>
      </c>
      <c r="F692" s="12" t="s">
        <v>2035</v>
      </c>
      <c r="G692" s="9" t="s">
        <v>96</v>
      </c>
      <c r="H692" s="9" t="s">
        <v>2036</v>
      </c>
      <c r="I692" s="10">
        <v>45621</v>
      </c>
    </row>
    <row r="693" spans="1:9" x14ac:dyDescent="0.15">
      <c r="A693" s="9">
        <v>692</v>
      </c>
      <c r="B693" s="9" t="s">
        <v>9</v>
      </c>
      <c r="C693" s="9">
        <v>1926</v>
      </c>
      <c r="D693" s="10">
        <v>45722</v>
      </c>
      <c r="E693" s="11" t="str">
        <f>+HYPERLINK("http://trademark.i-assist.jp/data/china/image_1926th/82148630.pdf","82148630")</f>
        <v>82148630</v>
      </c>
      <c r="F693" s="9" t="s">
        <v>2037</v>
      </c>
      <c r="G693" s="9" t="s">
        <v>2038</v>
      </c>
      <c r="H693" s="9" t="s">
        <v>2039</v>
      </c>
      <c r="I693" s="10">
        <v>45621</v>
      </c>
    </row>
    <row r="694" spans="1:9" x14ac:dyDescent="0.15">
      <c r="A694" s="9">
        <v>693</v>
      </c>
      <c r="B694" s="9" t="s">
        <v>9</v>
      </c>
      <c r="C694" s="9">
        <v>1926</v>
      </c>
      <c r="D694" s="10">
        <v>45722</v>
      </c>
      <c r="E694" s="11" t="str">
        <f>+HYPERLINK("http://trademark.i-assist.jp/data/china/image_1926th/82148800.pdf","82148800")</f>
        <v>82148800</v>
      </c>
      <c r="F694" s="9" t="s">
        <v>2040</v>
      </c>
      <c r="G694" s="9" t="s">
        <v>2041</v>
      </c>
      <c r="H694" s="9" t="s">
        <v>2042</v>
      </c>
      <c r="I694" s="10">
        <v>45621</v>
      </c>
    </row>
    <row r="695" spans="1:9" x14ac:dyDescent="0.15">
      <c r="A695" s="9">
        <v>694</v>
      </c>
      <c r="B695" s="9" t="s">
        <v>9</v>
      </c>
      <c r="C695" s="9">
        <v>1926</v>
      </c>
      <c r="D695" s="10">
        <v>45722</v>
      </c>
      <c r="E695" s="11" t="str">
        <f>+HYPERLINK("http://trademark.i-assist.jp/data/china/image_1926th/82148986.pdf","82148986")</f>
        <v>82148986</v>
      </c>
      <c r="F695" s="9" t="s">
        <v>2043</v>
      </c>
      <c r="G695" s="9" t="s">
        <v>96</v>
      </c>
      <c r="H695" s="9" t="s">
        <v>2044</v>
      </c>
      <c r="I695" s="10">
        <v>45621</v>
      </c>
    </row>
    <row r="696" spans="1:9" x14ac:dyDescent="0.15">
      <c r="A696" s="9">
        <v>695</v>
      </c>
      <c r="B696" s="9" t="s">
        <v>9</v>
      </c>
      <c r="C696" s="9">
        <v>1926</v>
      </c>
      <c r="D696" s="10">
        <v>45722</v>
      </c>
      <c r="E696" s="11" t="str">
        <f>+HYPERLINK("http://trademark.i-assist.jp/data/china/image_1926th/82149333.pdf","82149333")</f>
        <v>82149333</v>
      </c>
      <c r="F696" s="9" t="s">
        <v>2045</v>
      </c>
      <c r="G696" s="9" t="s">
        <v>2046</v>
      </c>
      <c r="H696" s="9" t="s">
        <v>2047</v>
      </c>
      <c r="I696" s="10">
        <v>45621</v>
      </c>
    </row>
    <row r="697" spans="1:9" x14ac:dyDescent="0.15">
      <c r="A697" s="9">
        <v>696</v>
      </c>
      <c r="B697" s="9" t="s">
        <v>9</v>
      </c>
      <c r="C697" s="9">
        <v>1926</v>
      </c>
      <c r="D697" s="10">
        <v>45722</v>
      </c>
      <c r="E697" s="11" t="str">
        <f>+HYPERLINK("http://trademark.i-assist.jp/data/china/image_1926th/82149595.pdf","82149595")</f>
        <v>82149595</v>
      </c>
      <c r="F697" s="9" t="s">
        <v>2048</v>
      </c>
      <c r="G697" s="9" t="s">
        <v>2049</v>
      </c>
      <c r="H697" s="9" t="s">
        <v>2050</v>
      </c>
      <c r="I697" s="10">
        <v>45621</v>
      </c>
    </row>
    <row r="698" spans="1:9" x14ac:dyDescent="0.15">
      <c r="A698" s="9">
        <v>697</v>
      </c>
      <c r="B698" s="9" t="s">
        <v>9</v>
      </c>
      <c r="C698" s="9">
        <v>1926</v>
      </c>
      <c r="D698" s="10">
        <v>45722</v>
      </c>
      <c r="E698" s="11" t="str">
        <f>+HYPERLINK("http://trademark.i-assist.jp/data/china/image_1926th/82149685.pdf","82149685")</f>
        <v>82149685</v>
      </c>
      <c r="F698" s="9" t="s">
        <v>2051</v>
      </c>
      <c r="G698" s="12" t="s">
        <v>2052</v>
      </c>
      <c r="H698" s="9" t="s">
        <v>2053</v>
      </c>
      <c r="I698" s="10">
        <v>45621</v>
      </c>
    </row>
    <row r="699" spans="1:9" x14ac:dyDescent="0.15">
      <c r="A699" s="9">
        <v>698</v>
      </c>
      <c r="B699" s="9" t="s">
        <v>9</v>
      </c>
      <c r="C699" s="9">
        <v>1926</v>
      </c>
      <c r="D699" s="10">
        <v>45722</v>
      </c>
      <c r="E699" s="11" t="str">
        <f>+HYPERLINK("http://trademark.i-assist.jp/data/china/image_1926th/82149708.pdf","82149708")</f>
        <v>82149708</v>
      </c>
      <c r="F699" s="9" t="s">
        <v>2054</v>
      </c>
      <c r="G699" s="9" t="s">
        <v>2055</v>
      </c>
      <c r="H699" s="9" t="s">
        <v>2056</v>
      </c>
      <c r="I699" s="10">
        <v>45621</v>
      </c>
    </row>
    <row r="700" spans="1:9" x14ac:dyDescent="0.15">
      <c r="A700" s="9">
        <v>699</v>
      </c>
      <c r="B700" s="9" t="s">
        <v>9</v>
      </c>
      <c r="C700" s="9">
        <v>1926</v>
      </c>
      <c r="D700" s="10">
        <v>45722</v>
      </c>
      <c r="E700" s="11" t="str">
        <f>+HYPERLINK("http://trademark.i-assist.jp/data/china/image_1926th/82149875.pdf","82149875")</f>
        <v>82149875</v>
      </c>
      <c r="F700" s="9" t="s">
        <v>2057</v>
      </c>
      <c r="G700" s="9" t="s">
        <v>2058</v>
      </c>
      <c r="H700" s="9" t="s">
        <v>2059</v>
      </c>
      <c r="I700" s="10">
        <v>45621</v>
      </c>
    </row>
    <row r="701" spans="1:9" x14ac:dyDescent="0.15">
      <c r="A701" s="9">
        <v>700</v>
      </c>
      <c r="B701" s="9" t="s">
        <v>9</v>
      </c>
      <c r="C701" s="9">
        <v>1926</v>
      </c>
      <c r="D701" s="10">
        <v>45722</v>
      </c>
      <c r="E701" s="11" t="str">
        <f>+HYPERLINK("http://trademark.i-assist.jp/data/china/image_1926th/82150453.pdf","82150453")</f>
        <v>82150453</v>
      </c>
      <c r="F701" s="9" t="s">
        <v>2060</v>
      </c>
      <c r="G701" s="9" t="s">
        <v>96</v>
      </c>
      <c r="H701" s="9" t="s">
        <v>2061</v>
      </c>
      <c r="I701" s="10">
        <v>45621</v>
      </c>
    </row>
    <row r="702" spans="1:9" x14ac:dyDescent="0.15">
      <c r="A702" s="9">
        <v>701</v>
      </c>
      <c r="B702" s="9" t="s">
        <v>9</v>
      </c>
      <c r="C702" s="9">
        <v>1926</v>
      </c>
      <c r="D702" s="10">
        <v>45722</v>
      </c>
      <c r="E702" s="11" t="str">
        <f>+HYPERLINK("http://trademark.i-assist.jp/data/china/image_1926th/82150544.pdf","82150544")</f>
        <v>82150544</v>
      </c>
      <c r="F702" s="9" t="s">
        <v>2062</v>
      </c>
      <c r="G702" s="9" t="s">
        <v>2063</v>
      </c>
      <c r="H702" s="9" t="s">
        <v>2064</v>
      </c>
      <c r="I702" s="10">
        <v>45621</v>
      </c>
    </row>
    <row r="703" spans="1:9" x14ac:dyDescent="0.15">
      <c r="A703" s="9">
        <v>702</v>
      </c>
      <c r="B703" s="9" t="s">
        <v>9</v>
      </c>
      <c r="C703" s="9">
        <v>1926</v>
      </c>
      <c r="D703" s="10">
        <v>45722</v>
      </c>
      <c r="E703" s="11" t="str">
        <f>+HYPERLINK("http://trademark.i-assist.jp/data/china/image_1926th/82150798.pdf","82150798")</f>
        <v>82150798</v>
      </c>
      <c r="F703" s="9" t="s">
        <v>2065</v>
      </c>
      <c r="G703" s="9" t="s">
        <v>2066</v>
      </c>
      <c r="H703" s="9" t="s">
        <v>2067</v>
      </c>
      <c r="I703" s="10">
        <v>45621</v>
      </c>
    </row>
    <row r="704" spans="1:9" x14ac:dyDescent="0.15">
      <c r="A704" s="9">
        <v>703</v>
      </c>
      <c r="B704" s="9" t="s">
        <v>9</v>
      </c>
      <c r="C704" s="9">
        <v>1926</v>
      </c>
      <c r="D704" s="10">
        <v>45722</v>
      </c>
      <c r="E704" s="11" t="str">
        <f>+HYPERLINK("http://trademark.i-assist.jp/data/china/image_1926th/82150861.pdf","82150861")</f>
        <v>82150861</v>
      </c>
      <c r="F704" s="9" t="s">
        <v>2068</v>
      </c>
      <c r="G704" s="9" t="s">
        <v>33</v>
      </c>
      <c r="H704" s="9" t="s">
        <v>2069</v>
      </c>
      <c r="I704" s="10">
        <v>45621</v>
      </c>
    </row>
    <row r="705" spans="1:9" x14ac:dyDescent="0.15">
      <c r="A705" s="9">
        <v>704</v>
      </c>
      <c r="B705" s="9" t="s">
        <v>9</v>
      </c>
      <c r="C705" s="9">
        <v>1926</v>
      </c>
      <c r="D705" s="10">
        <v>45722</v>
      </c>
      <c r="E705" s="11" t="str">
        <f>+HYPERLINK("http://trademark.i-assist.jp/data/china/image_1926th/82150928.pdf","82150928")</f>
        <v>82150928</v>
      </c>
      <c r="F705" s="9" t="s">
        <v>2070</v>
      </c>
      <c r="G705" s="12" t="s">
        <v>2071</v>
      </c>
      <c r="H705" s="9" t="s">
        <v>2072</v>
      </c>
      <c r="I705" s="10">
        <v>45621</v>
      </c>
    </row>
    <row r="706" spans="1:9" x14ac:dyDescent="0.15">
      <c r="A706" s="9">
        <v>705</v>
      </c>
      <c r="B706" s="9" t="s">
        <v>9</v>
      </c>
      <c r="C706" s="9">
        <v>1926</v>
      </c>
      <c r="D706" s="10">
        <v>45722</v>
      </c>
      <c r="E706" s="11" t="str">
        <f>+HYPERLINK("http://trademark.i-assist.jp/data/china/image_1926th/82151301.pdf","82151301")</f>
        <v>82151301</v>
      </c>
      <c r="F706" s="9" t="s">
        <v>2073</v>
      </c>
      <c r="G706" s="9" t="s">
        <v>2074</v>
      </c>
      <c r="H706" s="9" t="s">
        <v>2075</v>
      </c>
      <c r="I706" s="10">
        <v>45621</v>
      </c>
    </row>
    <row r="707" spans="1:9" x14ac:dyDescent="0.15">
      <c r="A707" s="9">
        <v>706</v>
      </c>
      <c r="B707" s="9" t="s">
        <v>9</v>
      </c>
      <c r="C707" s="9">
        <v>1926</v>
      </c>
      <c r="D707" s="10">
        <v>45722</v>
      </c>
      <c r="E707" s="11" t="str">
        <f>+HYPERLINK("http://trademark.i-assist.jp/data/china/image_1926th/82151413.pdf","82151413")</f>
        <v>82151413</v>
      </c>
      <c r="F707" s="9" t="s">
        <v>2076</v>
      </c>
      <c r="G707" s="12" t="s">
        <v>2077</v>
      </c>
      <c r="H707" s="9" t="s">
        <v>2078</v>
      </c>
      <c r="I707" s="10">
        <v>45621</v>
      </c>
    </row>
    <row r="708" spans="1:9" x14ac:dyDescent="0.15">
      <c r="A708" s="9">
        <v>707</v>
      </c>
      <c r="B708" s="9" t="s">
        <v>9</v>
      </c>
      <c r="C708" s="9">
        <v>1926</v>
      </c>
      <c r="D708" s="10">
        <v>45722</v>
      </c>
      <c r="E708" s="11" t="str">
        <f>+HYPERLINK("http://trademark.i-assist.jp/data/china/image_1926th/82151520.pdf","82151520")</f>
        <v>82151520</v>
      </c>
      <c r="F708" s="9" t="s">
        <v>2079</v>
      </c>
      <c r="G708" s="12" t="s">
        <v>2080</v>
      </c>
      <c r="H708" s="9" t="s">
        <v>2081</v>
      </c>
      <c r="I708" s="10">
        <v>45621</v>
      </c>
    </row>
    <row r="709" spans="1:9" x14ac:dyDescent="0.15">
      <c r="A709" s="9">
        <v>708</v>
      </c>
      <c r="B709" s="9" t="s">
        <v>9</v>
      </c>
      <c r="C709" s="9">
        <v>1926</v>
      </c>
      <c r="D709" s="10">
        <v>45722</v>
      </c>
      <c r="E709" s="11" t="str">
        <f>+HYPERLINK("http://trademark.i-assist.jp/data/china/image_1926th/82151939.pdf","82151939")</f>
        <v>82151939</v>
      </c>
      <c r="F709" s="12" t="s">
        <v>2082</v>
      </c>
      <c r="G709" s="9" t="s">
        <v>2083</v>
      </c>
      <c r="H709" s="9" t="s">
        <v>2084</v>
      </c>
      <c r="I709" s="10">
        <v>45621</v>
      </c>
    </row>
    <row r="710" spans="1:9" x14ac:dyDescent="0.15">
      <c r="A710" s="9">
        <v>709</v>
      </c>
      <c r="B710" s="9" t="s">
        <v>9</v>
      </c>
      <c r="C710" s="9">
        <v>1926</v>
      </c>
      <c r="D710" s="10">
        <v>45722</v>
      </c>
      <c r="E710" s="11" t="str">
        <f>+HYPERLINK("http://trademark.i-assist.jp/data/china/image_1926th/82152319.pdf","82152319")</f>
        <v>82152319</v>
      </c>
      <c r="F710" s="9" t="s">
        <v>2085</v>
      </c>
      <c r="G710" s="9" t="s">
        <v>12</v>
      </c>
      <c r="H710" s="9" t="s">
        <v>2086</v>
      </c>
      <c r="I710" s="10">
        <v>45621</v>
      </c>
    </row>
    <row r="711" spans="1:9" x14ac:dyDescent="0.15">
      <c r="A711" s="9">
        <v>710</v>
      </c>
      <c r="B711" s="9" t="s">
        <v>9</v>
      </c>
      <c r="C711" s="9">
        <v>1926</v>
      </c>
      <c r="D711" s="10">
        <v>45722</v>
      </c>
      <c r="E711" s="11" t="str">
        <f>+HYPERLINK("http://trademark.i-assist.jp/data/china/image_1926th/82153071.pdf","82153071")</f>
        <v>82153071</v>
      </c>
      <c r="F711" s="12" t="s">
        <v>2087</v>
      </c>
      <c r="G711" s="12" t="s">
        <v>2088</v>
      </c>
      <c r="H711" s="9" t="s">
        <v>2089</v>
      </c>
      <c r="I711" s="10">
        <v>45621</v>
      </c>
    </row>
    <row r="712" spans="1:9" x14ac:dyDescent="0.15">
      <c r="A712" s="9">
        <v>711</v>
      </c>
      <c r="B712" s="9" t="s">
        <v>9</v>
      </c>
      <c r="C712" s="9">
        <v>1926</v>
      </c>
      <c r="D712" s="10">
        <v>45722</v>
      </c>
      <c r="E712" s="11" t="str">
        <f>+HYPERLINK("http://trademark.i-assist.jp/data/china/image_1926th/82153172.pdf","82153172")</f>
        <v>82153172</v>
      </c>
      <c r="F712" s="9" t="s">
        <v>2090</v>
      </c>
      <c r="G712" s="9" t="s">
        <v>2091</v>
      </c>
      <c r="H712" s="9" t="s">
        <v>2092</v>
      </c>
      <c r="I712" s="10">
        <v>45621</v>
      </c>
    </row>
    <row r="713" spans="1:9" x14ac:dyDescent="0.15">
      <c r="A713" s="9">
        <v>712</v>
      </c>
      <c r="B713" s="9" t="s">
        <v>9</v>
      </c>
      <c r="C713" s="9">
        <v>1926</v>
      </c>
      <c r="D713" s="10">
        <v>45722</v>
      </c>
      <c r="E713" s="11" t="str">
        <f>+HYPERLINK("http://trademark.i-assist.jp/data/china/image_1926th/82153261.pdf","82153261")</f>
        <v>82153261</v>
      </c>
      <c r="F713" s="9" t="s">
        <v>2093</v>
      </c>
      <c r="G713" s="9" t="s">
        <v>2094</v>
      </c>
      <c r="H713" s="9" t="s">
        <v>2095</v>
      </c>
      <c r="I713" s="10">
        <v>45621</v>
      </c>
    </row>
    <row r="714" spans="1:9" x14ac:dyDescent="0.15">
      <c r="A714" s="9">
        <v>713</v>
      </c>
      <c r="B714" s="9" t="s">
        <v>9</v>
      </c>
      <c r="C714" s="9">
        <v>1926</v>
      </c>
      <c r="D714" s="10">
        <v>45722</v>
      </c>
      <c r="E714" s="11" t="str">
        <f>+HYPERLINK("http://trademark.i-assist.jp/data/china/image_1926th/82153350.pdf","82153350")</f>
        <v>82153350</v>
      </c>
      <c r="F714" s="9" t="s">
        <v>2096</v>
      </c>
      <c r="G714" s="12" t="s">
        <v>2097</v>
      </c>
      <c r="H714" s="12" t="s">
        <v>2098</v>
      </c>
      <c r="I714" s="10">
        <v>45621</v>
      </c>
    </row>
    <row r="715" spans="1:9" x14ac:dyDescent="0.15">
      <c r="A715" s="9">
        <v>714</v>
      </c>
      <c r="B715" s="9" t="s">
        <v>9</v>
      </c>
      <c r="C715" s="9">
        <v>1926</v>
      </c>
      <c r="D715" s="10">
        <v>45722</v>
      </c>
      <c r="E715" s="11" t="str">
        <f>+HYPERLINK("http://trademark.i-assist.jp/data/china/image_1926th/82153471.pdf","82153471")</f>
        <v>82153471</v>
      </c>
      <c r="F715" s="9" t="s">
        <v>2099</v>
      </c>
      <c r="G715" s="9" t="s">
        <v>90</v>
      </c>
      <c r="H715" s="9" t="s">
        <v>2100</v>
      </c>
      <c r="I715" s="10">
        <v>45621</v>
      </c>
    </row>
    <row r="716" spans="1:9" x14ac:dyDescent="0.15">
      <c r="A716" s="9">
        <v>715</v>
      </c>
      <c r="B716" s="9" t="s">
        <v>9</v>
      </c>
      <c r="C716" s="9">
        <v>1926</v>
      </c>
      <c r="D716" s="10">
        <v>45722</v>
      </c>
      <c r="E716" s="11" t="str">
        <f>+HYPERLINK("http://trademark.i-assist.jp/data/china/image_1926th/82153676.pdf","82153676")</f>
        <v>82153676</v>
      </c>
      <c r="F716" s="9" t="s">
        <v>2101</v>
      </c>
      <c r="G716" s="9" t="s">
        <v>2102</v>
      </c>
      <c r="H716" s="9" t="s">
        <v>2103</v>
      </c>
      <c r="I716" s="10">
        <v>45621</v>
      </c>
    </row>
    <row r="717" spans="1:9" x14ac:dyDescent="0.15">
      <c r="A717" s="9">
        <v>716</v>
      </c>
      <c r="B717" s="9" t="s">
        <v>9</v>
      </c>
      <c r="C717" s="9">
        <v>1926</v>
      </c>
      <c r="D717" s="10">
        <v>45722</v>
      </c>
      <c r="E717" s="11" t="str">
        <f>+HYPERLINK("http://trademark.i-assist.jp/data/china/image_1926th/82153757.pdf","82153757")</f>
        <v>82153757</v>
      </c>
      <c r="F717" s="9" t="s">
        <v>2104</v>
      </c>
      <c r="G717" s="12" t="s">
        <v>2105</v>
      </c>
      <c r="H717" s="12" t="s">
        <v>2106</v>
      </c>
      <c r="I717" s="10">
        <v>45621</v>
      </c>
    </row>
    <row r="718" spans="1:9" x14ac:dyDescent="0.15">
      <c r="A718" s="9">
        <v>717</v>
      </c>
      <c r="B718" s="9" t="s">
        <v>9</v>
      </c>
      <c r="C718" s="9">
        <v>1926</v>
      </c>
      <c r="D718" s="10">
        <v>45722</v>
      </c>
      <c r="E718" s="11" t="str">
        <f>+HYPERLINK("http://trademark.i-assist.jp/data/china/image_1926th/82153853.pdf","82153853")</f>
        <v>82153853</v>
      </c>
      <c r="F718" s="9" t="s">
        <v>2107</v>
      </c>
      <c r="G718" s="9" t="s">
        <v>12</v>
      </c>
      <c r="H718" s="9" t="s">
        <v>2108</v>
      </c>
      <c r="I718" s="10">
        <v>45621</v>
      </c>
    </row>
    <row r="719" spans="1:9" x14ac:dyDescent="0.15">
      <c r="A719" s="9">
        <v>718</v>
      </c>
      <c r="B719" s="9" t="s">
        <v>9</v>
      </c>
      <c r="C719" s="9">
        <v>1926</v>
      </c>
      <c r="D719" s="10">
        <v>45722</v>
      </c>
      <c r="E719" s="11" t="str">
        <f>+HYPERLINK("http://trademark.i-assist.jp/data/china/image_1926th/82153967.pdf","82153967")</f>
        <v>82153967</v>
      </c>
      <c r="F719" s="12" t="s">
        <v>2109</v>
      </c>
      <c r="G719" s="9" t="s">
        <v>2110</v>
      </c>
      <c r="H719" s="9" t="s">
        <v>2111</v>
      </c>
      <c r="I719" s="10">
        <v>45621</v>
      </c>
    </row>
    <row r="720" spans="1:9" x14ac:dyDescent="0.15">
      <c r="A720" s="9">
        <v>719</v>
      </c>
      <c r="B720" s="9" t="s">
        <v>9</v>
      </c>
      <c r="C720" s="9">
        <v>1926</v>
      </c>
      <c r="D720" s="10">
        <v>45722</v>
      </c>
      <c r="E720" s="11" t="str">
        <f>+HYPERLINK("http://trademark.i-assist.jp/data/china/image_1926th/82154038.pdf","82154038")</f>
        <v>82154038</v>
      </c>
      <c r="F720" s="9" t="s">
        <v>2112</v>
      </c>
      <c r="G720" s="9" t="s">
        <v>2113</v>
      </c>
      <c r="H720" s="9" t="s">
        <v>2114</v>
      </c>
      <c r="I720" s="10">
        <v>45621</v>
      </c>
    </row>
    <row r="721" spans="1:9" x14ac:dyDescent="0.15">
      <c r="A721" s="9">
        <v>720</v>
      </c>
      <c r="B721" s="9" t="s">
        <v>9</v>
      </c>
      <c r="C721" s="9">
        <v>1926</v>
      </c>
      <c r="D721" s="10">
        <v>45722</v>
      </c>
      <c r="E721" s="11" t="str">
        <f>+HYPERLINK("http://trademark.i-assist.jp/data/china/image_1926th/82154043.pdf","82154043")</f>
        <v>82154043</v>
      </c>
      <c r="F721" s="12" t="s">
        <v>2115</v>
      </c>
      <c r="G721" s="9" t="s">
        <v>2116</v>
      </c>
      <c r="H721" s="9" t="s">
        <v>2117</v>
      </c>
      <c r="I721" s="10">
        <v>45621</v>
      </c>
    </row>
    <row r="722" spans="1:9" x14ac:dyDescent="0.15">
      <c r="A722" s="9">
        <v>721</v>
      </c>
      <c r="B722" s="9" t="s">
        <v>9</v>
      </c>
      <c r="C722" s="9">
        <v>1926</v>
      </c>
      <c r="D722" s="10">
        <v>45722</v>
      </c>
      <c r="E722" s="11" t="str">
        <f>+HYPERLINK("http://trademark.i-assist.jp/data/china/image_1926th/82154199.pdf","82154199")</f>
        <v>82154199</v>
      </c>
      <c r="F722" s="12" t="s">
        <v>2118</v>
      </c>
      <c r="G722" s="12" t="s">
        <v>2119</v>
      </c>
      <c r="H722" s="12" t="s">
        <v>2120</v>
      </c>
      <c r="I722" s="10">
        <v>45621</v>
      </c>
    </row>
    <row r="723" spans="1:9" x14ac:dyDescent="0.15">
      <c r="A723" s="9">
        <v>722</v>
      </c>
      <c r="B723" s="9" t="s">
        <v>9</v>
      </c>
      <c r="C723" s="9">
        <v>1926</v>
      </c>
      <c r="D723" s="10">
        <v>45722</v>
      </c>
      <c r="E723" s="11" t="str">
        <f>+HYPERLINK("http://trademark.i-assist.jp/data/china/image_1926th/82154315.pdf","82154315")</f>
        <v>82154315</v>
      </c>
      <c r="F723" s="9" t="s">
        <v>2121</v>
      </c>
      <c r="G723" s="9" t="s">
        <v>2006</v>
      </c>
      <c r="H723" s="9" t="s">
        <v>2122</v>
      </c>
      <c r="I723" s="10">
        <v>45621</v>
      </c>
    </row>
    <row r="724" spans="1:9" x14ac:dyDescent="0.15">
      <c r="A724" s="9">
        <v>723</v>
      </c>
      <c r="B724" s="9" t="s">
        <v>9</v>
      </c>
      <c r="C724" s="9">
        <v>1926</v>
      </c>
      <c r="D724" s="10">
        <v>45722</v>
      </c>
      <c r="E724" s="11" t="str">
        <f>+HYPERLINK("http://trademark.i-assist.jp/data/china/image_1926th/82154744.pdf","82154744")</f>
        <v>82154744</v>
      </c>
      <c r="F724" s="12" t="s">
        <v>2123</v>
      </c>
      <c r="G724" s="9" t="s">
        <v>195</v>
      </c>
      <c r="H724" s="9" t="s">
        <v>2124</v>
      </c>
      <c r="I724" s="10">
        <v>45621</v>
      </c>
    </row>
    <row r="725" spans="1:9" x14ac:dyDescent="0.15">
      <c r="A725" s="9">
        <v>724</v>
      </c>
      <c r="B725" s="9" t="s">
        <v>9</v>
      </c>
      <c r="C725" s="9">
        <v>1926</v>
      </c>
      <c r="D725" s="10">
        <v>45722</v>
      </c>
      <c r="E725" s="11" t="str">
        <f>+HYPERLINK("http://trademark.i-assist.jp/data/china/image_1926th/82154929.pdf","82154929")</f>
        <v>82154929</v>
      </c>
      <c r="F725" s="9" t="s">
        <v>2125</v>
      </c>
      <c r="G725" s="9" t="s">
        <v>98</v>
      </c>
      <c r="H725" s="9" t="s">
        <v>2126</v>
      </c>
      <c r="I725" s="10">
        <v>45621</v>
      </c>
    </row>
    <row r="726" spans="1:9" x14ac:dyDescent="0.15">
      <c r="A726" s="9">
        <v>725</v>
      </c>
      <c r="B726" s="9" t="s">
        <v>9</v>
      </c>
      <c r="C726" s="9">
        <v>1926</v>
      </c>
      <c r="D726" s="10">
        <v>45722</v>
      </c>
      <c r="E726" s="11" t="str">
        <f>+HYPERLINK("http://trademark.i-assist.jp/data/china/image_1926th/82155515.pdf","82155515")</f>
        <v>82155515</v>
      </c>
      <c r="F726" s="12" t="s">
        <v>2127</v>
      </c>
      <c r="G726" s="9" t="s">
        <v>2128</v>
      </c>
      <c r="H726" s="9" t="s">
        <v>2129</v>
      </c>
      <c r="I726" s="10">
        <v>45621</v>
      </c>
    </row>
    <row r="727" spans="1:9" x14ac:dyDescent="0.15">
      <c r="A727" s="9">
        <v>726</v>
      </c>
      <c r="B727" s="9" t="s">
        <v>9</v>
      </c>
      <c r="C727" s="9">
        <v>1926</v>
      </c>
      <c r="D727" s="10">
        <v>45722</v>
      </c>
      <c r="E727" s="11" t="str">
        <f>+HYPERLINK("http://trademark.i-assist.jp/data/china/image_1926th/82156103.pdf","82156103")</f>
        <v>82156103</v>
      </c>
      <c r="F727" s="9" t="s">
        <v>2130</v>
      </c>
      <c r="G727" s="9" t="s">
        <v>2131</v>
      </c>
      <c r="H727" s="9" t="s">
        <v>2132</v>
      </c>
      <c r="I727" s="10">
        <v>45621</v>
      </c>
    </row>
    <row r="728" spans="1:9" x14ac:dyDescent="0.15">
      <c r="A728" s="9">
        <v>727</v>
      </c>
      <c r="B728" s="9" t="s">
        <v>9</v>
      </c>
      <c r="C728" s="9">
        <v>1926</v>
      </c>
      <c r="D728" s="10">
        <v>45722</v>
      </c>
      <c r="E728" s="11" t="str">
        <f>+HYPERLINK("http://trademark.i-assist.jp/data/china/image_1926th/82156127.pdf","82156127")</f>
        <v>82156127</v>
      </c>
      <c r="F728" s="9" t="s">
        <v>2133</v>
      </c>
      <c r="G728" s="9" t="s">
        <v>150</v>
      </c>
      <c r="H728" s="9" t="s">
        <v>2134</v>
      </c>
      <c r="I728" s="10">
        <v>45621</v>
      </c>
    </row>
    <row r="729" spans="1:9" x14ac:dyDescent="0.15">
      <c r="A729" s="9">
        <v>728</v>
      </c>
      <c r="B729" s="9" t="s">
        <v>9</v>
      </c>
      <c r="C729" s="9">
        <v>1926</v>
      </c>
      <c r="D729" s="10">
        <v>45722</v>
      </c>
      <c r="E729" s="11" t="str">
        <f>+HYPERLINK("http://trademark.i-assist.jp/data/china/image_1926th/82156263.pdf","82156263")</f>
        <v>82156263</v>
      </c>
      <c r="F729" s="9" t="s">
        <v>2135</v>
      </c>
      <c r="G729" s="9" t="s">
        <v>90</v>
      </c>
      <c r="H729" s="9" t="s">
        <v>2136</v>
      </c>
      <c r="I729" s="10">
        <v>45621</v>
      </c>
    </row>
    <row r="730" spans="1:9" x14ac:dyDescent="0.15">
      <c r="A730" s="9">
        <v>729</v>
      </c>
      <c r="B730" s="9" t="s">
        <v>9</v>
      </c>
      <c r="C730" s="9">
        <v>1926</v>
      </c>
      <c r="D730" s="10">
        <v>45722</v>
      </c>
      <c r="E730" s="11" t="str">
        <f>+HYPERLINK("http://trademark.i-assist.jp/data/china/image_1926th/82156771.pdf","82156771")</f>
        <v>82156771</v>
      </c>
      <c r="F730" s="9" t="s">
        <v>2137</v>
      </c>
      <c r="G730" s="9" t="s">
        <v>2138</v>
      </c>
      <c r="H730" s="9" t="s">
        <v>2139</v>
      </c>
      <c r="I730" s="10">
        <v>45621</v>
      </c>
    </row>
    <row r="731" spans="1:9" x14ac:dyDescent="0.15">
      <c r="A731" s="9">
        <v>730</v>
      </c>
      <c r="B731" s="9" t="s">
        <v>9</v>
      </c>
      <c r="C731" s="9">
        <v>1926</v>
      </c>
      <c r="D731" s="10">
        <v>45722</v>
      </c>
      <c r="E731" s="11" t="str">
        <f>+HYPERLINK("http://trademark.i-assist.jp/data/china/image_1926th/82157413.pdf","82157413")</f>
        <v>82157413</v>
      </c>
      <c r="F731" s="12" t="s">
        <v>2140</v>
      </c>
      <c r="G731" s="12" t="s">
        <v>2141</v>
      </c>
      <c r="H731" s="9" t="s">
        <v>2142</v>
      </c>
      <c r="I731" s="10">
        <v>45621</v>
      </c>
    </row>
    <row r="732" spans="1:9" x14ac:dyDescent="0.15">
      <c r="A732" s="9">
        <v>731</v>
      </c>
      <c r="B732" s="9" t="s">
        <v>9</v>
      </c>
      <c r="C732" s="9">
        <v>1926</v>
      </c>
      <c r="D732" s="10">
        <v>45722</v>
      </c>
      <c r="E732" s="11" t="str">
        <f>+HYPERLINK("http://trademark.i-assist.jp/data/china/image_1926th/82157970.pdf","82157970")</f>
        <v>82157970</v>
      </c>
      <c r="F732" s="9" t="s">
        <v>2143</v>
      </c>
      <c r="G732" s="9" t="s">
        <v>2144</v>
      </c>
      <c r="H732" s="9" t="s">
        <v>2145</v>
      </c>
      <c r="I732" s="10">
        <v>45621</v>
      </c>
    </row>
    <row r="733" spans="1:9" x14ac:dyDescent="0.15">
      <c r="A733" s="9">
        <v>732</v>
      </c>
      <c r="B733" s="9" t="s">
        <v>9</v>
      </c>
      <c r="C733" s="9">
        <v>1926</v>
      </c>
      <c r="D733" s="10">
        <v>45722</v>
      </c>
      <c r="E733" s="11" t="str">
        <f>+HYPERLINK("http://trademark.i-assist.jp/data/china/image_1926th/82158112.pdf","82158112")</f>
        <v>82158112</v>
      </c>
      <c r="F733" s="9" t="s">
        <v>2146</v>
      </c>
      <c r="G733" s="9" t="s">
        <v>33</v>
      </c>
      <c r="H733" s="9" t="s">
        <v>2147</v>
      </c>
      <c r="I733" s="10">
        <v>45621</v>
      </c>
    </row>
    <row r="734" spans="1:9" x14ac:dyDescent="0.15">
      <c r="A734" s="9">
        <v>733</v>
      </c>
      <c r="B734" s="9" t="s">
        <v>9</v>
      </c>
      <c r="C734" s="9">
        <v>1926</v>
      </c>
      <c r="D734" s="10">
        <v>45722</v>
      </c>
      <c r="E734" s="11" t="str">
        <f>+HYPERLINK("http://trademark.i-assist.jp/data/china/image_1926th/82158146.pdf","82158146")</f>
        <v>82158146</v>
      </c>
      <c r="F734" s="12" t="s">
        <v>2148</v>
      </c>
      <c r="G734" s="12" t="s">
        <v>2149</v>
      </c>
      <c r="H734" s="9" t="s">
        <v>2150</v>
      </c>
      <c r="I734" s="10">
        <v>45621</v>
      </c>
    </row>
    <row r="735" spans="1:9" x14ac:dyDescent="0.15">
      <c r="A735" s="9">
        <v>734</v>
      </c>
      <c r="B735" s="9" t="s">
        <v>9</v>
      </c>
      <c r="C735" s="9">
        <v>1926</v>
      </c>
      <c r="D735" s="10">
        <v>45722</v>
      </c>
      <c r="E735" s="11" t="str">
        <f>+HYPERLINK("http://trademark.i-assist.jp/data/china/image_1926th/82159238.pdf","82159238")</f>
        <v>82159238</v>
      </c>
      <c r="F735" s="9" t="s">
        <v>2151</v>
      </c>
      <c r="G735" s="9" t="s">
        <v>33</v>
      </c>
      <c r="H735" s="9" t="s">
        <v>2152</v>
      </c>
      <c r="I735" s="10">
        <v>45621</v>
      </c>
    </row>
    <row r="736" spans="1:9" x14ac:dyDescent="0.15">
      <c r="A736" s="9">
        <v>735</v>
      </c>
      <c r="B736" s="9" t="s">
        <v>9</v>
      </c>
      <c r="C736" s="9">
        <v>1926</v>
      </c>
      <c r="D736" s="10">
        <v>45722</v>
      </c>
      <c r="E736" s="11" t="str">
        <f>+HYPERLINK("http://trademark.i-assist.jp/data/china/image_1926th/82159400.pdf","82159400")</f>
        <v>82159400</v>
      </c>
      <c r="F736" s="9" t="s">
        <v>2153</v>
      </c>
      <c r="G736" s="9" t="s">
        <v>139</v>
      </c>
      <c r="H736" s="9" t="s">
        <v>2154</v>
      </c>
      <c r="I736" s="10">
        <v>45621</v>
      </c>
    </row>
    <row r="737" spans="1:9" x14ac:dyDescent="0.15">
      <c r="A737" s="9">
        <v>736</v>
      </c>
      <c r="B737" s="9" t="s">
        <v>9</v>
      </c>
      <c r="C737" s="9">
        <v>1926</v>
      </c>
      <c r="D737" s="10">
        <v>45722</v>
      </c>
      <c r="E737" s="11" t="str">
        <f>+HYPERLINK("http://trademark.i-assist.jp/data/china/image_1926th/82159740.pdf","82159740")</f>
        <v>82159740</v>
      </c>
      <c r="F737" s="9" t="s">
        <v>2155</v>
      </c>
      <c r="G737" s="12" t="s">
        <v>149</v>
      </c>
      <c r="H737" s="9" t="s">
        <v>2156</v>
      </c>
      <c r="I737" s="10">
        <v>45621</v>
      </c>
    </row>
    <row r="738" spans="1:9" x14ac:dyDescent="0.15">
      <c r="A738" s="9">
        <v>737</v>
      </c>
      <c r="B738" s="9" t="s">
        <v>9</v>
      </c>
      <c r="C738" s="9">
        <v>1926</v>
      </c>
      <c r="D738" s="10">
        <v>45722</v>
      </c>
      <c r="E738" s="11" t="str">
        <f>+HYPERLINK("http://trademark.i-assist.jp/data/china/image_1926th/82159880.pdf","82159880")</f>
        <v>82159880</v>
      </c>
      <c r="F738" s="9" t="s">
        <v>2157</v>
      </c>
      <c r="G738" s="12" t="s">
        <v>91</v>
      </c>
      <c r="H738" s="12" t="s">
        <v>2158</v>
      </c>
      <c r="I738" s="10">
        <v>45621</v>
      </c>
    </row>
    <row r="739" spans="1:9" x14ac:dyDescent="0.15">
      <c r="A739" s="9">
        <v>738</v>
      </c>
      <c r="B739" s="9" t="s">
        <v>9</v>
      </c>
      <c r="C739" s="9">
        <v>1926</v>
      </c>
      <c r="D739" s="10">
        <v>45722</v>
      </c>
      <c r="E739" s="11" t="str">
        <f>+HYPERLINK("http://trademark.i-assist.jp/data/china/image_1926th/82160765.pdf","82160765")</f>
        <v>82160765</v>
      </c>
      <c r="F739" s="12" t="s">
        <v>2159</v>
      </c>
      <c r="G739" s="12" t="s">
        <v>2160</v>
      </c>
      <c r="H739" s="9" t="s">
        <v>2161</v>
      </c>
      <c r="I739" s="10">
        <v>45621</v>
      </c>
    </row>
    <row r="740" spans="1:9" x14ac:dyDescent="0.15">
      <c r="A740" s="9">
        <v>739</v>
      </c>
      <c r="B740" s="9" t="s">
        <v>9</v>
      </c>
      <c r="C740" s="9">
        <v>1926</v>
      </c>
      <c r="D740" s="10">
        <v>45722</v>
      </c>
      <c r="E740" s="11" t="str">
        <f>+HYPERLINK("http://trademark.i-assist.jp/data/china/image_1926th/82160872.pdf","82160872")</f>
        <v>82160872</v>
      </c>
      <c r="F740" s="9" t="s">
        <v>2162</v>
      </c>
      <c r="G740" s="9" t="s">
        <v>90</v>
      </c>
      <c r="H740" s="9" t="s">
        <v>2163</v>
      </c>
      <c r="I740" s="10">
        <v>45621</v>
      </c>
    </row>
    <row r="741" spans="1:9" x14ac:dyDescent="0.15">
      <c r="A741" s="9">
        <v>740</v>
      </c>
      <c r="B741" s="9" t="s">
        <v>9</v>
      </c>
      <c r="C741" s="9">
        <v>1926</v>
      </c>
      <c r="D741" s="10">
        <v>45722</v>
      </c>
      <c r="E741" s="11" t="str">
        <f>+HYPERLINK("http://trademark.i-assist.jp/data/china/image_1926th/82160904.pdf","82160904")</f>
        <v>82160904</v>
      </c>
      <c r="F741" s="9" t="s">
        <v>2164</v>
      </c>
      <c r="G741" s="9" t="s">
        <v>2165</v>
      </c>
      <c r="H741" s="9" t="s">
        <v>2166</v>
      </c>
      <c r="I741" s="10">
        <v>45621</v>
      </c>
    </row>
    <row r="742" spans="1:9" x14ac:dyDescent="0.15">
      <c r="A742" s="9">
        <v>741</v>
      </c>
      <c r="B742" s="9" t="s">
        <v>9</v>
      </c>
      <c r="C742" s="9">
        <v>1926</v>
      </c>
      <c r="D742" s="10">
        <v>45722</v>
      </c>
      <c r="E742" s="11" t="str">
        <f>+HYPERLINK("http://trademark.i-assist.jp/data/china/image_1926th/82161336.pdf","82161336")</f>
        <v>82161336</v>
      </c>
      <c r="F742" s="9" t="s">
        <v>2167</v>
      </c>
      <c r="G742" s="12" t="s">
        <v>2168</v>
      </c>
      <c r="H742" s="9" t="s">
        <v>2169</v>
      </c>
      <c r="I742" s="10">
        <v>45621</v>
      </c>
    </row>
    <row r="743" spans="1:9" x14ac:dyDescent="0.15">
      <c r="A743" s="9">
        <v>742</v>
      </c>
      <c r="B743" s="9" t="s">
        <v>9</v>
      </c>
      <c r="C743" s="9">
        <v>1926</v>
      </c>
      <c r="D743" s="10">
        <v>45722</v>
      </c>
      <c r="E743" s="11" t="str">
        <f>+HYPERLINK("http://trademark.i-assist.jp/data/china/image_1926th/82161732.pdf","82161732")</f>
        <v>82161732</v>
      </c>
      <c r="F743" s="9" t="s">
        <v>2170</v>
      </c>
      <c r="G743" s="9" t="s">
        <v>33</v>
      </c>
      <c r="H743" s="9" t="s">
        <v>2171</v>
      </c>
      <c r="I743" s="10">
        <v>45621</v>
      </c>
    </row>
    <row r="744" spans="1:9" x14ac:dyDescent="0.15">
      <c r="A744" s="9">
        <v>743</v>
      </c>
      <c r="B744" s="9" t="s">
        <v>9</v>
      </c>
      <c r="C744" s="9">
        <v>1926</v>
      </c>
      <c r="D744" s="10">
        <v>45722</v>
      </c>
      <c r="E744" s="11" t="str">
        <f>+HYPERLINK("http://trademark.i-assist.jp/data/china/image_1926th/82162162.pdf","82162162")</f>
        <v>82162162</v>
      </c>
      <c r="F744" s="9" t="s">
        <v>2172</v>
      </c>
      <c r="G744" s="9" t="s">
        <v>2173</v>
      </c>
      <c r="H744" s="9" t="s">
        <v>2174</v>
      </c>
      <c r="I744" s="10">
        <v>45621</v>
      </c>
    </row>
    <row r="745" spans="1:9" x14ac:dyDescent="0.15">
      <c r="A745" s="9">
        <v>744</v>
      </c>
      <c r="B745" s="9" t="s">
        <v>9</v>
      </c>
      <c r="C745" s="9">
        <v>1926</v>
      </c>
      <c r="D745" s="10">
        <v>45722</v>
      </c>
      <c r="E745" s="11" t="str">
        <f>+HYPERLINK("http://trademark.i-assist.jp/data/china/image_1926th/82162290.pdf","82162290")</f>
        <v>82162290</v>
      </c>
      <c r="F745" s="9" t="s">
        <v>2175</v>
      </c>
      <c r="G745" s="9" t="s">
        <v>2000</v>
      </c>
      <c r="H745" s="12" t="s">
        <v>2176</v>
      </c>
      <c r="I745" s="10">
        <v>45621</v>
      </c>
    </row>
    <row r="746" spans="1:9" x14ac:dyDescent="0.15">
      <c r="A746" s="9">
        <v>745</v>
      </c>
      <c r="B746" s="9" t="s">
        <v>9</v>
      </c>
      <c r="C746" s="9">
        <v>1926</v>
      </c>
      <c r="D746" s="10">
        <v>45722</v>
      </c>
      <c r="E746" s="11" t="str">
        <f>+HYPERLINK("http://trademark.i-assist.jp/data/china/image_1926th/82163052.pdf","82163052")</f>
        <v>82163052</v>
      </c>
      <c r="F746" s="12" t="s">
        <v>2177</v>
      </c>
      <c r="G746" s="9" t="s">
        <v>2178</v>
      </c>
      <c r="H746" s="9" t="s">
        <v>2179</v>
      </c>
      <c r="I746" s="10">
        <v>45621</v>
      </c>
    </row>
    <row r="747" spans="1:9" x14ac:dyDescent="0.15">
      <c r="A747" s="9">
        <v>746</v>
      </c>
      <c r="B747" s="9" t="s">
        <v>9</v>
      </c>
      <c r="C747" s="9">
        <v>1926</v>
      </c>
      <c r="D747" s="10">
        <v>45722</v>
      </c>
      <c r="E747" s="11" t="str">
        <f>+HYPERLINK("http://trademark.i-assist.jp/data/china/image_1926th/82163173.pdf","82163173")</f>
        <v>82163173</v>
      </c>
      <c r="F747" s="9" t="s">
        <v>2180</v>
      </c>
      <c r="G747" s="12" t="s">
        <v>2181</v>
      </c>
      <c r="H747" s="12" t="s">
        <v>2182</v>
      </c>
      <c r="I747" s="10">
        <v>45621</v>
      </c>
    </row>
    <row r="748" spans="1:9" x14ac:dyDescent="0.15">
      <c r="A748" s="9">
        <v>747</v>
      </c>
      <c r="B748" s="9" t="s">
        <v>9</v>
      </c>
      <c r="C748" s="9">
        <v>1926</v>
      </c>
      <c r="D748" s="10">
        <v>45722</v>
      </c>
      <c r="E748" s="11" t="str">
        <f>+HYPERLINK("http://trademark.i-assist.jp/data/china/image_1926th/82163303.pdf","82163303")</f>
        <v>82163303</v>
      </c>
      <c r="F748" s="12" t="s">
        <v>2183</v>
      </c>
      <c r="G748" s="9" t="s">
        <v>177</v>
      </c>
      <c r="H748" s="9" t="s">
        <v>2184</v>
      </c>
      <c r="I748" s="10">
        <v>45621</v>
      </c>
    </row>
    <row r="749" spans="1:9" x14ac:dyDescent="0.15">
      <c r="A749" s="9">
        <v>748</v>
      </c>
      <c r="B749" s="9" t="s">
        <v>9</v>
      </c>
      <c r="C749" s="9">
        <v>1926</v>
      </c>
      <c r="D749" s="10">
        <v>45722</v>
      </c>
      <c r="E749" s="11" t="str">
        <f>+HYPERLINK("http://trademark.i-assist.jp/data/china/image_1926th/82163584.pdf","82163584")</f>
        <v>82163584</v>
      </c>
      <c r="F749" s="9" t="s">
        <v>2185</v>
      </c>
      <c r="G749" s="9" t="s">
        <v>2186</v>
      </c>
      <c r="H749" s="9" t="s">
        <v>2187</v>
      </c>
      <c r="I749" s="10">
        <v>45621</v>
      </c>
    </row>
    <row r="750" spans="1:9" x14ac:dyDescent="0.15">
      <c r="A750" s="9">
        <v>749</v>
      </c>
      <c r="B750" s="9" t="s">
        <v>9</v>
      </c>
      <c r="C750" s="9">
        <v>1926</v>
      </c>
      <c r="D750" s="10">
        <v>45722</v>
      </c>
      <c r="E750" s="11" t="str">
        <f>+HYPERLINK("http://trademark.i-assist.jp/data/china/image_1926th/82163799.pdf","82163799")</f>
        <v>82163799</v>
      </c>
      <c r="F750" s="9" t="s">
        <v>2188</v>
      </c>
      <c r="G750" s="12" t="s">
        <v>2189</v>
      </c>
      <c r="H750" s="9" t="s">
        <v>2190</v>
      </c>
      <c r="I750" s="10">
        <v>45621</v>
      </c>
    </row>
    <row r="751" spans="1:9" x14ac:dyDescent="0.15">
      <c r="A751" s="9">
        <v>750</v>
      </c>
      <c r="B751" s="9" t="s">
        <v>9</v>
      </c>
      <c r="C751" s="9">
        <v>1926</v>
      </c>
      <c r="D751" s="10">
        <v>45722</v>
      </c>
      <c r="E751" s="11" t="str">
        <f>+HYPERLINK("http://trademark.i-assist.jp/data/china/image_1926th/82163826.pdf","82163826")</f>
        <v>82163826</v>
      </c>
      <c r="F751" s="9" t="s">
        <v>2191</v>
      </c>
      <c r="G751" s="9" t="s">
        <v>2083</v>
      </c>
      <c r="H751" s="9" t="s">
        <v>2192</v>
      </c>
      <c r="I751" s="10">
        <v>45621</v>
      </c>
    </row>
    <row r="752" spans="1:9" x14ac:dyDescent="0.15">
      <c r="A752" s="9">
        <v>751</v>
      </c>
      <c r="B752" s="9" t="s">
        <v>9</v>
      </c>
      <c r="C752" s="9">
        <v>1926</v>
      </c>
      <c r="D752" s="10">
        <v>45722</v>
      </c>
      <c r="E752" s="11" t="str">
        <f>+HYPERLINK("http://trademark.i-assist.jp/data/china/image_1926th/82163855.pdf","82163855")</f>
        <v>82163855</v>
      </c>
      <c r="F752" s="9" t="s">
        <v>2193</v>
      </c>
      <c r="G752" s="9" t="s">
        <v>2194</v>
      </c>
      <c r="H752" s="12" t="s">
        <v>2195</v>
      </c>
      <c r="I752" s="10">
        <v>45621</v>
      </c>
    </row>
    <row r="753" spans="1:9" x14ac:dyDescent="0.15">
      <c r="A753" s="9">
        <v>752</v>
      </c>
      <c r="B753" s="9" t="s">
        <v>9</v>
      </c>
      <c r="C753" s="9">
        <v>1926</v>
      </c>
      <c r="D753" s="10">
        <v>45722</v>
      </c>
      <c r="E753" s="11" t="str">
        <f>+HYPERLINK("http://trademark.i-assist.jp/data/china/image_1926th/82164253.pdf","82164253")</f>
        <v>82164253</v>
      </c>
      <c r="F753" s="12" t="s">
        <v>2196</v>
      </c>
      <c r="G753" s="9" t="s">
        <v>2197</v>
      </c>
      <c r="H753" s="9" t="s">
        <v>2198</v>
      </c>
      <c r="I753" s="10">
        <v>45621</v>
      </c>
    </row>
    <row r="754" spans="1:9" x14ac:dyDescent="0.15">
      <c r="A754" s="9">
        <v>753</v>
      </c>
      <c r="B754" s="9" t="s">
        <v>9</v>
      </c>
      <c r="C754" s="9">
        <v>1926</v>
      </c>
      <c r="D754" s="10">
        <v>45722</v>
      </c>
      <c r="E754" s="11" t="str">
        <f>+HYPERLINK("http://trademark.i-assist.jp/data/china/image_1926th/82164813.pdf","82164813")</f>
        <v>82164813</v>
      </c>
      <c r="F754" s="12" t="s">
        <v>2199</v>
      </c>
      <c r="G754" s="9" t="s">
        <v>2200</v>
      </c>
      <c r="H754" s="9" t="s">
        <v>2201</v>
      </c>
      <c r="I754" s="10">
        <v>45621</v>
      </c>
    </row>
    <row r="755" spans="1:9" x14ac:dyDescent="0.15">
      <c r="A755" s="9">
        <v>754</v>
      </c>
      <c r="B755" s="9" t="s">
        <v>9</v>
      </c>
      <c r="C755" s="9">
        <v>1926</v>
      </c>
      <c r="D755" s="10">
        <v>45722</v>
      </c>
      <c r="E755" s="11" t="str">
        <f>+HYPERLINK("http://trademark.i-assist.jp/data/china/image_1926th/82164851.pdf","82164851")</f>
        <v>82164851</v>
      </c>
      <c r="F755" s="12" t="s">
        <v>2202</v>
      </c>
      <c r="G755" s="12" t="s">
        <v>2203</v>
      </c>
      <c r="H755" s="9" t="s">
        <v>2204</v>
      </c>
      <c r="I755" s="10">
        <v>45621</v>
      </c>
    </row>
    <row r="756" spans="1:9" x14ac:dyDescent="0.15">
      <c r="A756" s="9">
        <v>755</v>
      </c>
      <c r="B756" s="9" t="s">
        <v>9</v>
      </c>
      <c r="C756" s="9">
        <v>1926</v>
      </c>
      <c r="D756" s="10">
        <v>45722</v>
      </c>
      <c r="E756" s="11" t="str">
        <f>+HYPERLINK("http://trademark.i-assist.jp/data/china/image_1926th/82165488A.pdf","82165488A")</f>
        <v>82165488A</v>
      </c>
      <c r="F756" s="9" t="s">
        <v>2205</v>
      </c>
      <c r="G756" s="9" t="s">
        <v>2206</v>
      </c>
      <c r="H756" s="9" t="s">
        <v>10</v>
      </c>
      <c r="I756" s="10">
        <v>45621</v>
      </c>
    </row>
    <row r="757" spans="1:9" x14ac:dyDescent="0.15">
      <c r="A757" s="9">
        <v>756</v>
      </c>
      <c r="B757" s="9" t="s">
        <v>9</v>
      </c>
      <c r="C757" s="9">
        <v>1926</v>
      </c>
      <c r="D757" s="10">
        <v>45722</v>
      </c>
      <c r="E757" s="11" t="str">
        <f>+HYPERLINK("http://trademark.i-assist.jp/data/china/image_1926th/82165535.pdf","82165535")</f>
        <v>82165535</v>
      </c>
      <c r="F757" s="12" t="s">
        <v>2207</v>
      </c>
      <c r="G757" s="12" t="s">
        <v>2208</v>
      </c>
      <c r="H757" s="9" t="s">
        <v>2209</v>
      </c>
      <c r="I757" s="10">
        <v>45621</v>
      </c>
    </row>
    <row r="758" spans="1:9" x14ac:dyDescent="0.15">
      <c r="A758" s="9">
        <v>757</v>
      </c>
      <c r="B758" s="9" t="s">
        <v>9</v>
      </c>
      <c r="C758" s="9">
        <v>1926</v>
      </c>
      <c r="D758" s="10">
        <v>45722</v>
      </c>
      <c r="E758" s="11" t="str">
        <f>+HYPERLINK("http://trademark.i-assist.jp/data/china/image_1926th/82165538.pdf","82165538")</f>
        <v>82165538</v>
      </c>
      <c r="F758" s="9" t="s">
        <v>2210</v>
      </c>
      <c r="G758" s="9" t="s">
        <v>96</v>
      </c>
      <c r="H758" s="9" t="s">
        <v>2211</v>
      </c>
      <c r="I758" s="10">
        <v>45621</v>
      </c>
    </row>
    <row r="759" spans="1:9" x14ac:dyDescent="0.15">
      <c r="A759" s="9">
        <v>758</v>
      </c>
      <c r="B759" s="9" t="s">
        <v>9</v>
      </c>
      <c r="C759" s="9">
        <v>1926</v>
      </c>
      <c r="D759" s="10">
        <v>45722</v>
      </c>
      <c r="E759" s="11" t="str">
        <f>+HYPERLINK("http://trademark.i-assist.jp/data/china/image_1926th/82166356.pdf","82166356")</f>
        <v>82166356</v>
      </c>
      <c r="F759" s="9" t="s">
        <v>2212</v>
      </c>
      <c r="G759" s="12" t="s">
        <v>2213</v>
      </c>
      <c r="H759" s="9" t="s">
        <v>2214</v>
      </c>
      <c r="I759" s="10">
        <v>45621</v>
      </c>
    </row>
    <row r="760" spans="1:9" x14ac:dyDescent="0.15">
      <c r="A760" s="9">
        <v>759</v>
      </c>
      <c r="B760" s="9" t="s">
        <v>9</v>
      </c>
      <c r="C760" s="9">
        <v>1926</v>
      </c>
      <c r="D760" s="10">
        <v>45722</v>
      </c>
      <c r="E760" s="11" t="str">
        <f>+HYPERLINK("http://trademark.i-assist.jp/data/china/image_1926th/82166668.pdf","82166668")</f>
        <v>82166668</v>
      </c>
      <c r="F760" s="12" t="s">
        <v>2215</v>
      </c>
      <c r="G760" s="9" t="s">
        <v>2216</v>
      </c>
      <c r="H760" s="9" t="s">
        <v>2217</v>
      </c>
      <c r="I760" s="10">
        <v>45621</v>
      </c>
    </row>
    <row r="761" spans="1:9" x14ac:dyDescent="0.15">
      <c r="A761" s="9">
        <v>760</v>
      </c>
      <c r="B761" s="9" t="s">
        <v>9</v>
      </c>
      <c r="C761" s="9">
        <v>1926</v>
      </c>
      <c r="D761" s="10">
        <v>45722</v>
      </c>
      <c r="E761" s="11" t="str">
        <f>+HYPERLINK("http://trademark.i-assist.jp/data/china/image_1926th/82167189.pdf","82167189")</f>
        <v>82167189</v>
      </c>
      <c r="F761" s="9" t="s">
        <v>2218</v>
      </c>
      <c r="G761" s="9" t="s">
        <v>2219</v>
      </c>
      <c r="H761" s="9" t="s">
        <v>2220</v>
      </c>
      <c r="I761" s="10">
        <v>45621</v>
      </c>
    </row>
    <row r="762" spans="1:9" x14ac:dyDescent="0.15">
      <c r="A762" s="9">
        <v>761</v>
      </c>
      <c r="B762" s="9" t="s">
        <v>9</v>
      </c>
      <c r="C762" s="9">
        <v>1926</v>
      </c>
      <c r="D762" s="10">
        <v>45722</v>
      </c>
      <c r="E762" s="11" t="str">
        <f>+HYPERLINK("http://trademark.i-assist.jp/data/china/image_1926th/82167495.pdf","82167495")</f>
        <v>82167495</v>
      </c>
      <c r="F762" s="9" t="s">
        <v>2221</v>
      </c>
      <c r="G762" s="9" t="s">
        <v>2222</v>
      </c>
      <c r="H762" s="9" t="s">
        <v>2223</v>
      </c>
      <c r="I762" s="10">
        <v>45621</v>
      </c>
    </row>
    <row r="763" spans="1:9" x14ac:dyDescent="0.15">
      <c r="A763" s="9">
        <v>762</v>
      </c>
      <c r="B763" s="9" t="s">
        <v>9</v>
      </c>
      <c r="C763" s="9">
        <v>1926</v>
      </c>
      <c r="D763" s="10">
        <v>45722</v>
      </c>
      <c r="E763" s="11" t="str">
        <f>+HYPERLINK("http://trademark.i-assist.jp/data/china/image_1926th/82167796.pdf","82167796")</f>
        <v>82167796</v>
      </c>
      <c r="F763" s="9" t="s">
        <v>2224</v>
      </c>
      <c r="G763" s="12" t="s">
        <v>2088</v>
      </c>
      <c r="H763" s="9" t="s">
        <v>2225</v>
      </c>
      <c r="I763" s="10">
        <v>45621</v>
      </c>
    </row>
    <row r="764" spans="1:9" x14ac:dyDescent="0.15">
      <c r="A764" s="9">
        <v>763</v>
      </c>
      <c r="B764" s="9" t="s">
        <v>9</v>
      </c>
      <c r="C764" s="9">
        <v>1926</v>
      </c>
      <c r="D764" s="10">
        <v>45722</v>
      </c>
      <c r="E764" s="11" t="str">
        <f>+HYPERLINK("http://trademark.i-assist.jp/data/china/image_1926th/82168765.pdf","82168765")</f>
        <v>82168765</v>
      </c>
      <c r="F764" s="9" t="s">
        <v>2226</v>
      </c>
      <c r="G764" s="9" t="s">
        <v>90</v>
      </c>
      <c r="H764" s="9" t="s">
        <v>2227</v>
      </c>
      <c r="I764" s="10">
        <v>45621</v>
      </c>
    </row>
    <row r="765" spans="1:9" x14ac:dyDescent="0.15">
      <c r="A765" s="9">
        <v>764</v>
      </c>
      <c r="B765" s="9" t="s">
        <v>9</v>
      </c>
      <c r="C765" s="9">
        <v>1926</v>
      </c>
      <c r="D765" s="10">
        <v>45722</v>
      </c>
      <c r="E765" s="11" t="str">
        <f>+HYPERLINK("http://trademark.i-assist.jp/data/china/image_1926th/82168992.pdf","82168992")</f>
        <v>82168992</v>
      </c>
      <c r="F765" s="9" t="s">
        <v>2228</v>
      </c>
      <c r="G765" s="9" t="s">
        <v>2229</v>
      </c>
      <c r="H765" s="12" t="s">
        <v>2230</v>
      </c>
      <c r="I765" s="10">
        <v>45621</v>
      </c>
    </row>
    <row r="766" spans="1:9" x14ac:dyDescent="0.15">
      <c r="A766" s="9">
        <v>765</v>
      </c>
      <c r="B766" s="9" t="s">
        <v>9</v>
      </c>
      <c r="C766" s="9">
        <v>1926</v>
      </c>
      <c r="D766" s="10">
        <v>45722</v>
      </c>
      <c r="E766" s="11" t="str">
        <f>+HYPERLINK("http://trademark.i-assist.jp/data/china/image_1926th/82169201.pdf","82169201")</f>
        <v>82169201</v>
      </c>
      <c r="F766" s="9" t="s">
        <v>2231</v>
      </c>
      <c r="G766" s="9" t="s">
        <v>2232</v>
      </c>
      <c r="H766" s="9" t="s">
        <v>2233</v>
      </c>
      <c r="I766" s="10">
        <v>45621</v>
      </c>
    </row>
    <row r="767" spans="1:9" x14ac:dyDescent="0.15">
      <c r="A767" s="9">
        <v>766</v>
      </c>
      <c r="B767" s="9" t="s">
        <v>9</v>
      </c>
      <c r="C767" s="9">
        <v>1926</v>
      </c>
      <c r="D767" s="10">
        <v>45722</v>
      </c>
      <c r="E767" s="11" t="str">
        <f>+HYPERLINK("http://trademark.i-assist.jp/data/china/image_1926th/82169513.pdf","82169513")</f>
        <v>82169513</v>
      </c>
      <c r="F767" s="9" t="s">
        <v>2234</v>
      </c>
      <c r="G767" s="9" t="s">
        <v>2235</v>
      </c>
      <c r="H767" s="9" t="s">
        <v>2236</v>
      </c>
      <c r="I767" s="10">
        <v>45621</v>
      </c>
    </row>
    <row r="768" spans="1:9" x14ac:dyDescent="0.15">
      <c r="A768" s="9">
        <v>767</v>
      </c>
      <c r="B768" s="9" t="s">
        <v>9</v>
      </c>
      <c r="C768" s="9">
        <v>1926</v>
      </c>
      <c r="D768" s="10">
        <v>45722</v>
      </c>
      <c r="E768" s="11" t="str">
        <f>+HYPERLINK("http://trademark.i-assist.jp/data/china/image_1926th/82169853.pdf","82169853")</f>
        <v>82169853</v>
      </c>
      <c r="F768" s="9" t="s">
        <v>2237</v>
      </c>
      <c r="G768" s="9" t="s">
        <v>2238</v>
      </c>
      <c r="H768" s="9" t="s">
        <v>2239</v>
      </c>
      <c r="I768" s="10">
        <v>45621</v>
      </c>
    </row>
    <row r="769" spans="1:9" x14ac:dyDescent="0.15">
      <c r="A769" s="9">
        <v>768</v>
      </c>
      <c r="B769" s="9" t="s">
        <v>9</v>
      </c>
      <c r="C769" s="9">
        <v>1926</v>
      </c>
      <c r="D769" s="10">
        <v>45722</v>
      </c>
      <c r="E769" s="11" t="str">
        <f>+HYPERLINK("http://trademark.i-assist.jp/data/china/image_1926th/82170099.pdf","82170099")</f>
        <v>82170099</v>
      </c>
      <c r="F769" s="9" t="s">
        <v>2240</v>
      </c>
      <c r="G769" s="12" t="s">
        <v>118</v>
      </c>
      <c r="H769" s="9" t="s">
        <v>2241</v>
      </c>
      <c r="I769" s="10">
        <v>45621</v>
      </c>
    </row>
    <row r="770" spans="1:9" x14ac:dyDescent="0.15">
      <c r="A770" s="9">
        <v>769</v>
      </c>
      <c r="B770" s="9" t="s">
        <v>9</v>
      </c>
      <c r="C770" s="9">
        <v>1926</v>
      </c>
      <c r="D770" s="10">
        <v>45722</v>
      </c>
      <c r="E770" s="11" t="str">
        <f>+HYPERLINK("http://trademark.i-assist.jp/data/china/image_1926th/82170628.pdf","82170628")</f>
        <v>82170628</v>
      </c>
      <c r="F770" s="9" t="s">
        <v>2242</v>
      </c>
      <c r="G770" s="9" t="s">
        <v>2243</v>
      </c>
      <c r="H770" s="9" t="s">
        <v>2244</v>
      </c>
      <c r="I770" s="10">
        <v>45621</v>
      </c>
    </row>
    <row r="771" spans="1:9" x14ac:dyDescent="0.15">
      <c r="A771" s="9">
        <v>770</v>
      </c>
      <c r="B771" s="9" t="s">
        <v>9</v>
      </c>
      <c r="C771" s="9">
        <v>1926</v>
      </c>
      <c r="D771" s="10">
        <v>45722</v>
      </c>
      <c r="E771" s="11" t="str">
        <f>+HYPERLINK("http://trademark.i-assist.jp/data/china/image_1926th/82170633.pdf","82170633")</f>
        <v>82170633</v>
      </c>
      <c r="F771" s="9" t="s">
        <v>2245</v>
      </c>
      <c r="G771" s="9" t="s">
        <v>2246</v>
      </c>
      <c r="H771" s="9" t="s">
        <v>2247</v>
      </c>
      <c r="I771" s="10">
        <v>45621</v>
      </c>
    </row>
    <row r="772" spans="1:9" x14ac:dyDescent="0.15">
      <c r="A772" s="9">
        <v>771</v>
      </c>
      <c r="B772" s="9" t="s">
        <v>9</v>
      </c>
      <c r="C772" s="9">
        <v>1926</v>
      </c>
      <c r="D772" s="10">
        <v>45722</v>
      </c>
      <c r="E772" s="11" t="str">
        <f>+HYPERLINK("http://trademark.i-assist.jp/data/china/image_1926th/82171058.pdf","82171058")</f>
        <v>82171058</v>
      </c>
      <c r="F772" s="9" t="s">
        <v>2248</v>
      </c>
      <c r="G772" s="12" t="s">
        <v>1961</v>
      </c>
      <c r="H772" s="9" t="s">
        <v>2249</v>
      </c>
      <c r="I772" s="10">
        <v>45621</v>
      </c>
    </row>
    <row r="773" spans="1:9" x14ac:dyDescent="0.15">
      <c r="A773" s="9">
        <v>772</v>
      </c>
      <c r="B773" s="9" t="s">
        <v>9</v>
      </c>
      <c r="C773" s="9">
        <v>1926</v>
      </c>
      <c r="D773" s="10">
        <v>45722</v>
      </c>
      <c r="E773" s="11" t="str">
        <f>+HYPERLINK("http://trademark.i-assist.jp/data/china/image_1926th/82171094.pdf","82171094")</f>
        <v>82171094</v>
      </c>
      <c r="F773" s="9" t="s">
        <v>2250</v>
      </c>
      <c r="G773" s="9" t="s">
        <v>33</v>
      </c>
      <c r="H773" s="9" t="s">
        <v>2251</v>
      </c>
      <c r="I773" s="10">
        <v>45621</v>
      </c>
    </row>
    <row r="774" spans="1:9" x14ac:dyDescent="0.15">
      <c r="A774" s="9">
        <v>773</v>
      </c>
      <c r="B774" s="9" t="s">
        <v>9</v>
      </c>
      <c r="C774" s="9">
        <v>1926</v>
      </c>
      <c r="D774" s="10">
        <v>45722</v>
      </c>
      <c r="E774" s="11" t="str">
        <f>+HYPERLINK("http://trademark.i-assist.jp/data/china/image_1926th/82171132.pdf","82171132")</f>
        <v>82171132</v>
      </c>
      <c r="F774" s="9" t="s">
        <v>2252</v>
      </c>
      <c r="G774" s="9" t="s">
        <v>2253</v>
      </c>
      <c r="H774" s="9" t="s">
        <v>2254</v>
      </c>
      <c r="I774" s="10">
        <v>45621</v>
      </c>
    </row>
    <row r="775" spans="1:9" x14ac:dyDescent="0.15">
      <c r="A775" s="9">
        <v>774</v>
      </c>
      <c r="B775" s="9" t="s">
        <v>9</v>
      </c>
      <c r="C775" s="9">
        <v>1926</v>
      </c>
      <c r="D775" s="10">
        <v>45722</v>
      </c>
      <c r="E775" s="11" t="str">
        <f>+HYPERLINK("http://trademark.i-assist.jp/data/china/image_1926th/82171445.pdf","82171445")</f>
        <v>82171445</v>
      </c>
      <c r="F775" s="9" t="s">
        <v>2255</v>
      </c>
      <c r="G775" s="9" t="s">
        <v>2256</v>
      </c>
      <c r="H775" s="9" t="s">
        <v>2257</v>
      </c>
      <c r="I775" s="10">
        <v>45621</v>
      </c>
    </row>
    <row r="776" spans="1:9" x14ac:dyDescent="0.15">
      <c r="A776" s="9">
        <v>775</v>
      </c>
      <c r="B776" s="9" t="s">
        <v>9</v>
      </c>
      <c r="C776" s="9">
        <v>1926</v>
      </c>
      <c r="D776" s="10">
        <v>45722</v>
      </c>
      <c r="E776" s="11" t="str">
        <f>+HYPERLINK("http://trademark.i-assist.jp/data/china/image_1926th/82172101.pdf","82172101")</f>
        <v>82172101</v>
      </c>
      <c r="F776" s="12" t="s">
        <v>2258</v>
      </c>
      <c r="G776" s="12" t="s">
        <v>2259</v>
      </c>
      <c r="H776" s="9" t="s">
        <v>2260</v>
      </c>
      <c r="I776" s="10">
        <v>45621</v>
      </c>
    </row>
    <row r="777" spans="1:9" x14ac:dyDescent="0.15">
      <c r="A777" s="9">
        <v>776</v>
      </c>
      <c r="B777" s="9" t="s">
        <v>9</v>
      </c>
      <c r="C777" s="9">
        <v>1926</v>
      </c>
      <c r="D777" s="10">
        <v>45722</v>
      </c>
      <c r="E777" s="11" t="str">
        <f>+HYPERLINK("http://trademark.i-assist.jp/data/china/image_1926th/82172202.pdf","82172202")</f>
        <v>82172202</v>
      </c>
      <c r="F777" s="9" t="s">
        <v>2261</v>
      </c>
      <c r="G777" s="9" t="s">
        <v>2262</v>
      </c>
      <c r="H777" s="9" t="s">
        <v>2263</v>
      </c>
      <c r="I777" s="10">
        <v>45621</v>
      </c>
    </row>
    <row r="778" spans="1:9" x14ac:dyDescent="0.15">
      <c r="A778" s="9">
        <v>777</v>
      </c>
      <c r="B778" s="9" t="s">
        <v>9</v>
      </c>
      <c r="C778" s="9">
        <v>1926</v>
      </c>
      <c r="D778" s="10">
        <v>45722</v>
      </c>
      <c r="E778" s="11" t="str">
        <f>+HYPERLINK("http://trademark.i-assist.jp/data/china/image_1926th/82172681.pdf","82172681")</f>
        <v>82172681</v>
      </c>
      <c r="F778" s="9" t="s">
        <v>2264</v>
      </c>
      <c r="G778" s="12" t="s">
        <v>2265</v>
      </c>
      <c r="H778" s="9" t="s">
        <v>2266</v>
      </c>
      <c r="I778" s="10">
        <v>45621</v>
      </c>
    </row>
    <row r="779" spans="1:9" x14ac:dyDescent="0.15">
      <c r="A779" s="9">
        <v>778</v>
      </c>
      <c r="B779" s="9" t="s">
        <v>9</v>
      </c>
      <c r="C779" s="9">
        <v>1926</v>
      </c>
      <c r="D779" s="10">
        <v>45722</v>
      </c>
      <c r="E779" s="11" t="str">
        <f>+HYPERLINK("http://trademark.i-assist.jp/data/china/image_1926th/82172754.pdf","82172754")</f>
        <v>82172754</v>
      </c>
      <c r="F779" s="9" t="s">
        <v>2267</v>
      </c>
      <c r="G779" s="9" t="s">
        <v>90</v>
      </c>
      <c r="H779" s="9" t="s">
        <v>2268</v>
      </c>
      <c r="I779" s="10">
        <v>45621</v>
      </c>
    </row>
    <row r="780" spans="1:9" x14ac:dyDescent="0.15">
      <c r="A780" s="9">
        <v>779</v>
      </c>
      <c r="B780" s="9" t="s">
        <v>9</v>
      </c>
      <c r="C780" s="9">
        <v>1926</v>
      </c>
      <c r="D780" s="10">
        <v>45722</v>
      </c>
      <c r="E780" s="11" t="str">
        <f>+HYPERLINK("http://trademark.i-assist.jp/data/china/image_1926th/82172864.pdf","82172864")</f>
        <v>82172864</v>
      </c>
      <c r="F780" s="9" t="s">
        <v>2269</v>
      </c>
      <c r="G780" s="9" t="s">
        <v>195</v>
      </c>
      <c r="H780" s="9" t="s">
        <v>2270</v>
      </c>
      <c r="I780" s="10">
        <v>45621</v>
      </c>
    </row>
    <row r="781" spans="1:9" x14ac:dyDescent="0.15">
      <c r="A781" s="9">
        <v>780</v>
      </c>
      <c r="B781" s="9" t="s">
        <v>9</v>
      </c>
      <c r="C781" s="9">
        <v>1926</v>
      </c>
      <c r="D781" s="10">
        <v>45722</v>
      </c>
      <c r="E781" s="11" t="str">
        <f>+HYPERLINK("http://trademark.i-assist.jp/data/china/image_1926th/82173164.pdf","82173164")</f>
        <v>82173164</v>
      </c>
      <c r="F781" s="9" t="s">
        <v>2271</v>
      </c>
      <c r="G781" s="9" t="s">
        <v>2272</v>
      </c>
      <c r="H781" s="9" t="s">
        <v>2273</v>
      </c>
      <c r="I781" s="10">
        <v>45621</v>
      </c>
    </row>
    <row r="782" spans="1:9" x14ac:dyDescent="0.15">
      <c r="A782" s="9">
        <v>781</v>
      </c>
      <c r="B782" s="9" t="s">
        <v>9</v>
      </c>
      <c r="C782" s="9">
        <v>1926</v>
      </c>
      <c r="D782" s="10">
        <v>45722</v>
      </c>
      <c r="E782" s="11" t="str">
        <f>+HYPERLINK("http://trademark.i-assist.jp/data/china/image_1926th/82173186.pdf","82173186")</f>
        <v>82173186</v>
      </c>
      <c r="F782" s="9" t="s">
        <v>2274</v>
      </c>
      <c r="G782" s="12" t="s">
        <v>2071</v>
      </c>
      <c r="H782" s="9" t="s">
        <v>2275</v>
      </c>
      <c r="I782" s="10">
        <v>45621</v>
      </c>
    </row>
    <row r="783" spans="1:9" x14ac:dyDescent="0.15">
      <c r="A783" s="9">
        <v>782</v>
      </c>
      <c r="B783" s="9" t="s">
        <v>9</v>
      </c>
      <c r="C783" s="9">
        <v>1926</v>
      </c>
      <c r="D783" s="10">
        <v>45722</v>
      </c>
      <c r="E783" s="11" t="str">
        <f>+HYPERLINK("http://trademark.i-assist.jp/data/china/image_1926th/82173521.pdf","82173521")</f>
        <v>82173521</v>
      </c>
      <c r="F783" s="12" t="s">
        <v>2276</v>
      </c>
      <c r="G783" s="9" t="s">
        <v>12</v>
      </c>
      <c r="H783" s="12" t="s">
        <v>2277</v>
      </c>
      <c r="I783" s="10">
        <v>45621</v>
      </c>
    </row>
    <row r="784" spans="1:9" x14ac:dyDescent="0.15">
      <c r="A784" s="9">
        <v>783</v>
      </c>
      <c r="B784" s="9" t="s">
        <v>9</v>
      </c>
      <c r="C784" s="9">
        <v>1926</v>
      </c>
      <c r="D784" s="10">
        <v>45722</v>
      </c>
      <c r="E784" s="11" t="str">
        <f>+HYPERLINK("http://trademark.i-assist.jp/data/china/image_1926th/82173562.pdf","82173562")</f>
        <v>82173562</v>
      </c>
      <c r="F784" s="12" t="s">
        <v>2278</v>
      </c>
      <c r="G784" s="9" t="s">
        <v>2279</v>
      </c>
      <c r="H784" s="9" t="s">
        <v>2280</v>
      </c>
      <c r="I784" s="10">
        <v>45621</v>
      </c>
    </row>
    <row r="785" spans="1:9" x14ac:dyDescent="0.15">
      <c r="A785" s="9">
        <v>784</v>
      </c>
      <c r="B785" s="9" t="s">
        <v>9</v>
      </c>
      <c r="C785" s="9">
        <v>1926</v>
      </c>
      <c r="D785" s="10">
        <v>45722</v>
      </c>
      <c r="E785" s="11" t="str">
        <f>+HYPERLINK("http://trademark.i-assist.jp/data/china/image_1926th/82173820.pdf","82173820")</f>
        <v>82173820</v>
      </c>
      <c r="F785" s="12" t="s">
        <v>2281</v>
      </c>
      <c r="G785" s="12" t="s">
        <v>2203</v>
      </c>
      <c r="H785" s="9" t="s">
        <v>2282</v>
      </c>
      <c r="I785" s="10">
        <v>45621</v>
      </c>
    </row>
    <row r="786" spans="1:9" x14ac:dyDescent="0.15">
      <c r="A786" s="9">
        <v>785</v>
      </c>
      <c r="B786" s="9" t="s">
        <v>9</v>
      </c>
      <c r="C786" s="9">
        <v>1926</v>
      </c>
      <c r="D786" s="10">
        <v>45722</v>
      </c>
      <c r="E786" s="11" t="str">
        <f>+HYPERLINK("http://trademark.i-assist.jp/data/china/image_1926th/82174197.pdf","82174197")</f>
        <v>82174197</v>
      </c>
      <c r="F786" s="9" t="s">
        <v>2283</v>
      </c>
      <c r="G786" s="9" t="s">
        <v>68</v>
      </c>
      <c r="H786" s="12" t="s">
        <v>2284</v>
      </c>
      <c r="I786" s="10">
        <v>45621</v>
      </c>
    </row>
    <row r="787" spans="1:9" x14ac:dyDescent="0.15">
      <c r="A787" s="9">
        <v>786</v>
      </c>
      <c r="B787" s="9" t="s">
        <v>9</v>
      </c>
      <c r="C787" s="9">
        <v>1926</v>
      </c>
      <c r="D787" s="10">
        <v>45722</v>
      </c>
      <c r="E787" s="11" t="str">
        <f>+HYPERLINK("http://trademark.i-assist.jp/data/china/image_1926th/82174314.pdf","82174314")</f>
        <v>82174314</v>
      </c>
      <c r="F787" s="9" t="s">
        <v>2285</v>
      </c>
      <c r="G787" s="12" t="s">
        <v>2097</v>
      </c>
      <c r="H787" s="9" t="s">
        <v>2286</v>
      </c>
      <c r="I787" s="10">
        <v>45621</v>
      </c>
    </row>
    <row r="788" spans="1:9" x14ac:dyDescent="0.15">
      <c r="A788" s="9">
        <v>787</v>
      </c>
      <c r="B788" s="9" t="s">
        <v>9</v>
      </c>
      <c r="C788" s="9">
        <v>1926</v>
      </c>
      <c r="D788" s="10">
        <v>45722</v>
      </c>
      <c r="E788" s="11" t="str">
        <f>+HYPERLINK("http://trademark.i-assist.jp/data/china/image_1926th/82174447.pdf","82174447")</f>
        <v>82174447</v>
      </c>
      <c r="F788" s="9" t="s">
        <v>2287</v>
      </c>
      <c r="G788" s="12" t="s">
        <v>2288</v>
      </c>
      <c r="H788" s="9" t="s">
        <v>2289</v>
      </c>
      <c r="I788" s="10">
        <v>45621</v>
      </c>
    </row>
    <row r="789" spans="1:9" x14ac:dyDescent="0.15">
      <c r="A789" s="9">
        <v>788</v>
      </c>
      <c r="B789" s="9" t="s">
        <v>9</v>
      </c>
      <c r="C789" s="9">
        <v>1926</v>
      </c>
      <c r="D789" s="10">
        <v>45722</v>
      </c>
      <c r="E789" s="11" t="str">
        <f>+HYPERLINK("http://trademark.i-assist.jp/data/china/image_1926th/82174650.pdf","82174650")</f>
        <v>82174650</v>
      </c>
      <c r="F789" s="9" t="s">
        <v>2290</v>
      </c>
      <c r="G789" s="9" t="s">
        <v>2291</v>
      </c>
      <c r="H789" s="9" t="s">
        <v>2292</v>
      </c>
      <c r="I789" s="10">
        <v>45621</v>
      </c>
    </row>
    <row r="790" spans="1:9" x14ac:dyDescent="0.15">
      <c r="A790" s="9">
        <v>789</v>
      </c>
      <c r="B790" s="9" t="s">
        <v>9</v>
      </c>
      <c r="C790" s="9">
        <v>1926</v>
      </c>
      <c r="D790" s="10">
        <v>45722</v>
      </c>
      <c r="E790" s="11" t="str">
        <f>+HYPERLINK("http://trademark.i-assist.jp/data/china/image_1926th/82175066.pdf","82175066")</f>
        <v>82175066</v>
      </c>
      <c r="F790" s="9" t="s">
        <v>2293</v>
      </c>
      <c r="G790" s="9" t="s">
        <v>2294</v>
      </c>
      <c r="H790" s="9" t="s">
        <v>2295</v>
      </c>
      <c r="I790" s="10">
        <v>45621</v>
      </c>
    </row>
    <row r="791" spans="1:9" x14ac:dyDescent="0.15">
      <c r="A791" s="9">
        <v>790</v>
      </c>
      <c r="B791" s="9" t="s">
        <v>9</v>
      </c>
      <c r="C791" s="9">
        <v>1926</v>
      </c>
      <c r="D791" s="10">
        <v>45722</v>
      </c>
      <c r="E791" s="11" t="str">
        <f>+HYPERLINK("http://trademark.i-assist.jp/data/china/image_1926th/82175259.pdf","82175259")</f>
        <v>82175259</v>
      </c>
      <c r="F791" s="9" t="s">
        <v>2296</v>
      </c>
      <c r="G791" s="9" t="s">
        <v>2297</v>
      </c>
      <c r="H791" s="9" t="s">
        <v>2298</v>
      </c>
      <c r="I791" s="10">
        <v>45622</v>
      </c>
    </row>
    <row r="792" spans="1:9" x14ac:dyDescent="0.15">
      <c r="A792" s="9">
        <v>791</v>
      </c>
      <c r="B792" s="9" t="s">
        <v>9</v>
      </c>
      <c r="C792" s="9">
        <v>1926</v>
      </c>
      <c r="D792" s="10">
        <v>45722</v>
      </c>
      <c r="E792" s="11" t="str">
        <f>+HYPERLINK("http://trademark.i-assist.jp/data/china/image_1926th/82175478.pdf","82175478")</f>
        <v>82175478</v>
      </c>
      <c r="F792" s="9" t="s">
        <v>2299</v>
      </c>
      <c r="G792" s="9" t="s">
        <v>2300</v>
      </c>
      <c r="H792" s="12" t="s">
        <v>2301</v>
      </c>
      <c r="I792" s="10">
        <v>45622</v>
      </c>
    </row>
    <row r="793" spans="1:9" x14ac:dyDescent="0.15">
      <c r="A793" s="9">
        <v>792</v>
      </c>
      <c r="B793" s="9" t="s">
        <v>9</v>
      </c>
      <c r="C793" s="9">
        <v>1926</v>
      </c>
      <c r="D793" s="10">
        <v>45722</v>
      </c>
      <c r="E793" s="11" t="str">
        <f>+HYPERLINK("http://trademark.i-assist.jp/data/china/image_1926th/82175908.pdf","82175908")</f>
        <v>82175908</v>
      </c>
      <c r="F793" s="9" t="s">
        <v>2302</v>
      </c>
      <c r="G793" s="9" t="s">
        <v>2303</v>
      </c>
      <c r="H793" s="12" t="s">
        <v>2304</v>
      </c>
      <c r="I793" s="10">
        <v>45622</v>
      </c>
    </row>
    <row r="794" spans="1:9" x14ac:dyDescent="0.15">
      <c r="A794" s="9">
        <v>793</v>
      </c>
      <c r="B794" s="9" t="s">
        <v>9</v>
      </c>
      <c r="C794" s="9">
        <v>1926</v>
      </c>
      <c r="D794" s="10">
        <v>45722</v>
      </c>
      <c r="E794" s="11" t="str">
        <f>+HYPERLINK("http://trademark.i-assist.jp/data/china/image_1926th/82176061.pdf","82176061")</f>
        <v>82176061</v>
      </c>
      <c r="F794" s="12" t="s">
        <v>20</v>
      </c>
      <c r="G794" s="12" t="s">
        <v>2305</v>
      </c>
      <c r="H794" s="12" t="s">
        <v>2306</v>
      </c>
      <c r="I794" s="10">
        <v>45622</v>
      </c>
    </row>
    <row r="795" spans="1:9" x14ac:dyDescent="0.15">
      <c r="A795" s="9">
        <v>794</v>
      </c>
      <c r="B795" s="9" t="s">
        <v>9</v>
      </c>
      <c r="C795" s="9">
        <v>1926</v>
      </c>
      <c r="D795" s="10">
        <v>45722</v>
      </c>
      <c r="E795" s="11" t="str">
        <f>+HYPERLINK("http://trademark.i-assist.jp/data/china/image_1926th/82176356.pdf","82176356")</f>
        <v>82176356</v>
      </c>
      <c r="F795" s="9" t="s">
        <v>2307</v>
      </c>
      <c r="G795" s="9" t="s">
        <v>2308</v>
      </c>
      <c r="H795" s="9" t="s">
        <v>2309</v>
      </c>
      <c r="I795" s="10">
        <v>45622</v>
      </c>
    </row>
    <row r="796" spans="1:9" x14ac:dyDescent="0.15">
      <c r="A796" s="9">
        <v>795</v>
      </c>
      <c r="B796" s="9" t="s">
        <v>9</v>
      </c>
      <c r="C796" s="9">
        <v>1926</v>
      </c>
      <c r="D796" s="10">
        <v>45722</v>
      </c>
      <c r="E796" s="11" t="str">
        <f>+HYPERLINK("http://trademark.i-assist.jp/data/china/image_1926th/82176566.pdf","82176566")</f>
        <v>82176566</v>
      </c>
      <c r="F796" s="9" t="s">
        <v>2310</v>
      </c>
      <c r="G796" s="9" t="s">
        <v>2311</v>
      </c>
      <c r="H796" s="9" t="s">
        <v>2312</v>
      </c>
      <c r="I796" s="10">
        <v>45622</v>
      </c>
    </row>
    <row r="797" spans="1:9" x14ac:dyDescent="0.15">
      <c r="A797" s="9">
        <v>796</v>
      </c>
      <c r="B797" s="9" t="s">
        <v>9</v>
      </c>
      <c r="C797" s="9">
        <v>1926</v>
      </c>
      <c r="D797" s="10">
        <v>45722</v>
      </c>
      <c r="E797" s="11" t="str">
        <f>+HYPERLINK("http://trademark.i-assist.jp/data/china/image_1926th/82176808.pdf","82176808")</f>
        <v>82176808</v>
      </c>
      <c r="F797" s="9" t="s">
        <v>2313</v>
      </c>
      <c r="G797" s="9" t="s">
        <v>2314</v>
      </c>
      <c r="H797" s="9" t="s">
        <v>2315</v>
      </c>
      <c r="I797" s="10">
        <v>45622</v>
      </c>
    </row>
    <row r="798" spans="1:9" x14ac:dyDescent="0.15">
      <c r="A798" s="9">
        <v>797</v>
      </c>
      <c r="B798" s="9" t="s">
        <v>9</v>
      </c>
      <c r="C798" s="9">
        <v>1926</v>
      </c>
      <c r="D798" s="10">
        <v>45722</v>
      </c>
      <c r="E798" s="11" t="str">
        <f>+HYPERLINK("http://trademark.i-assist.jp/data/china/image_1926th/82177538.pdf","82177538")</f>
        <v>82177538</v>
      </c>
      <c r="F798" s="9" t="s">
        <v>2316</v>
      </c>
      <c r="G798" s="9" t="s">
        <v>2317</v>
      </c>
      <c r="H798" s="9" t="s">
        <v>2318</v>
      </c>
      <c r="I798" s="10">
        <v>45622</v>
      </c>
    </row>
    <row r="799" spans="1:9" x14ac:dyDescent="0.15">
      <c r="A799" s="9">
        <v>798</v>
      </c>
      <c r="B799" s="9" t="s">
        <v>9</v>
      </c>
      <c r="C799" s="9">
        <v>1926</v>
      </c>
      <c r="D799" s="10">
        <v>45722</v>
      </c>
      <c r="E799" s="11" t="str">
        <f>+HYPERLINK("http://trademark.i-assist.jp/data/china/image_1926th/82178570.pdf","82178570")</f>
        <v>82178570</v>
      </c>
      <c r="F799" s="9" t="s">
        <v>2319</v>
      </c>
      <c r="G799" s="12" t="s">
        <v>87</v>
      </c>
      <c r="H799" s="12" t="s">
        <v>2320</v>
      </c>
      <c r="I799" s="10">
        <v>45622</v>
      </c>
    </row>
    <row r="800" spans="1:9" x14ac:dyDescent="0.15">
      <c r="A800" s="9">
        <v>799</v>
      </c>
      <c r="B800" s="9" t="s">
        <v>9</v>
      </c>
      <c r="C800" s="9">
        <v>1926</v>
      </c>
      <c r="D800" s="10">
        <v>45722</v>
      </c>
      <c r="E800" s="11" t="str">
        <f>+HYPERLINK("http://trademark.i-assist.jp/data/china/image_1926th/82178603.pdf","82178603")</f>
        <v>82178603</v>
      </c>
      <c r="F800" s="12" t="s">
        <v>2321</v>
      </c>
      <c r="G800" s="9" t="s">
        <v>2322</v>
      </c>
      <c r="H800" s="9" t="s">
        <v>2323</v>
      </c>
      <c r="I800" s="10">
        <v>45622</v>
      </c>
    </row>
    <row r="801" spans="1:9" x14ac:dyDescent="0.15">
      <c r="A801" s="9">
        <v>800</v>
      </c>
      <c r="B801" s="9" t="s">
        <v>9</v>
      </c>
      <c r="C801" s="9">
        <v>1926</v>
      </c>
      <c r="D801" s="10">
        <v>45722</v>
      </c>
      <c r="E801" s="11" t="str">
        <f>+HYPERLINK("http://trademark.i-assist.jp/data/china/image_1926th/82178812.pdf","82178812")</f>
        <v>82178812</v>
      </c>
      <c r="F801" s="9" t="s">
        <v>2324</v>
      </c>
      <c r="G801" s="9" t="s">
        <v>2325</v>
      </c>
      <c r="H801" s="12" t="s">
        <v>2326</v>
      </c>
      <c r="I801" s="10">
        <v>45622</v>
      </c>
    </row>
    <row r="802" spans="1:9" x14ac:dyDescent="0.15">
      <c r="A802" s="9">
        <v>801</v>
      </c>
      <c r="B802" s="9" t="s">
        <v>9</v>
      </c>
      <c r="C802" s="9">
        <v>1926</v>
      </c>
      <c r="D802" s="10">
        <v>45722</v>
      </c>
      <c r="E802" s="11" t="str">
        <f>+HYPERLINK("http://trademark.i-assist.jp/data/china/image_1926th/82179399.pdf","82179399")</f>
        <v>82179399</v>
      </c>
      <c r="F802" s="12" t="s">
        <v>2327</v>
      </c>
      <c r="G802" s="9" t="s">
        <v>2328</v>
      </c>
      <c r="H802" s="9" t="s">
        <v>2329</v>
      </c>
      <c r="I802" s="10">
        <v>45622</v>
      </c>
    </row>
    <row r="803" spans="1:9" x14ac:dyDescent="0.15">
      <c r="A803" s="9">
        <v>802</v>
      </c>
      <c r="B803" s="9" t="s">
        <v>9</v>
      </c>
      <c r="C803" s="9">
        <v>1926</v>
      </c>
      <c r="D803" s="10">
        <v>45722</v>
      </c>
      <c r="E803" s="11" t="str">
        <f>+HYPERLINK("http://trademark.i-assist.jp/data/china/image_1926th/82179913.pdf","82179913")</f>
        <v>82179913</v>
      </c>
      <c r="F803" s="9" t="s">
        <v>2330</v>
      </c>
      <c r="G803" s="9" t="s">
        <v>106</v>
      </c>
      <c r="H803" s="9" t="s">
        <v>2331</v>
      </c>
      <c r="I803" s="10">
        <v>45622</v>
      </c>
    </row>
    <row r="804" spans="1:9" x14ac:dyDescent="0.15">
      <c r="A804" s="9">
        <v>803</v>
      </c>
      <c r="B804" s="9" t="s">
        <v>9</v>
      </c>
      <c r="C804" s="9">
        <v>1926</v>
      </c>
      <c r="D804" s="10">
        <v>45722</v>
      </c>
      <c r="E804" s="11" t="str">
        <f>+HYPERLINK("http://trademark.i-assist.jp/data/china/image_1926th/82180159.pdf","82180159")</f>
        <v>82180159</v>
      </c>
      <c r="F804" s="9" t="s">
        <v>2332</v>
      </c>
      <c r="G804" s="9" t="s">
        <v>2333</v>
      </c>
      <c r="H804" s="12" t="s">
        <v>2334</v>
      </c>
      <c r="I804" s="10">
        <v>45622</v>
      </c>
    </row>
    <row r="805" spans="1:9" x14ac:dyDescent="0.15">
      <c r="A805" s="9">
        <v>804</v>
      </c>
      <c r="B805" s="9" t="s">
        <v>9</v>
      </c>
      <c r="C805" s="9">
        <v>1926</v>
      </c>
      <c r="D805" s="10">
        <v>45722</v>
      </c>
      <c r="E805" s="11" t="str">
        <f>+HYPERLINK("http://trademark.i-assist.jp/data/china/image_1926th/82180163.pdf","82180163")</f>
        <v>82180163</v>
      </c>
      <c r="F805" s="12" t="s">
        <v>2335</v>
      </c>
      <c r="G805" s="9" t="s">
        <v>2336</v>
      </c>
      <c r="H805" s="9" t="s">
        <v>2337</v>
      </c>
      <c r="I805" s="10">
        <v>45622</v>
      </c>
    </row>
    <row r="806" spans="1:9" x14ac:dyDescent="0.15">
      <c r="A806" s="9">
        <v>805</v>
      </c>
      <c r="B806" s="9" t="s">
        <v>9</v>
      </c>
      <c r="C806" s="9">
        <v>1926</v>
      </c>
      <c r="D806" s="10">
        <v>45722</v>
      </c>
      <c r="E806" s="11" t="str">
        <f>+HYPERLINK("http://trademark.i-assist.jp/data/china/image_1926th/82180198.pdf","82180198")</f>
        <v>82180198</v>
      </c>
      <c r="F806" s="9" t="s">
        <v>2338</v>
      </c>
      <c r="G806" s="9" t="s">
        <v>2339</v>
      </c>
      <c r="H806" s="9" t="s">
        <v>2340</v>
      </c>
      <c r="I806" s="10">
        <v>45622</v>
      </c>
    </row>
    <row r="807" spans="1:9" x14ac:dyDescent="0.15">
      <c r="A807" s="9">
        <v>806</v>
      </c>
      <c r="B807" s="9" t="s">
        <v>9</v>
      </c>
      <c r="C807" s="9">
        <v>1926</v>
      </c>
      <c r="D807" s="10">
        <v>45722</v>
      </c>
      <c r="E807" s="11" t="str">
        <f>+HYPERLINK("http://trademark.i-assist.jp/data/china/image_1926th/82180506.pdf","82180506")</f>
        <v>82180506</v>
      </c>
      <c r="F807" s="9" t="s">
        <v>2341</v>
      </c>
      <c r="G807" s="9" t="s">
        <v>104</v>
      </c>
      <c r="H807" s="9" t="s">
        <v>2342</v>
      </c>
      <c r="I807" s="10">
        <v>45622</v>
      </c>
    </row>
    <row r="808" spans="1:9" x14ac:dyDescent="0.15">
      <c r="A808" s="9">
        <v>807</v>
      </c>
      <c r="B808" s="9" t="s">
        <v>9</v>
      </c>
      <c r="C808" s="9">
        <v>1926</v>
      </c>
      <c r="D808" s="10">
        <v>45722</v>
      </c>
      <c r="E808" s="11" t="str">
        <f>+HYPERLINK("http://trademark.i-assist.jp/data/china/image_1926th/82180950.pdf","82180950")</f>
        <v>82180950</v>
      </c>
      <c r="F808" s="9" t="s">
        <v>2343</v>
      </c>
      <c r="G808" s="9" t="s">
        <v>2336</v>
      </c>
      <c r="H808" s="12" t="s">
        <v>2344</v>
      </c>
      <c r="I808" s="10">
        <v>45622</v>
      </c>
    </row>
    <row r="809" spans="1:9" x14ac:dyDescent="0.15">
      <c r="A809" s="9">
        <v>808</v>
      </c>
      <c r="B809" s="9" t="s">
        <v>9</v>
      </c>
      <c r="C809" s="9">
        <v>1926</v>
      </c>
      <c r="D809" s="10">
        <v>45722</v>
      </c>
      <c r="E809" s="11" t="str">
        <f>+HYPERLINK("http://trademark.i-assist.jp/data/china/image_1926th/82181134.pdf","82181134")</f>
        <v>82181134</v>
      </c>
      <c r="F809" s="9" t="s">
        <v>2345</v>
      </c>
      <c r="G809" s="12" t="s">
        <v>2346</v>
      </c>
      <c r="H809" s="9" t="s">
        <v>2347</v>
      </c>
      <c r="I809" s="10">
        <v>45622</v>
      </c>
    </row>
    <row r="810" spans="1:9" x14ac:dyDescent="0.15">
      <c r="A810" s="9">
        <v>809</v>
      </c>
      <c r="B810" s="9" t="s">
        <v>9</v>
      </c>
      <c r="C810" s="9">
        <v>1926</v>
      </c>
      <c r="D810" s="10">
        <v>45722</v>
      </c>
      <c r="E810" s="11" t="str">
        <f>+HYPERLINK("http://trademark.i-assist.jp/data/china/image_1926th/82181276.pdf","82181276")</f>
        <v>82181276</v>
      </c>
      <c r="F810" s="9" t="s">
        <v>2348</v>
      </c>
      <c r="G810" s="9" t="s">
        <v>2349</v>
      </c>
      <c r="H810" s="9" t="s">
        <v>2350</v>
      </c>
      <c r="I810" s="10">
        <v>45622</v>
      </c>
    </row>
    <row r="811" spans="1:9" x14ac:dyDescent="0.15">
      <c r="A811" s="9">
        <v>810</v>
      </c>
      <c r="B811" s="9" t="s">
        <v>9</v>
      </c>
      <c r="C811" s="9">
        <v>1926</v>
      </c>
      <c r="D811" s="10">
        <v>45722</v>
      </c>
      <c r="E811" s="11" t="str">
        <f>+HYPERLINK("http://trademark.i-assist.jp/data/china/image_1926th/82181528.pdf","82181528")</f>
        <v>82181528</v>
      </c>
      <c r="F811" s="12" t="s">
        <v>2351</v>
      </c>
      <c r="G811" s="12" t="s">
        <v>2352</v>
      </c>
      <c r="H811" s="9" t="s">
        <v>2353</v>
      </c>
      <c r="I811" s="10">
        <v>45622</v>
      </c>
    </row>
    <row r="812" spans="1:9" x14ac:dyDescent="0.15">
      <c r="A812" s="9">
        <v>811</v>
      </c>
      <c r="B812" s="9" t="s">
        <v>9</v>
      </c>
      <c r="C812" s="9">
        <v>1926</v>
      </c>
      <c r="D812" s="10">
        <v>45722</v>
      </c>
      <c r="E812" s="11" t="str">
        <f>+HYPERLINK("http://trademark.i-assist.jp/data/china/image_1926th/82181738.pdf","82181738")</f>
        <v>82181738</v>
      </c>
      <c r="F812" s="12" t="s">
        <v>2354</v>
      </c>
      <c r="G812" s="9" t="s">
        <v>2355</v>
      </c>
      <c r="H812" s="9" t="s">
        <v>2356</v>
      </c>
      <c r="I812" s="10">
        <v>45622</v>
      </c>
    </row>
    <row r="813" spans="1:9" x14ac:dyDescent="0.15">
      <c r="A813" s="9">
        <v>812</v>
      </c>
      <c r="B813" s="9" t="s">
        <v>9</v>
      </c>
      <c r="C813" s="9">
        <v>1926</v>
      </c>
      <c r="D813" s="10">
        <v>45722</v>
      </c>
      <c r="E813" s="11" t="str">
        <f>+HYPERLINK("http://trademark.i-assist.jp/data/china/image_1926th/82181803.pdf","82181803")</f>
        <v>82181803</v>
      </c>
      <c r="F813" s="12" t="s">
        <v>2357</v>
      </c>
      <c r="G813" s="9" t="s">
        <v>2358</v>
      </c>
      <c r="H813" s="9" t="s">
        <v>2359</v>
      </c>
      <c r="I813" s="10">
        <v>45622</v>
      </c>
    </row>
    <row r="814" spans="1:9" x14ac:dyDescent="0.15">
      <c r="A814" s="9">
        <v>813</v>
      </c>
      <c r="B814" s="9" t="s">
        <v>9</v>
      </c>
      <c r="C814" s="9">
        <v>1926</v>
      </c>
      <c r="D814" s="10">
        <v>45722</v>
      </c>
      <c r="E814" s="11" t="str">
        <f>+HYPERLINK("http://trademark.i-assist.jp/data/china/image_1926th/82182549.pdf","82182549")</f>
        <v>82182549</v>
      </c>
      <c r="F814" s="9" t="s">
        <v>2360</v>
      </c>
      <c r="G814" s="9" t="s">
        <v>2361</v>
      </c>
      <c r="H814" s="9" t="s">
        <v>2362</v>
      </c>
      <c r="I814" s="10">
        <v>45622</v>
      </c>
    </row>
    <row r="815" spans="1:9" x14ac:dyDescent="0.15">
      <c r="A815" s="9">
        <v>814</v>
      </c>
      <c r="B815" s="9" t="s">
        <v>9</v>
      </c>
      <c r="C815" s="9">
        <v>1926</v>
      </c>
      <c r="D815" s="10">
        <v>45722</v>
      </c>
      <c r="E815" s="11" t="str">
        <f>+HYPERLINK("http://trademark.i-assist.jp/data/china/image_1926th/82183090.pdf","82183090")</f>
        <v>82183090</v>
      </c>
      <c r="F815" s="9" t="s">
        <v>2363</v>
      </c>
      <c r="G815" s="9" t="s">
        <v>2364</v>
      </c>
      <c r="H815" s="9" t="s">
        <v>2365</v>
      </c>
      <c r="I815" s="10">
        <v>45622</v>
      </c>
    </row>
    <row r="816" spans="1:9" x14ac:dyDescent="0.15">
      <c r="A816" s="9">
        <v>815</v>
      </c>
      <c r="B816" s="9" t="s">
        <v>9</v>
      </c>
      <c r="C816" s="9">
        <v>1926</v>
      </c>
      <c r="D816" s="10">
        <v>45722</v>
      </c>
      <c r="E816" s="11" t="str">
        <f>+HYPERLINK("http://trademark.i-assist.jp/data/china/image_1926th/82183409.pdf","82183409")</f>
        <v>82183409</v>
      </c>
      <c r="F816" s="9" t="s">
        <v>2366</v>
      </c>
      <c r="G816" s="12" t="s">
        <v>2367</v>
      </c>
      <c r="H816" s="9" t="s">
        <v>2368</v>
      </c>
      <c r="I816" s="10">
        <v>45622</v>
      </c>
    </row>
    <row r="817" spans="1:9" x14ac:dyDescent="0.15">
      <c r="A817" s="9">
        <v>816</v>
      </c>
      <c r="B817" s="9" t="s">
        <v>9</v>
      </c>
      <c r="C817" s="9">
        <v>1926</v>
      </c>
      <c r="D817" s="10">
        <v>45722</v>
      </c>
      <c r="E817" s="11" t="str">
        <f>+HYPERLINK("http://trademark.i-assist.jp/data/china/image_1926th/82184328.pdf","82184328")</f>
        <v>82184328</v>
      </c>
      <c r="F817" s="9" t="s">
        <v>2369</v>
      </c>
      <c r="G817" s="9" t="s">
        <v>2370</v>
      </c>
      <c r="H817" s="9" t="s">
        <v>2371</v>
      </c>
      <c r="I817" s="10">
        <v>45622</v>
      </c>
    </row>
    <row r="818" spans="1:9" x14ac:dyDescent="0.15">
      <c r="A818" s="9">
        <v>817</v>
      </c>
      <c r="B818" s="9" t="s">
        <v>9</v>
      </c>
      <c r="C818" s="9">
        <v>1926</v>
      </c>
      <c r="D818" s="10">
        <v>45722</v>
      </c>
      <c r="E818" s="11" t="str">
        <f>+HYPERLINK("http://trademark.i-assist.jp/data/china/image_1926th/82184356.pdf","82184356")</f>
        <v>82184356</v>
      </c>
      <c r="F818" s="9" t="s">
        <v>2372</v>
      </c>
      <c r="G818" s="12" t="s">
        <v>2373</v>
      </c>
      <c r="H818" s="12" t="s">
        <v>2374</v>
      </c>
      <c r="I818" s="10">
        <v>45622</v>
      </c>
    </row>
    <row r="819" spans="1:9" x14ac:dyDescent="0.15">
      <c r="A819" s="9">
        <v>818</v>
      </c>
      <c r="B819" s="9" t="s">
        <v>9</v>
      </c>
      <c r="C819" s="9">
        <v>1926</v>
      </c>
      <c r="D819" s="10">
        <v>45722</v>
      </c>
      <c r="E819" s="11" t="str">
        <f>+HYPERLINK("http://trademark.i-assist.jp/data/china/image_1926th/82184368.pdf","82184368")</f>
        <v>82184368</v>
      </c>
      <c r="F819" s="12" t="s">
        <v>2375</v>
      </c>
      <c r="G819" s="12" t="s">
        <v>2376</v>
      </c>
      <c r="H819" s="12" t="s">
        <v>2377</v>
      </c>
      <c r="I819" s="10">
        <v>45622</v>
      </c>
    </row>
    <row r="820" spans="1:9" x14ac:dyDescent="0.15">
      <c r="A820" s="9">
        <v>819</v>
      </c>
      <c r="B820" s="9" t="s">
        <v>9</v>
      </c>
      <c r="C820" s="9">
        <v>1926</v>
      </c>
      <c r="D820" s="10">
        <v>45722</v>
      </c>
      <c r="E820" s="11" t="str">
        <f>+HYPERLINK("http://trademark.i-assist.jp/data/china/image_1926th/82184373.pdf","82184373")</f>
        <v>82184373</v>
      </c>
      <c r="F820" s="9" t="s">
        <v>2378</v>
      </c>
      <c r="G820" s="9" t="s">
        <v>2379</v>
      </c>
      <c r="H820" s="9" t="s">
        <v>2380</v>
      </c>
      <c r="I820" s="10">
        <v>45622</v>
      </c>
    </row>
    <row r="821" spans="1:9" x14ac:dyDescent="0.15">
      <c r="A821" s="9">
        <v>820</v>
      </c>
      <c r="B821" s="9" t="s">
        <v>9</v>
      </c>
      <c r="C821" s="9">
        <v>1926</v>
      </c>
      <c r="D821" s="10">
        <v>45722</v>
      </c>
      <c r="E821" s="11" t="str">
        <f>+HYPERLINK("http://trademark.i-assist.jp/data/china/image_1926th/82184407.pdf","82184407")</f>
        <v>82184407</v>
      </c>
      <c r="F821" s="9" t="s">
        <v>2381</v>
      </c>
      <c r="G821" s="12" t="s">
        <v>118</v>
      </c>
      <c r="H821" s="9" t="s">
        <v>2382</v>
      </c>
      <c r="I821" s="10">
        <v>45622</v>
      </c>
    </row>
    <row r="822" spans="1:9" x14ac:dyDescent="0.15">
      <c r="A822" s="9">
        <v>821</v>
      </c>
      <c r="B822" s="9" t="s">
        <v>9</v>
      </c>
      <c r="C822" s="9">
        <v>1926</v>
      </c>
      <c r="D822" s="10">
        <v>45722</v>
      </c>
      <c r="E822" s="11" t="str">
        <f>+HYPERLINK("http://trademark.i-assist.jp/data/china/image_1926th/82184475.pdf","82184475")</f>
        <v>82184475</v>
      </c>
      <c r="F822" s="9" t="s">
        <v>2383</v>
      </c>
      <c r="G822" s="12" t="s">
        <v>2384</v>
      </c>
      <c r="H822" s="9" t="s">
        <v>2385</v>
      </c>
      <c r="I822" s="10">
        <v>45622</v>
      </c>
    </row>
    <row r="823" spans="1:9" x14ac:dyDescent="0.15">
      <c r="A823" s="9">
        <v>822</v>
      </c>
      <c r="B823" s="9" t="s">
        <v>9</v>
      </c>
      <c r="C823" s="9">
        <v>1926</v>
      </c>
      <c r="D823" s="10">
        <v>45722</v>
      </c>
      <c r="E823" s="11" t="str">
        <f>+HYPERLINK("http://trademark.i-assist.jp/data/china/image_1926th/82184542.pdf","82184542")</f>
        <v>82184542</v>
      </c>
      <c r="F823" s="9" t="s">
        <v>2386</v>
      </c>
      <c r="G823" s="9" t="s">
        <v>2387</v>
      </c>
      <c r="H823" s="9" t="s">
        <v>2388</v>
      </c>
      <c r="I823" s="10">
        <v>45622</v>
      </c>
    </row>
    <row r="824" spans="1:9" x14ac:dyDescent="0.15">
      <c r="A824" s="9">
        <v>823</v>
      </c>
      <c r="B824" s="9" t="s">
        <v>9</v>
      </c>
      <c r="C824" s="9">
        <v>1926</v>
      </c>
      <c r="D824" s="10">
        <v>45722</v>
      </c>
      <c r="E824" s="11" t="str">
        <f>+HYPERLINK("http://trademark.i-assist.jp/data/china/image_1926th/82184723.pdf","82184723")</f>
        <v>82184723</v>
      </c>
      <c r="F824" s="9" t="s">
        <v>2389</v>
      </c>
      <c r="G824" s="9" t="s">
        <v>2336</v>
      </c>
      <c r="H824" s="9" t="s">
        <v>2390</v>
      </c>
      <c r="I824" s="10">
        <v>45622</v>
      </c>
    </row>
    <row r="825" spans="1:9" x14ac:dyDescent="0.15">
      <c r="A825" s="9">
        <v>824</v>
      </c>
      <c r="B825" s="9" t="s">
        <v>9</v>
      </c>
      <c r="C825" s="9">
        <v>1926</v>
      </c>
      <c r="D825" s="10">
        <v>45722</v>
      </c>
      <c r="E825" s="11" t="str">
        <f>+HYPERLINK("http://trademark.i-assist.jp/data/china/image_1926th/82184989.pdf","82184989")</f>
        <v>82184989</v>
      </c>
      <c r="F825" s="12" t="s">
        <v>2391</v>
      </c>
      <c r="G825" s="9" t="s">
        <v>2339</v>
      </c>
      <c r="H825" s="9" t="s">
        <v>2392</v>
      </c>
      <c r="I825" s="10">
        <v>45622</v>
      </c>
    </row>
    <row r="826" spans="1:9" x14ac:dyDescent="0.15">
      <c r="A826" s="9">
        <v>825</v>
      </c>
      <c r="B826" s="9" t="s">
        <v>9</v>
      </c>
      <c r="C826" s="9">
        <v>1926</v>
      </c>
      <c r="D826" s="10">
        <v>45722</v>
      </c>
      <c r="E826" s="11" t="str">
        <f>+HYPERLINK("http://trademark.i-assist.jp/data/china/image_1926th/82185302.pdf","82185302")</f>
        <v>82185302</v>
      </c>
      <c r="F826" s="9" t="s">
        <v>2393</v>
      </c>
      <c r="G826" s="9" t="s">
        <v>2394</v>
      </c>
      <c r="H826" s="12" t="s">
        <v>2395</v>
      </c>
      <c r="I826" s="10">
        <v>45622</v>
      </c>
    </row>
    <row r="827" spans="1:9" x14ac:dyDescent="0.15">
      <c r="A827" s="9">
        <v>826</v>
      </c>
      <c r="B827" s="9" t="s">
        <v>9</v>
      </c>
      <c r="C827" s="9">
        <v>1926</v>
      </c>
      <c r="D827" s="10">
        <v>45722</v>
      </c>
      <c r="E827" s="11" t="str">
        <f>+HYPERLINK("http://trademark.i-assist.jp/data/china/image_1926th/82185320.pdf","82185320")</f>
        <v>82185320</v>
      </c>
      <c r="F827" s="9" t="s">
        <v>2396</v>
      </c>
      <c r="G827" s="9" t="s">
        <v>2397</v>
      </c>
      <c r="H827" s="9" t="s">
        <v>2398</v>
      </c>
      <c r="I827" s="10">
        <v>45622</v>
      </c>
    </row>
    <row r="828" spans="1:9" x14ac:dyDescent="0.15">
      <c r="A828" s="9">
        <v>827</v>
      </c>
      <c r="B828" s="9" t="s">
        <v>9</v>
      </c>
      <c r="C828" s="9">
        <v>1926</v>
      </c>
      <c r="D828" s="10">
        <v>45722</v>
      </c>
      <c r="E828" s="11" t="str">
        <f>+HYPERLINK("http://trademark.i-assist.jp/data/china/image_1926th/82185452.pdf","82185452")</f>
        <v>82185452</v>
      </c>
      <c r="F828" s="9" t="s">
        <v>2399</v>
      </c>
      <c r="G828" s="9" t="s">
        <v>2400</v>
      </c>
      <c r="H828" s="9" t="s">
        <v>2401</v>
      </c>
      <c r="I828" s="10">
        <v>45622</v>
      </c>
    </row>
    <row r="829" spans="1:9" x14ac:dyDescent="0.15">
      <c r="A829" s="9">
        <v>828</v>
      </c>
      <c r="B829" s="9" t="s">
        <v>9</v>
      </c>
      <c r="C829" s="9">
        <v>1926</v>
      </c>
      <c r="D829" s="10">
        <v>45722</v>
      </c>
      <c r="E829" s="11" t="str">
        <f>+HYPERLINK("http://trademark.i-assist.jp/data/china/image_1926th/82185618.pdf","82185618")</f>
        <v>82185618</v>
      </c>
      <c r="F829" s="9" t="s">
        <v>2402</v>
      </c>
      <c r="G829" s="12" t="s">
        <v>2403</v>
      </c>
      <c r="H829" s="9" t="s">
        <v>2404</v>
      </c>
      <c r="I829" s="10">
        <v>45622</v>
      </c>
    </row>
    <row r="830" spans="1:9" x14ac:dyDescent="0.15">
      <c r="A830" s="9">
        <v>829</v>
      </c>
      <c r="B830" s="9" t="s">
        <v>9</v>
      </c>
      <c r="C830" s="9">
        <v>1926</v>
      </c>
      <c r="D830" s="10">
        <v>45722</v>
      </c>
      <c r="E830" s="11" t="str">
        <f>+HYPERLINK("http://trademark.i-assist.jp/data/china/image_1926th/82185845.pdf","82185845")</f>
        <v>82185845</v>
      </c>
      <c r="F830" s="9" t="s">
        <v>2405</v>
      </c>
      <c r="G830" s="12" t="s">
        <v>2406</v>
      </c>
      <c r="H830" s="9" t="s">
        <v>2407</v>
      </c>
      <c r="I830" s="10">
        <v>45622</v>
      </c>
    </row>
    <row r="831" spans="1:9" x14ac:dyDescent="0.15">
      <c r="A831" s="9">
        <v>830</v>
      </c>
      <c r="B831" s="9" t="s">
        <v>9</v>
      </c>
      <c r="C831" s="9">
        <v>1926</v>
      </c>
      <c r="D831" s="10">
        <v>45722</v>
      </c>
      <c r="E831" s="11" t="str">
        <f>+HYPERLINK("http://trademark.i-assist.jp/data/china/image_1926th/82186073.pdf","82186073")</f>
        <v>82186073</v>
      </c>
      <c r="F831" s="9" t="s">
        <v>2408</v>
      </c>
      <c r="G831" s="9" t="s">
        <v>2409</v>
      </c>
      <c r="H831" s="12" t="s">
        <v>2410</v>
      </c>
      <c r="I831" s="10">
        <v>45622</v>
      </c>
    </row>
    <row r="832" spans="1:9" x14ac:dyDescent="0.15">
      <c r="A832" s="9">
        <v>831</v>
      </c>
      <c r="B832" s="9" t="s">
        <v>9</v>
      </c>
      <c r="C832" s="9">
        <v>1926</v>
      </c>
      <c r="D832" s="10">
        <v>45722</v>
      </c>
      <c r="E832" s="11" t="str">
        <f>+HYPERLINK("http://trademark.i-assist.jp/data/china/image_1926th/82186315.pdf","82186315")</f>
        <v>82186315</v>
      </c>
      <c r="F832" s="9" t="s">
        <v>2411</v>
      </c>
      <c r="G832" s="9" t="s">
        <v>2412</v>
      </c>
      <c r="H832" s="9" t="s">
        <v>2413</v>
      </c>
      <c r="I832" s="10">
        <v>45622</v>
      </c>
    </row>
    <row r="833" spans="1:9" x14ac:dyDescent="0.15">
      <c r="A833" s="9">
        <v>832</v>
      </c>
      <c r="B833" s="9" t="s">
        <v>9</v>
      </c>
      <c r="C833" s="9">
        <v>1926</v>
      </c>
      <c r="D833" s="10">
        <v>45722</v>
      </c>
      <c r="E833" s="11" t="str">
        <f>+HYPERLINK("http://trademark.i-assist.jp/data/china/image_1926th/82186546.pdf","82186546")</f>
        <v>82186546</v>
      </c>
      <c r="F833" s="12" t="s">
        <v>2414</v>
      </c>
      <c r="G833" s="12" t="s">
        <v>118</v>
      </c>
      <c r="H833" s="9" t="s">
        <v>2415</v>
      </c>
      <c r="I833" s="10">
        <v>45622</v>
      </c>
    </row>
    <row r="834" spans="1:9" x14ac:dyDescent="0.15">
      <c r="A834" s="9">
        <v>833</v>
      </c>
      <c r="B834" s="9" t="s">
        <v>9</v>
      </c>
      <c r="C834" s="9">
        <v>1926</v>
      </c>
      <c r="D834" s="10">
        <v>45722</v>
      </c>
      <c r="E834" s="11" t="str">
        <f>+HYPERLINK("http://trademark.i-assist.jp/data/china/image_1926th/82187246.pdf","82187246")</f>
        <v>82187246</v>
      </c>
      <c r="F834" s="9" t="s">
        <v>2416</v>
      </c>
      <c r="G834" s="12" t="s">
        <v>2417</v>
      </c>
      <c r="H834" s="9" t="s">
        <v>2418</v>
      </c>
      <c r="I834" s="10">
        <v>45622</v>
      </c>
    </row>
    <row r="835" spans="1:9" x14ac:dyDescent="0.15">
      <c r="A835" s="9">
        <v>834</v>
      </c>
      <c r="B835" s="9" t="s">
        <v>9</v>
      </c>
      <c r="C835" s="9">
        <v>1926</v>
      </c>
      <c r="D835" s="10">
        <v>45722</v>
      </c>
      <c r="E835" s="11" t="str">
        <f>+HYPERLINK("http://trademark.i-assist.jp/data/china/image_1926th/82187520.pdf","82187520")</f>
        <v>82187520</v>
      </c>
      <c r="F835" s="9" t="s">
        <v>2419</v>
      </c>
      <c r="G835" s="9" t="s">
        <v>100</v>
      </c>
      <c r="H835" s="9" t="s">
        <v>2420</v>
      </c>
      <c r="I835" s="10">
        <v>45622</v>
      </c>
    </row>
    <row r="836" spans="1:9" x14ac:dyDescent="0.15">
      <c r="A836" s="9">
        <v>835</v>
      </c>
      <c r="B836" s="9" t="s">
        <v>9</v>
      </c>
      <c r="C836" s="9">
        <v>1926</v>
      </c>
      <c r="D836" s="10">
        <v>45722</v>
      </c>
      <c r="E836" s="11" t="str">
        <f>+HYPERLINK("http://trademark.i-assist.jp/data/china/image_1926th/82187565.pdf","82187565")</f>
        <v>82187565</v>
      </c>
      <c r="F836" s="9" t="s">
        <v>2421</v>
      </c>
      <c r="G836" s="9" t="s">
        <v>106</v>
      </c>
      <c r="H836" s="9" t="s">
        <v>2422</v>
      </c>
      <c r="I836" s="10">
        <v>45622</v>
      </c>
    </row>
    <row r="837" spans="1:9" x14ac:dyDescent="0.15">
      <c r="A837" s="9">
        <v>836</v>
      </c>
      <c r="B837" s="9" t="s">
        <v>9</v>
      </c>
      <c r="C837" s="9">
        <v>1926</v>
      </c>
      <c r="D837" s="10">
        <v>45722</v>
      </c>
      <c r="E837" s="11" t="str">
        <f>+HYPERLINK("http://trademark.i-assist.jp/data/china/image_1926th/82187659.pdf","82187659")</f>
        <v>82187659</v>
      </c>
      <c r="F837" s="9" t="s">
        <v>2423</v>
      </c>
      <c r="G837" s="9" t="s">
        <v>2424</v>
      </c>
      <c r="H837" s="9" t="s">
        <v>2425</v>
      </c>
      <c r="I837" s="10">
        <v>45622</v>
      </c>
    </row>
    <row r="838" spans="1:9" x14ac:dyDescent="0.15">
      <c r="A838" s="9">
        <v>837</v>
      </c>
      <c r="B838" s="9" t="s">
        <v>9</v>
      </c>
      <c r="C838" s="9">
        <v>1926</v>
      </c>
      <c r="D838" s="10">
        <v>45722</v>
      </c>
      <c r="E838" s="11" t="str">
        <f>+HYPERLINK("http://trademark.i-assist.jp/data/china/image_1926th/82187687.pdf","82187687")</f>
        <v>82187687</v>
      </c>
      <c r="F838" s="9" t="s">
        <v>2426</v>
      </c>
      <c r="G838" s="9" t="s">
        <v>2083</v>
      </c>
      <c r="H838" s="9" t="s">
        <v>2427</v>
      </c>
      <c r="I838" s="10">
        <v>45622</v>
      </c>
    </row>
    <row r="839" spans="1:9" x14ac:dyDescent="0.15">
      <c r="A839" s="9">
        <v>838</v>
      </c>
      <c r="B839" s="9" t="s">
        <v>9</v>
      </c>
      <c r="C839" s="9">
        <v>1926</v>
      </c>
      <c r="D839" s="10">
        <v>45722</v>
      </c>
      <c r="E839" s="11" t="str">
        <f>+HYPERLINK("http://trademark.i-assist.jp/data/china/image_1926th/82187862.pdf","82187862")</f>
        <v>82187862</v>
      </c>
      <c r="F839" s="12" t="s">
        <v>20</v>
      </c>
      <c r="G839" s="9" t="s">
        <v>2428</v>
      </c>
      <c r="H839" s="9" t="s">
        <v>2429</v>
      </c>
      <c r="I839" s="10">
        <v>45622</v>
      </c>
    </row>
    <row r="840" spans="1:9" x14ac:dyDescent="0.15">
      <c r="A840" s="9">
        <v>839</v>
      </c>
      <c r="B840" s="9" t="s">
        <v>9</v>
      </c>
      <c r="C840" s="9">
        <v>1926</v>
      </c>
      <c r="D840" s="10">
        <v>45722</v>
      </c>
      <c r="E840" s="11" t="str">
        <f>+HYPERLINK("http://trademark.i-assist.jp/data/china/image_1926th/82188209.pdf","82188209")</f>
        <v>82188209</v>
      </c>
      <c r="F840" s="12" t="s">
        <v>2430</v>
      </c>
      <c r="G840" s="9" t="s">
        <v>2431</v>
      </c>
      <c r="H840" s="9" t="s">
        <v>2432</v>
      </c>
      <c r="I840" s="10">
        <v>45622</v>
      </c>
    </row>
    <row r="841" spans="1:9" x14ac:dyDescent="0.15">
      <c r="A841" s="9">
        <v>840</v>
      </c>
      <c r="B841" s="9" t="s">
        <v>9</v>
      </c>
      <c r="C841" s="9">
        <v>1926</v>
      </c>
      <c r="D841" s="10">
        <v>45722</v>
      </c>
      <c r="E841" s="11" t="str">
        <f>+HYPERLINK("http://trademark.i-assist.jp/data/china/image_1926th/82188450.pdf","82188450")</f>
        <v>82188450</v>
      </c>
      <c r="F841" s="12" t="s">
        <v>2433</v>
      </c>
      <c r="G841" s="9" t="s">
        <v>2434</v>
      </c>
      <c r="H841" s="9" t="s">
        <v>2435</v>
      </c>
      <c r="I841" s="10">
        <v>45622</v>
      </c>
    </row>
    <row r="842" spans="1:9" x14ac:dyDescent="0.15">
      <c r="A842" s="9">
        <v>841</v>
      </c>
      <c r="B842" s="9" t="s">
        <v>9</v>
      </c>
      <c r="C842" s="9">
        <v>1926</v>
      </c>
      <c r="D842" s="10">
        <v>45722</v>
      </c>
      <c r="E842" s="11" t="str">
        <f>+HYPERLINK("http://trademark.i-assist.jp/data/china/image_1926th/82189183.pdf","82189183")</f>
        <v>82189183</v>
      </c>
      <c r="F842" s="9" t="s">
        <v>2436</v>
      </c>
      <c r="G842" s="12" t="s">
        <v>2346</v>
      </c>
      <c r="H842" s="12" t="s">
        <v>2437</v>
      </c>
      <c r="I842" s="10">
        <v>45622</v>
      </c>
    </row>
    <row r="843" spans="1:9" x14ac:dyDescent="0.15">
      <c r="A843" s="9">
        <v>842</v>
      </c>
      <c r="B843" s="9" t="s">
        <v>9</v>
      </c>
      <c r="C843" s="9">
        <v>1926</v>
      </c>
      <c r="D843" s="10">
        <v>45722</v>
      </c>
      <c r="E843" s="11" t="str">
        <f>+HYPERLINK("http://trademark.i-assist.jp/data/china/image_1926th/82189253.pdf","82189253")</f>
        <v>82189253</v>
      </c>
      <c r="F843" s="12" t="s">
        <v>2438</v>
      </c>
      <c r="G843" s="9" t="s">
        <v>2339</v>
      </c>
      <c r="H843" s="9" t="s">
        <v>2439</v>
      </c>
      <c r="I843" s="10">
        <v>45622</v>
      </c>
    </row>
    <row r="844" spans="1:9" x14ac:dyDescent="0.15">
      <c r="A844" s="9">
        <v>843</v>
      </c>
      <c r="B844" s="9" t="s">
        <v>9</v>
      </c>
      <c r="C844" s="9">
        <v>1926</v>
      </c>
      <c r="D844" s="10">
        <v>45722</v>
      </c>
      <c r="E844" s="11" t="str">
        <f>+HYPERLINK("http://trademark.i-assist.jp/data/china/image_1926th/82189903.pdf","82189903")</f>
        <v>82189903</v>
      </c>
      <c r="F844" s="9" t="s">
        <v>2440</v>
      </c>
      <c r="G844" s="9" t="s">
        <v>2336</v>
      </c>
      <c r="H844" s="9" t="s">
        <v>2441</v>
      </c>
      <c r="I844" s="10">
        <v>45622</v>
      </c>
    </row>
    <row r="845" spans="1:9" x14ac:dyDescent="0.15">
      <c r="A845" s="9">
        <v>844</v>
      </c>
      <c r="B845" s="9" t="s">
        <v>9</v>
      </c>
      <c r="C845" s="9">
        <v>1926</v>
      </c>
      <c r="D845" s="10">
        <v>45722</v>
      </c>
      <c r="E845" s="11" t="str">
        <f>+HYPERLINK("http://trademark.i-assist.jp/data/china/image_1926th/82190388.pdf","82190388")</f>
        <v>82190388</v>
      </c>
      <c r="F845" s="9" t="s">
        <v>2442</v>
      </c>
      <c r="G845" s="12" t="s">
        <v>118</v>
      </c>
      <c r="H845" s="9" t="s">
        <v>2443</v>
      </c>
      <c r="I845" s="10">
        <v>45622</v>
      </c>
    </row>
    <row r="846" spans="1:9" x14ac:dyDescent="0.15">
      <c r="A846" s="9">
        <v>845</v>
      </c>
      <c r="B846" s="9" t="s">
        <v>9</v>
      </c>
      <c r="C846" s="9">
        <v>1926</v>
      </c>
      <c r="D846" s="10">
        <v>45722</v>
      </c>
      <c r="E846" s="11" t="str">
        <f>+HYPERLINK("http://trademark.i-assist.jp/data/china/image_1926th/82190452.pdf","82190452")</f>
        <v>82190452</v>
      </c>
      <c r="F846" s="9" t="s">
        <v>2444</v>
      </c>
      <c r="G846" s="9" t="s">
        <v>2445</v>
      </c>
      <c r="H846" s="9" t="s">
        <v>2446</v>
      </c>
      <c r="I846" s="10">
        <v>45622</v>
      </c>
    </row>
    <row r="847" spans="1:9" x14ac:dyDescent="0.15">
      <c r="A847" s="9">
        <v>846</v>
      </c>
      <c r="B847" s="9" t="s">
        <v>9</v>
      </c>
      <c r="C847" s="9">
        <v>1926</v>
      </c>
      <c r="D847" s="10">
        <v>45722</v>
      </c>
      <c r="E847" s="11" t="str">
        <f>+HYPERLINK("http://trademark.i-assist.jp/data/china/image_1926th/82190659.pdf","82190659")</f>
        <v>82190659</v>
      </c>
      <c r="F847" s="9" t="s">
        <v>2447</v>
      </c>
      <c r="G847" s="12" t="s">
        <v>2448</v>
      </c>
      <c r="H847" s="9" t="s">
        <v>2449</v>
      </c>
      <c r="I847" s="10">
        <v>45622</v>
      </c>
    </row>
    <row r="848" spans="1:9" x14ac:dyDescent="0.15">
      <c r="A848" s="9">
        <v>847</v>
      </c>
      <c r="B848" s="9" t="s">
        <v>9</v>
      </c>
      <c r="C848" s="9">
        <v>1926</v>
      </c>
      <c r="D848" s="10">
        <v>45722</v>
      </c>
      <c r="E848" s="11" t="str">
        <f>+HYPERLINK("http://trademark.i-assist.jp/data/china/image_1926th/82190916.pdf","82190916")</f>
        <v>82190916</v>
      </c>
      <c r="F848" s="9" t="s">
        <v>2450</v>
      </c>
      <c r="G848" s="9" t="s">
        <v>110</v>
      </c>
      <c r="H848" s="9" t="s">
        <v>2451</v>
      </c>
      <c r="I848" s="10">
        <v>45622</v>
      </c>
    </row>
    <row r="849" spans="1:9" x14ac:dyDescent="0.15">
      <c r="A849" s="9">
        <v>848</v>
      </c>
      <c r="B849" s="9" t="s">
        <v>9</v>
      </c>
      <c r="C849" s="9">
        <v>1926</v>
      </c>
      <c r="D849" s="10">
        <v>45722</v>
      </c>
      <c r="E849" s="11" t="str">
        <f>+HYPERLINK("http://trademark.i-assist.jp/data/china/image_1926th/82191408.pdf","82191408")</f>
        <v>82191408</v>
      </c>
      <c r="F849" s="9" t="s">
        <v>2452</v>
      </c>
      <c r="G849" s="9" t="s">
        <v>2453</v>
      </c>
      <c r="H849" s="9" t="s">
        <v>2454</v>
      </c>
      <c r="I849" s="10">
        <v>45622</v>
      </c>
    </row>
    <row r="850" spans="1:9" x14ac:dyDescent="0.15">
      <c r="A850" s="9">
        <v>849</v>
      </c>
      <c r="B850" s="9" t="s">
        <v>9</v>
      </c>
      <c r="C850" s="9">
        <v>1926</v>
      </c>
      <c r="D850" s="10">
        <v>45722</v>
      </c>
      <c r="E850" s="11" t="str">
        <f>+HYPERLINK("http://trademark.i-assist.jp/data/china/image_1926th/82191580.pdf","82191580")</f>
        <v>82191580</v>
      </c>
      <c r="F850" s="9" t="s">
        <v>2455</v>
      </c>
      <c r="G850" s="9" t="s">
        <v>110</v>
      </c>
      <c r="H850" s="9" t="s">
        <v>2456</v>
      </c>
      <c r="I850" s="10">
        <v>45622</v>
      </c>
    </row>
    <row r="851" spans="1:9" x14ac:dyDescent="0.15">
      <c r="A851" s="9">
        <v>850</v>
      </c>
      <c r="B851" s="9" t="s">
        <v>9</v>
      </c>
      <c r="C851" s="9">
        <v>1926</v>
      </c>
      <c r="D851" s="10">
        <v>45722</v>
      </c>
      <c r="E851" s="11" t="str">
        <f>+HYPERLINK("http://trademark.i-assist.jp/data/china/image_1926th/82191615.pdf","82191615")</f>
        <v>82191615</v>
      </c>
      <c r="F851" s="9" t="s">
        <v>2457</v>
      </c>
      <c r="G851" s="9" t="s">
        <v>2458</v>
      </c>
      <c r="H851" s="9" t="s">
        <v>2459</v>
      </c>
      <c r="I851" s="10">
        <v>45622</v>
      </c>
    </row>
    <row r="852" spans="1:9" x14ac:dyDescent="0.15">
      <c r="A852" s="9">
        <v>851</v>
      </c>
      <c r="B852" s="9" t="s">
        <v>9</v>
      </c>
      <c r="C852" s="9">
        <v>1926</v>
      </c>
      <c r="D852" s="10">
        <v>45722</v>
      </c>
      <c r="E852" s="11" t="str">
        <f>+HYPERLINK("http://trademark.i-assist.jp/data/china/image_1926th/82192154.pdf","82192154")</f>
        <v>82192154</v>
      </c>
      <c r="F852" s="9" t="s">
        <v>2460</v>
      </c>
      <c r="G852" s="9" t="s">
        <v>17</v>
      </c>
      <c r="H852" s="9" t="s">
        <v>2461</v>
      </c>
      <c r="I852" s="10">
        <v>45622</v>
      </c>
    </row>
    <row r="853" spans="1:9" x14ac:dyDescent="0.15">
      <c r="A853" s="9">
        <v>852</v>
      </c>
      <c r="B853" s="9" t="s">
        <v>9</v>
      </c>
      <c r="C853" s="9">
        <v>1926</v>
      </c>
      <c r="D853" s="10">
        <v>45722</v>
      </c>
      <c r="E853" s="11" t="str">
        <f>+HYPERLINK("http://trademark.i-assist.jp/data/china/image_1926th/82192560.pdf","82192560")</f>
        <v>82192560</v>
      </c>
      <c r="F853" s="9" t="s">
        <v>2462</v>
      </c>
      <c r="G853" s="9" t="s">
        <v>2317</v>
      </c>
      <c r="H853" s="9" t="s">
        <v>2463</v>
      </c>
      <c r="I853" s="10">
        <v>45622</v>
      </c>
    </row>
    <row r="854" spans="1:9" x14ac:dyDescent="0.15">
      <c r="A854" s="9">
        <v>853</v>
      </c>
      <c r="B854" s="9" t="s">
        <v>9</v>
      </c>
      <c r="C854" s="9">
        <v>1926</v>
      </c>
      <c r="D854" s="10">
        <v>45722</v>
      </c>
      <c r="E854" s="11" t="str">
        <f>+HYPERLINK("http://trademark.i-assist.jp/data/china/image_1926th/82193375.pdf","82193375")</f>
        <v>82193375</v>
      </c>
      <c r="F854" s="9" t="s">
        <v>2464</v>
      </c>
      <c r="G854" s="9" t="s">
        <v>2465</v>
      </c>
      <c r="H854" s="9" t="s">
        <v>2466</v>
      </c>
      <c r="I854" s="10">
        <v>45622</v>
      </c>
    </row>
    <row r="855" spans="1:9" x14ac:dyDescent="0.15">
      <c r="A855" s="9">
        <v>854</v>
      </c>
      <c r="B855" s="9" t="s">
        <v>9</v>
      </c>
      <c r="C855" s="9">
        <v>1926</v>
      </c>
      <c r="D855" s="10">
        <v>45722</v>
      </c>
      <c r="E855" s="11" t="str">
        <f>+HYPERLINK("http://trademark.i-assist.jp/data/china/image_1926th/82193661.pdf","82193661")</f>
        <v>82193661</v>
      </c>
      <c r="F855" s="9" t="s">
        <v>2467</v>
      </c>
      <c r="G855" s="9" t="s">
        <v>2468</v>
      </c>
      <c r="H855" s="9" t="s">
        <v>2469</v>
      </c>
      <c r="I855" s="10">
        <v>45622</v>
      </c>
    </row>
    <row r="856" spans="1:9" x14ac:dyDescent="0.15">
      <c r="A856" s="9">
        <v>855</v>
      </c>
      <c r="B856" s="9" t="s">
        <v>9</v>
      </c>
      <c r="C856" s="9">
        <v>1926</v>
      </c>
      <c r="D856" s="10">
        <v>45722</v>
      </c>
      <c r="E856" s="11" t="str">
        <f>+HYPERLINK("http://trademark.i-assist.jp/data/china/image_1926th/82193997.pdf","82193997")</f>
        <v>82193997</v>
      </c>
      <c r="F856" s="9" t="s">
        <v>2470</v>
      </c>
      <c r="G856" s="9" t="s">
        <v>2471</v>
      </c>
      <c r="H856" s="9" t="s">
        <v>2472</v>
      </c>
      <c r="I856" s="10">
        <v>45622</v>
      </c>
    </row>
    <row r="857" spans="1:9" x14ac:dyDescent="0.15">
      <c r="A857" s="9">
        <v>856</v>
      </c>
      <c r="B857" s="9" t="s">
        <v>9</v>
      </c>
      <c r="C857" s="9">
        <v>1926</v>
      </c>
      <c r="D857" s="10">
        <v>45722</v>
      </c>
      <c r="E857" s="11" t="str">
        <f>+HYPERLINK("http://trademark.i-assist.jp/data/china/image_1926th/82194153.pdf","82194153")</f>
        <v>82194153</v>
      </c>
      <c r="F857" s="12" t="s">
        <v>2473</v>
      </c>
      <c r="G857" s="13" t="s">
        <v>2474</v>
      </c>
      <c r="H857" s="9" t="s">
        <v>2475</v>
      </c>
      <c r="I857" s="10">
        <v>45622</v>
      </c>
    </row>
    <row r="858" spans="1:9" x14ac:dyDescent="0.15">
      <c r="A858" s="9">
        <v>857</v>
      </c>
      <c r="B858" s="9" t="s">
        <v>9</v>
      </c>
      <c r="C858" s="9">
        <v>1926</v>
      </c>
      <c r="D858" s="10">
        <v>45722</v>
      </c>
      <c r="E858" s="11" t="str">
        <f>+HYPERLINK("http://trademark.i-assist.jp/data/china/image_1926th/82194576.pdf","82194576")</f>
        <v>82194576</v>
      </c>
      <c r="F858" s="9" t="s">
        <v>2476</v>
      </c>
      <c r="G858" s="9" t="s">
        <v>2339</v>
      </c>
      <c r="H858" s="9" t="s">
        <v>2477</v>
      </c>
      <c r="I858" s="10">
        <v>45622</v>
      </c>
    </row>
    <row r="859" spans="1:9" x14ac:dyDescent="0.15">
      <c r="A859" s="9">
        <v>858</v>
      </c>
      <c r="B859" s="9" t="s">
        <v>9</v>
      </c>
      <c r="C859" s="9">
        <v>1926</v>
      </c>
      <c r="D859" s="10">
        <v>45722</v>
      </c>
      <c r="E859" s="11" t="str">
        <f>+HYPERLINK("http://trademark.i-assist.jp/data/china/image_1926th/82194656.pdf","82194656")</f>
        <v>82194656</v>
      </c>
      <c r="F859" s="9" t="s">
        <v>2478</v>
      </c>
      <c r="G859" s="9" t="s">
        <v>2479</v>
      </c>
      <c r="H859" s="9" t="s">
        <v>2480</v>
      </c>
      <c r="I859" s="10">
        <v>45622</v>
      </c>
    </row>
    <row r="860" spans="1:9" x14ac:dyDescent="0.15">
      <c r="A860" s="9">
        <v>859</v>
      </c>
      <c r="B860" s="9" t="s">
        <v>9</v>
      </c>
      <c r="C860" s="9">
        <v>1926</v>
      </c>
      <c r="D860" s="10">
        <v>45722</v>
      </c>
      <c r="E860" s="11" t="str">
        <f>+HYPERLINK("http://trademark.i-assist.jp/data/china/image_1926th/82194724.pdf","82194724")</f>
        <v>82194724</v>
      </c>
      <c r="F860" s="9" t="s">
        <v>2481</v>
      </c>
      <c r="G860" s="9" t="s">
        <v>105</v>
      </c>
      <c r="H860" s="12" t="s">
        <v>2482</v>
      </c>
      <c r="I860" s="10">
        <v>45622</v>
      </c>
    </row>
    <row r="861" spans="1:9" x14ac:dyDescent="0.15">
      <c r="A861" s="9">
        <v>860</v>
      </c>
      <c r="B861" s="9" t="s">
        <v>9</v>
      </c>
      <c r="C861" s="9">
        <v>1926</v>
      </c>
      <c r="D861" s="10">
        <v>45722</v>
      </c>
      <c r="E861" s="11" t="str">
        <f>+HYPERLINK("http://trademark.i-assist.jp/data/china/image_1926th/82194925.pdf","82194925")</f>
        <v>82194925</v>
      </c>
      <c r="F861" s="12" t="s">
        <v>2483</v>
      </c>
      <c r="G861" s="9" t="s">
        <v>2484</v>
      </c>
      <c r="H861" s="9" t="s">
        <v>2485</v>
      </c>
      <c r="I861" s="10">
        <v>45622</v>
      </c>
    </row>
    <row r="862" spans="1:9" x14ac:dyDescent="0.15">
      <c r="A862" s="9">
        <v>861</v>
      </c>
      <c r="B862" s="9" t="s">
        <v>9</v>
      </c>
      <c r="C862" s="9">
        <v>1926</v>
      </c>
      <c r="D862" s="10">
        <v>45722</v>
      </c>
      <c r="E862" s="11" t="str">
        <f>+HYPERLINK("http://trademark.i-assist.jp/data/china/image_1926th/82195434.pdf","82195434")</f>
        <v>82195434</v>
      </c>
      <c r="F862" s="9" t="s">
        <v>2486</v>
      </c>
      <c r="G862" s="9" t="s">
        <v>2487</v>
      </c>
      <c r="H862" s="9" t="s">
        <v>2488</v>
      </c>
      <c r="I862" s="10">
        <v>45622</v>
      </c>
    </row>
    <row r="863" spans="1:9" x14ac:dyDescent="0.15">
      <c r="A863" s="9">
        <v>862</v>
      </c>
      <c r="B863" s="9" t="s">
        <v>9</v>
      </c>
      <c r="C863" s="9">
        <v>1926</v>
      </c>
      <c r="D863" s="10">
        <v>45722</v>
      </c>
      <c r="E863" s="11" t="str">
        <f>+HYPERLINK("http://trademark.i-assist.jp/data/china/image_1926th/82195471.pdf","82195471")</f>
        <v>82195471</v>
      </c>
      <c r="F863" s="9" t="s">
        <v>2489</v>
      </c>
      <c r="G863" s="12" t="s">
        <v>101</v>
      </c>
      <c r="H863" s="9" t="s">
        <v>2490</v>
      </c>
      <c r="I863" s="10">
        <v>45622</v>
      </c>
    </row>
    <row r="864" spans="1:9" x14ac:dyDescent="0.15">
      <c r="A864" s="9">
        <v>863</v>
      </c>
      <c r="B864" s="9" t="s">
        <v>9</v>
      </c>
      <c r="C864" s="9">
        <v>1926</v>
      </c>
      <c r="D864" s="10">
        <v>45722</v>
      </c>
      <c r="E864" s="11" t="str">
        <f>+HYPERLINK("http://trademark.i-assist.jp/data/china/image_1926th/82195579.pdf","82195579")</f>
        <v>82195579</v>
      </c>
      <c r="F864" s="9" t="s">
        <v>2491</v>
      </c>
      <c r="G864" s="9" t="s">
        <v>2336</v>
      </c>
      <c r="H864" s="9" t="s">
        <v>2492</v>
      </c>
      <c r="I864" s="10">
        <v>45622</v>
      </c>
    </row>
    <row r="865" spans="1:9" x14ac:dyDescent="0.15">
      <c r="A865" s="9">
        <v>864</v>
      </c>
      <c r="B865" s="9" t="s">
        <v>9</v>
      </c>
      <c r="C865" s="9">
        <v>1926</v>
      </c>
      <c r="D865" s="10">
        <v>45722</v>
      </c>
      <c r="E865" s="11" t="str">
        <f>+HYPERLINK("http://trademark.i-assist.jp/data/china/image_1926th/82195638.pdf","82195638")</f>
        <v>82195638</v>
      </c>
      <c r="F865" s="9" t="s">
        <v>2493</v>
      </c>
      <c r="G865" s="12" t="s">
        <v>2494</v>
      </c>
      <c r="H865" s="9" t="s">
        <v>2495</v>
      </c>
      <c r="I865" s="10">
        <v>45622</v>
      </c>
    </row>
    <row r="866" spans="1:9" x14ac:dyDescent="0.15">
      <c r="A866" s="9">
        <v>865</v>
      </c>
      <c r="B866" s="9" t="s">
        <v>9</v>
      </c>
      <c r="C866" s="9">
        <v>1926</v>
      </c>
      <c r="D866" s="10">
        <v>45722</v>
      </c>
      <c r="E866" s="11" t="str">
        <f>+HYPERLINK("http://trademark.i-assist.jp/data/china/image_1926th/82195929.pdf","82195929")</f>
        <v>82195929</v>
      </c>
      <c r="F866" s="9" t="s">
        <v>2496</v>
      </c>
      <c r="G866" s="12" t="s">
        <v>2497</v>
      </c>
      <c r="H866" s="9" t="s">
        <v>2498</v>
      </c>
      <c r="I866" s="10">
        <v>45622</v>
      </c>
    </row>
    <row r="867" spans="1:9" x14ac:dyDescent="0.15">
      <c r="A867" s="9">
        <v>866</v>
      </c>
      <c r="B867" s="9" t="s">
        <v>9</v>
      </c>
      <c r="C867" s="9">
        <v>1926</v>
      </c>
      <c r="D867" s="10">
        <v>45722</v>
      </c>
      <c r="E867" s="11" t="str">
        <f>+HYPERLINK("http://trademark.i-assist.jp/data/china/image_1926th/82195973.pdf","82195973")</f>
        <v>82195973</v>
      </c>
      <c r="F867" s="9" t="s">
        <v>2499</v>
      </c>
      <c r="G867" s="9" t="s">
        <v>2500</v>
      </c>
      <c r="H867" s="9" t="s">
        <v>2501</v>
      </c>
      <c r="I867" s="10">
        <v>45622</v>
      </c>
    </row>
    <row r="868" spans="1:9" x14ac:dyDescent="0.15">
      <c r="A868" s="9">
        <v>867</v>
      </c>
      <c r="B868" s="9" t="s">
        <v>9</v>
      </c>
      <c r="C868" s="9">
        <v>1926</v>
      </c>
      <c r="D868" s="10">
        <v>45722</v>
      </c>
      <c r="E868" s="11" t="str">
        <f>+HYPERLINK("http://trademark.i-assist.jp/data/china/image_1926th/82196053.pdf","82196053")</f>
        <v>82196053</v>
      </c>
      <c r="F868" s="9" t="s">
        <v>2502</v>
      </c>
      <c r="G868" s="12" t="s">
        <v>2503</v>
      </c>
      <c r="H868" s="9" t="s">
        <v>2504</v>
      </c>
      <c r="I868" s="10">
        <v>45622</v>
      </c>
    </row>
    <row r="869" spans="1:9" x14ac:dyDescent="0.15">
      <c r="A869" s="9">
        <v>868</v>
      </c>
      <c r="B869" s="9" t="s">
        <v>9</v>
      </c>
      <c r="C869" s="9">
        <v>1926</v>
      </c>
      <c r="D869" s="10">
        <v>45722</v>
      </c>
      <c r="E869" s="11" t="str">
        <f>+HYPERLINK("http://trademark.i-assist.jp/data/china/image_1926th/82196259.pdf","82196259")</f>
        <v>82196259</v>
      </c>
      <c r="F869" s="9" t="s">
        <v>2505</v>
      </c>
      <c r="G869" s="12" t="s">
        <v>107</v>
      </c>
      <c r="H869" s="9" t="s">
        <v>2506</v>
      </c>
      <c r="I869" s="10">
        <v>45622</v>
      </c>
    </row>
    <row r="870" spans="1:9" x14ac:dyDescent="0.15">
      <c r="A870" s="9">
        <v>869</v>
      </c>
      <c r="B870" s="9" t="s">
        <v>9</v>
      </c>
      <c r="C870" s="9">
        <v>1926</v>
      </c>
      <c r="D870" s="10">
        <v>45722</v>
      </c>
      <c r="E870" s="11" t="str">
        <f>+HYPERLINK("http://trademark.i-assist.jp/data/china/image_1926th/82196325.pdf","82196325")</f>
        <v>82196325</v>
      </c>
      <c r="F870" s="12" t="s">
        <v>2507</v>
      </c>
      <c r="G870" s="12" t="s">
        <v>123</v>
      </c>
      <c r="H870" s="9" t="s">
        <v>2508</v>
      </c>
      <c r="I870" s="10">
        <v>45622</v>
      </c>
    </row>
    <row r="871" spans="1:9" x14ac:dyDescent="0.15">
      <c r="A871" s="9">
        <v>870</v>
      </c>
      <c r="B871" s="9" t="s">
        <v>9</v>
      </c>
      <c r="C871" s="9">
        <v>1926</v>
      </c>
      <c r="D871" s="10">
        <v>45722</v>
      </c>
      <c r="E871" s="11" t="str">
        <f>+HYPERLINK("http://trademark.i-assist.jp/data/china/image_1926th/82196467.pdf","82196467")</f>
        <v>82196467</v>
      </c>
      <c r="F871" s="12" t="s">
        <v>2509</v>
      </c>
      <c r="G871" s="12" t="s">
        <v>107</v>
      </c>
      <c r="H871" s="9" t="s">
        <v>2510</v>
      </c>
      <c r="I871" s="10">
        <v>45622</v>
      </c>
    </row>
    <row r="872" spans="1:9" x14ac:dyDescent="0.15">
      <c r="A872" s="9">
        <v>871</v>
      </c>
      <c r="B872" s="9" t="s">
        <v>9</v>
      </c>
      <c r="C872" s="9">
        <v>1926</v>
      </c>
      <c r="D872" s="10">
        <v>45722</v>
      </c>
      <c r="E872" s="11" t="str">
        <f>+HYPERLINK("http://trademark.i-assist.jp/data/china/image_1926th/82196521.pdf","82196521")</f>
        <v>82196521</v>
      </c>
      <c r="F872" s="12" t="s">
        <v>2511</v>
      </c>
      <c r="G872" s="12" t="s">
        <v>2512</v>
      </c>
      <c r="H872" s="9" t="s">
        <v>2513</v>
      </c>
      <c r="I872" s="10">
        <v>45622</v>
      </c>
    </row>
    <row r="873" spans="1:9" x14ac:dyDescent="0.15">
      <c r="A873" s="9">
        <v>872</v>
      </c>
      <c r="B873" s="9" t="s">
        <v>9</v>
      </c>
      <c r="C873" s="9">
        <v>1926</v>
      </c>
      <c r="D873" s="10">
        <v>45722</v>
      </c>
      <c r="E873" s="11" t="str">
        <f>+HYPERLINK("http://trademark.i-assist.jp/data/china/image_1926th/82197269.pdf","82197269")</f>
        <v>82197269</v>
      </c>
      <c r="F873" s="9" t="s">
        <v>2514</v>
      </c>
      <c r="G873" s="12" t="s">
        <v>118</v>
      </c>
      <c r="H873" s="9" t="s">
        <v>2515</v>
      </c>
      <c r="I873" s="10">
        <v>45622</v>
      </c>
    </row>
    <row r="874" spans="1:9" x14ac:dyDescent="0.15">
      <c r="A874" s="9">
        <v>873</v>
      </c>
      <c r="B874" s="9" t="s">
        <v>9</v>
      </c>
      <c r="C874" s="9">
        <v>1926</v>
      </c>
      <c r="D874" s="10">
        <v>45722</v>
      </c>
      <c r="E874" s="11" t="str">
        <f>+HYPERLINK("http://trademark.i-assist.jp/data/china/image_1926th/82197356.pdf","82197356")</f>
        <v>82197356</v>
      </c>
      <c r="F874" s="9" t="s">
        <v>2516</v>
      </c>
      <c r="G874" s="9" t="s">
        <v>2517</v>
      </c>
      <c r="H874" s="9" t="s">
        <v>2518</v>
      </c>
      <c r="I874" s="10">
        <v>45622</v>
      </c>
    </row>
    <row r="875" spans="1:9" x14ac:dyDescent="0.15">
      <c r="A875" s="9">
        <v>874</v>
      </c>
      <c r="B875" s="9" t="s">
        <v>9</v>
      </c>
      <c r="C875" s="9">
        <v>1926</v>
      </c>
      <c r="D875" s="10">
        <v>45722</v>
      </c>
      <c r="E875" s="11" t="str">
        <f>+HYPERLINK("http://trademark.i-assist.jp/data/china/image_1926th/82198088.pdf","82198088")</f>
        <v>82198088</v>
      </c>
      <c r="F875" s="12" t="s">
        <v>2519</v>
      </c>
      <c r="G875" s="9" t="s">
        <v>2520</v>
      </c>
      <c r="H875" s="12" t="s">
        <v>2521</v>
      </c>
      <c r="I875" s="10">
        <v>45622</v>
      </c>
    </row>
    <row r="876" spans="1:9" x14ac:dyDescent="0.15">
      <c r="A876" s="9">
        <v>875</v>
      </c>
      <c r="B876" s="9" t="s">
        <v>9</v>
      </c>
      <c r="C876" s="9">
        <v>1926</v>
      </c>
      <c r="D876" s="10">
        <v>45722</v>
      </c>
      <c r="E876" s="11" t="str">
        <f>+HYPERLINK("http://trademark.i-assist.jp/data/china/image_1926th/82198121.pdf","82198121")</f>
        <v>82198121</v>
      </c>
      <c r="F876" s="9" t="s">
        <v>2522</v>
      </c>
      <c r="G876" s="9" t="s">
        <v>113</v>
      </c>
      <c r="H876" s="9" t="s">
        <v>2523</v>
      </c>
      <c r="I876" s="10">
        <v>45622</v>
      </c>
    </row>
    <row r="877" spans="1:9" x14ac:dyDescent="0.15">
      <c r="A877" s="9">
        <v>876</v>
      </c>
      <c r="B877" s="9" t="s">
        <v>9</v>
      </c>
      <c r="C877" s="9">
        <v>1926</v>
      </c>
      <c r="D877" s="10">
        <v>45722</v>
      </c>
      <c r="E877" s="11" t="str">
        <f>+HYPERLINK("http://trademark.i-assist.jp/data/china/image_1926th/82198536.pdf","82198536")</f>
        <v>82198536</v>
      </c>
      <c r="F877" s="9" t="s">
        <v>2524</v>
      </c>
      <c r="G877" s="9" t="s">
        <v>2525</v>
      </c>
      <c r="H877" s="9" t="s">
        <v>2526</v>
      </c>
      <c r="I877" s="10">
        <v>45622</v>
      </c>
    </row>
    <row r="878" spans="1:9" x14ac:dyDescent="0.15">
      <c r="A878" s="9">
        <v>877</v>
      </c>
      <c r="B878" s="9" t="s">
        <v>9</v>
      </c>
      <c r="C878" s="9">
        <v>1926</v>
      </c>
      <c r="D878" s="10">
        <v>45722</v>
      </c>
      <c r="E878" s="11" t="str">
        <f>+HYPERLINK("http://trademark.i-assist.jp/data/china/image_1926th/82198680.pdf","82198680")</f>
        <v>82198680</v>
      </c>
      <c r="F878" s="9" t="s">
        <v>2527</v>
      </c>
      <c r="G878" s="9" t="s">
        <v>2528</v>
      </c>
      <c r="H878" s="9" t="s">
        <v>2529</v>
      </c>
      <c r="I878" s="10">
        <v>45622</v>
      </c>
    </row>
    <row r="879" spans="1:9" x14ac:dyDescent="0.15">
      <c r="A879" s="9">
        <v>878</v>
      </c>
      <c r="B879" s="9" t="s">
        <v>9</v>
      </c>
      <c r="C879" s="9">
        <v>1926</v>
      </c>
      <c r="D879" s="10">
        <v>45722</v>
      </c>
      <c r="E879" s="11" t="str">
        <f>+HYPERLINK("http://trademark.i-assist.jp/data/china/image_1926th/82198841.pdf","82198841")</f>
        <v>82198841</v>
      </c>
      <c r="F879" s="9" t="s">
        <v>2530</v>
      </c>
      <c r="G879" s="9" t="s">
        <v>2531</v>
      </c>
      <c r="H879" s="9" t="s">
        <v>2532</v>
      </c>
      <c r="I879" s="10">
        <v>45622</v>
      </c>
    </row>
    <row r="880" spans="1:9" x14ac:dyDescent="0.15">
      <c r="A880" s="9">
        <v>879</v>
      </c>
      <c r="B880" s="9" t="s">
        <v>9</v>
      </c>
      <c r="C880" s="9">
        <v>1926</v>
      </c>
      <c r="D880" s="10">
        <v>45722</v>
      </c>
      <c r="E880" s="11" t="str">
        <f>+HYPERLINK("http://trademark.i-assist.jp/data/china/image_1926th/82198944.pdf","82198944")</f>
        <v>82198944</v>
      </c>
      <c r="F880" s="9" t="s">
        <v>2533</v>
      </c>
      <c r="G880" s="9" t="s">
        <v>2534</v>
      </c>
      <c r="H880" s="9" t="s">
        <v>2535</v>
      </c>
      <c r="I880" s="10">
        <v>45622</v>
      </c>
    </row>
    <row r="881" spans="1:9" x14ac:dyDescent="0.15">
      <c r="A881" s="9">
        <v>880</v>
      </c>
      <c r="B881" s="9" t="s">
        <v>9</v>
      </c>
      <c r="C881" s="9">
        <v>1926</v>
      </c>
      <c r="D881" s="10">
        <v>45722</v>
      </c>
      <c r="E881" s="11" t="str">
        <f>+HYPERLINK("http://trademark.i-assist.jp/data/china/image_1926th/82199428.pdf","82199428")</f>
        <v>82199428</v>
      </c>
      <c r="F881" s="9" t="s">
        <v>2536</v>
      </c>
      <c r="G881" s="9" t="s">
        <v>2537</v>
      </c>
      <c r="H881" s="12" t="s">
        <v>2538</v>
      </c>
      <c r="I881" s="10">
        <v>45622</v>
      </c>
    </row>
    <row r="882" spans="1:9" x14ac:dyDescent="0.15">
      <c r="A882" s="9">
        <v>881</v>
      </c>
      <c r="B882" s="9" t="s">
        <v>9</v>
      </c>
      <c r="C882" s="9">
        <v>1926</v>
      </c>
      <c r="D882" s="10">
        <v>45722</v>
      </c>
      <c r="E882" s="11" t="str">
        <f>+HYPERLINK("http://trademark.i-assist.jp/data/china/image_1926th/82199430.pdf","82199430")</f>
        <v>82199430</v>
      </c>
      <c r="F882" s="9" t="s">
        <v>2539</v>
      </c>
      <c r="G882" s="12" t="s">
        <v>2540</v>
      </c>
      <c r="H882" s="9" t="s">
        <v>2541</v>
      </c>
      <c r="I882" s="10">
        <v>45622</v>
      </c>
    </row>
    <row r="883" spans="1:9" x14ac:dyDescent="0.15">
      <c r="A883" s="9">
        <v>882</v>
      </c>
      <c r="B883" s="9" t="s">
        <v>9</v>
      </c>
      <c r="C883" s="9">
        <v>1926</v>
      </c>
      <c r="D883" s="10">
        <v>45722</v>
      </c>
      <c r="E883" s="11" t="str">
        <f>+HYPERLINK("http://trademark.i-assist.jp/data/china/image_1926th/82199912.pdf","82199912")</f>
        <v>82199912</v>
      </c>
      <c r="F883" s="9" t="s">
        <v>2542</v>
      </c>
      <c r="G883" s="12" t="s">
        <v>107</v>
      </c>
      <c r="H883" s="9" t="s">
        <v>2543</v>
      </c>
      <c r="I883" s="10">
        <v>45622</v>
      </c>
    </row>
    <row r="884" spans="1:9" x14ac:dyDescent="0.15">
      <c r="A884" s="9">
        <v>883</v>
      </c>
      <c r="B884" s="9" t="s">
        <v>9</v>
      </c>
      <c r="C884" s="9">
        <v>1926</v>
      </c>
      <c r="D884" s="10">
        <v>45722</v>
      </c>
      <c r="E884" s="11" t="str">
        <f>+HYPERLINK("http://trademark.i-assist.jp/data/china/image_1926th/82200075.pdf","82200075")</f>
        <v>82200075</v>
      </c>
      <c r="F884" s="9" t="s">
        <v>2544</v>
      </c>
      <c r="G884" s="12" t="s">
        <v>101</v>
      </c>
      <c r="H884" s="9" t="s">
        <v>2545</v>
      </c>
      <c r="I884" s="10">
        <v>45622</v>
      </c>
    </row>
    <row r="885" spans="1:9" x14ac:dyDescent="0.15">
      <c r="A885" s="9">
        <v>884</v>
      </c>
      <c r="B885" s="9" t="s">
        <v>9</v>
      </c>
      <c r="C885" s="9">
        <v>1926</v>
      </c>
      <c r="D885" s="10">
        <v>45722</v>
      </c>
      <c r="E885" s="11" t="str">
        <f>+HYPERLINK("http://trademark.i-assist.jp/data/china/image_1926th/82200125.pdf","82200125")</f>
        <v>82200125</v>
      </c>
      <c r="F885" s="12" t="s">
        <v>2546</v>
      </c>
      <c r="G885" s="9" t="s">
        <v>2547</v>
      </c>
      <c r="H885" s="9" t="s">
        <v>2548</v>
      </c>
      <c r="I885" s="10">
        <v>45622</v>
      </c>
    </row>
    <row r="886" spans="1:9" x14ac:dyDescent="0.15">
      <c r="A886" s="9">
        <v>885</v>
      </c>
      <c r="B886" s="9" t="s">
        <v>9</v>
      </c>
      <c r="C886" s="9">
        <v>1926</v>
      </c>
      <c r="D886" s="10">
        <v>45722</v>
      </c>
      <c r="E886" s="11" t="str">
        <f>+HYPERLINK("http://trademark.i-assist.jp/data/china/image_1926th/82200168.pdf","82200168")</f>
        <v>82200168</v>
      </c>
      <c r="F886" s="9" t="s">
        <v>2549</v>
      </c>
      <c r="G886" s="9" t="s">
        <v>2550</v>
      </c>
      <c r="H886" s="9" t="s">
        <v>2551</v>
      </c>
      <c r="I886" s="10">
        <v>45622</v>
      </c>
    </row>
    <row r="887" spans="1:9" x14ac:dyDescent="0.15">
      <c r="A887" s="9">
        <v>886</v>
      </c>
      <c r="B887" s="9" t="s">
        <v>9</v>
      </c>
      <c r="C887" s="9">
        <v>1926</v>
      </c>
      <c r="D887" s="10">
        <v>45722</v>
      </c>
      <c r="E887" s="11" t="str">
        <f>+HYPERLINK("http://trademark.i-assist.jp/data/china/image_1926th/82200459.pdf","82200459")</f>
        <v>82200459</v>
      </c>
      <c r="F887" s="9" t="s">
        <v>2552</v>
      </c>
      <c r="G887" s="9" t="s">
        <v>2553</v>
      </c>
      <c r="H887" s="9" t="s">
        <v>2554</v>
      </c>
      <c r="I887" s="10">
        <v>45622</v>
      </c>
    </row>
    <row r="888" spans="1:9" x14ac:dyDescent="0.15">
      <c r="A888" s="9">
        <v>887</v>
      </c>
      <c r="B888" s="9" t="s">
        <v>9</v>
      </c>
      <c r="C888" s="9">
        <v>1926</v>
      </c>
      <c r="D888" s="10">
        <v>45722</v>
      </c>
      <c r="E888" s="11" t="str">
        <f>+HYPERLINK("http://trademark.i-assist.jp/data/china/image_1926th/82201130.pdf","82201130")</f>
        <v>82201130</v>
      </c>
      <c r="F888" s="9" t="s">
        <v>2555</v>
      </c>
      <c r="G888" s="9" t="s">
        <v>2556</v>
      </c>
      <c r="H888" s="9" t="s">
        <v>2557</v>
      </c>
      <c r="I888" s="10">
        <v>45622</v>
      </c>
    </row>
    <row r="889" spans="1:9" x14ac:dyDescent="0.15">
      <c r="A889" s="9">
        <v>888</v>
      </c>
      <c r="B889" s="9" t="s">
        <v>9</v>
      </c>
      <c r="C889" s="9">
        <v>1926</v>
      </c>
      <c r="D889" s="10">
        <v>45722</v>
      </c>
      <c r="E889" s="11" t="str">
        <f>+HYPERLINK("http://trademark.i-assist.jp/data/china/image_1926th/82201214.pdf","82201214")</f>
        <v>82201214</v>
      </c>
      <c r="F889" s="9" t="s">
        <v>2558</v>
      </c>
      <c r="G889" s="9" t="s">
        <v>2559</v>
      </c>
      <c r="H889" s="9" t="s">
        <v>2560</v>
      </c>
      <c r="I889" s="10">
        <v>45622</v>
      </c>
    </row>
    <row r="890" spans="1:9" x14ac:dyDescent="0.15">
      <c r="A890" s="9">
        <v>889</v>
      </c>
      <c r="B890" s="9" t="s">
        <v>9</v>
      </c>
      <c r="C890" s="9">
        <v>1926</v>
      </c>
      <c r="D890" s="10">
        <v>45722</v>
      </c>
      <c r="E890" s="11" t="str">
        <f>+HYPERLINK("http://trademark.i-assist.jp/data/china/image_1926th/82201386.pdf","82201386")</f>
        <v>82201386</v>
      </c>
      <c r="F890" s="12" t="s">
        <v>2561</v>
      </c>
      <c r="G890" s="12" t="s">
        <v>38</v>
      </c>
      <c r="H890" s="9" t="s">
        <v>2562</v>
      </c>
      <c r="I890" s="10">
        <v>45622</v>
      </c>
    </row>
    <row r="891" spans="1:9" x14ac:dyDescent="0.15">
      <c r="A891" s="9">
        <v>890</v>
      </c>
      <c r="B891" s="9" t="s">
        <v>9</v>
      </c>
      <c r="C891" s="9">
        <v>1926</v>
      </c>
      <c r="D891" s="10">
        <v>45722</v>
      </c>
      <c r="E891" s="11" t="str">
        <f>+HYPERLINK("http://trademark.i-assist.jp/data/china/image_1926th/82201593.pdf","82201593")</f>
        <v>82201593</v>
      </c>
      <c r="F891" s="9" t="s">
        <v>2563</v>
      </c>
      <c r="G891" s="9" t="s">
        <v>2564</v>
      </c>
      <c r="H891" s="9" t="s">
        <v>2565</v>
      </c>
      <c r="I891" s="10">
        <v>45623</v>
      </c>
    </row>
    <row r="892" spans="1:9" x14ac:dyDescent="0.15">
      <c r="A892" s="9">
        <v>891</v>
      </c>
      <c r="B892" s="9" t="s">
        <v>9</v>
      </c>
      <c r="C892" s="9">
        <v>1926</v>
      </c>
      <c r="D892" s="10">
        <v>45722</v>
      </c>
      <c r="E892" s="11" t="str">
        <f>+HYPERLINK("http://trademark.i-assist.jp/data/china/image_1926th/82201909.pdf","82201909")</f>
        <v>82201909</v>
      </c>
      <c r="F892" s="9" t="s">
        <v>2566</v>
      </c>
      <c r="G892" s="9" t="s">
        <v>180</v>
      </c>
      <c r="H892" s="9" t="s">
        <v>2567</v>
      </c>
      <c r="I892" s="10">
        <v>45623</v>
      </c>
    </row>
    <row r="893" spans="1:9" x14ac:dyDescent="0.15">
      <c r="A893" s="9">
        <v>892</v>
      </c>
      <c r="B893" s="9" t="s">
        <v>9</v>
      </c>
      <c r="C893" s="9">
        <v>1926</v>
      </c>
      <c r="D893" s="10">
        <v>45722</v>
      </c>
      <c r="E893" s="11" t="str">
        <f>+HYPERLINK("http://trademark.i-assist.jp/data/china/image_1926th/82202006.pdf","82202006")</f>
        <v>82202006</v>
      </c>
      <c r="F893" s="9" t="s">
        <v>2568</v>
      </c>
      <c r="G893" s="9" t="s">
        <v>2569</v>
      </c>
      <c r="H893" s="9" t="s">
        <v>2570</v>
      </c>
      <c r="I893" s="10">
        <v>45623</v>
      </c>
    </row>
    <row r="894" spans="1:9" x14ac:dyDescent="0.15">
      <c r="A894" s="9">
        <v>893</v>
      </c>
      <c r="B894" s="9" t="s">
        <v>9</v>
      </c>
      <c r="C894" s="9">
        <v>1926</v>
      </c>
      <c r="D894" s="10">
        <v>45722</v>
      </c>
      <c r="E894" s="11" t="str">
        <f>+HYPERLINK("http://trademark.i-assist.jp/data/china/image_1926th/82202421.pdf","82202421")</f>
        <v>82202421</v>
      </c>
      <c r="F894" s="9" t="s">
        <v>2571</v>
      </c>
      <c r="G894" s="9" t="s">
        <v>2572</v>
      </c>
      <c r="H894" s="9" t="s">
        <v>2573</v>
      </c>
      <c r="I894" s="10">
        <v>45623</v>
      </c>
    </row>
    <row r="895" spans="1:9" x14ac:dyDescent="0.15">
      <c r="A895" s="9">
        <v>894</v>
      </c>
      <c r="B895" s="9" t="s">
        <v>9</v>
      </c>
      <c r="C895" s="9">
        <v>1926</v>
      </c>
      <c r="D895" s="10">
        <v>45722</v>
      </c>
      <c r="E895" s="11" t="str">
        <f>+HYPERLINK("http://trademark.i-assist.jp/data/china/image_1926th/82202470.pdf","82202470")</f>
        <v>82202470</v>
      </c>
      <c r="F895" s="9" t="s">
        <v>2574</v>
      </c>
      <c r="G895" s="12" t="s">
        <v>2575</v>
      </c>
      <c r="H895" s="9" t="s">
        <v>2576</v>
      </c>
      <c r="I895" s="10">
        <v>45623</v>
      </c>
    </row>
    <row r="896" spans="1:9" x14ac:dyDescent="0.15">
      <c r="A896" s="9">
        <v>895</v>
      </c>
      <c r="B896" s="9" t="s">
        <v>9</v>
      </c>
      <c r="C896" s="9">
        <v>1926</v>
      </c>
      <c r="D896" s="10">
        <v>45722</v>
      </c>
      <c r="E896" s="11" t="str">
        <f>+HYPERLINK("http://trademark.i-assist.jp/data/china/image_1926th/82202884.pdf","82202884")</f>
        <v>82202884</v>
      </c>
      <c r="F896" s="9" t="s">
        <v>2577</v>
      </c>
      <c r="G896" s="9" t="s">
        <v>121</v>
      </c>
      <c r="H896" s="9" t="s">
        <v>2578</v>
      </c>
      <c r="I896" s="10">
        <v>45623</v>
      </c>
    </row>
    <row r="897" spans="1:9" x14ac:dyDescent="0.15">
      <c r="A897" s="9">
        <v>896</v>
      </c>
      <c r="B897" s="9" t="s">
        <v>9</v>
      </c>
      <c r="C897" s="9">
        <v>1926</v>
      </c>
      <c r="D897" s="10">
        <v>45722</v>
      </c>
      <c r="E897" s="11" t="str">
        <f>+HYPERLINK("http://trademark.i-assist.jp/data/china/image_1926th/82202922.pdf","82202922")</f>
        <v>82202922</v>
      </c>
      <c r="F897" s="9" t="s">
        <v>2579</v>
      </c>
      <c r="G897" s="9" t="s">
        <v>126</v>
      </c>
      <c r="H897" s="9" t="s">
        <v>2580</v>
      </c>
      <c r="I897" s="10">
        <v>45623</v>
      </c>
    </row>
    <row r="898" spans="1:9" x14ac:dyDescent="0.15">
      <c r="A898" s="9">
        <v>897</v>
      </c>
      <c r="B898" s="9" t="s">
        <v>9</v>
      </c>
      <c r="C898" s="9">
        <v>1926</v>
      </c>
      <c r="D898" s="10">
        <v>45722</v>
      </c>
      <c r="E898" s="11" t="str">
        <f>+HYPERLINK("http://trademark.i-assist.jp/data/china/image_1926th/82203137.pdf","82203137")</f>
        <v>82203137</v>
      </c>
      <c r="F898" s="12" t="s">
        <v>2581</v>
      </c>
      <c r="G898" s="12" t="s">
        <v>2582</v>
      </c>
      <c r="H898" s="9" t="s">
        <v>2583</v>
      </c>
      <c r="I898" s="10">
        <v>45623</v>
      </c>
    </row>
    <row r="899" spans="1:9" x14ac:dyDescent="0.15">
      <c r="A899" s="9">
        <v>898</v>
      </c>
      <c r="B899" s="9" t="s">
        <v>9</v>
      </c>
      <c r="C899" s="9">
        <v>1926</v>
      </c>
      <c r="D899" s="10">
        <v>45722</v>
      </c>
      <c r="E899" s="11" t="str">
        <f>+HYPERLINK("http://trademark.i-assist.jp/data/china/image_1926th/82203290.pdf","82203290")</f>
        <v>82203290</v>
      </c>
      <c r="F899" s="9" t="s">
        <v>2584</v>
      </c>
      <c r="G899" s="12" t="s">
        <v>2585</v>
      </c>
      <c r="H899" s="9" t="s">
        <v>2586</v>
      </c>
      <c r="I899" s="10">
        <v>45623</v>
      </c>
    </row>
    <row r="900" spans="1:9" x14ac:dyDescent="0.15">
      <c r="A900" s="9">
        <v>899</v>
      </c>
      <c r="B900" s="9" t="s">
        <v>9</v>
      </c>
      <c r="C900" s="9">
        <v>1926</v>
      </c>
      <c r="D900" s="10">
        <v>45722</v>
      </c>
      <c r="E900" s="11" t="str">
        <f>+HYPERLINK("http://trademark.i-assist.jp/data/china/image_1926th/82203407.pdf","82203407")</f>
        <v>82203407</v>
      </c>
      <c r="F900" s="12" t="s">
        <v>2587</v>
      </c>
      <c r="G900" s="9" t="s">
        <v>2588</v>
      </c>
      <c r="H900" s="9" t="s">
        <v>2589</v>
      </c>
      <c r="I900" s="10">
        <v>45623</v>
      </c>
    </row>
    <row r="901" spans="1:9" x14ac:dyDescent="0.15">
      <c r="A901" s="9">
        <v>900</v>
      </c>
      <c r="B901" s="9" t="s">
        <v>9</v>
      </c>
      <c r="C901" s="9">
        <v>1926</v>
      </c>
      <c r="D901" s="10">
        <v>45722</v>
      </c>
      <c r="E901" s="11" t="str">
        <f>+HYPERLINK("http://trademark.i-assist.jp/data/china/image_1926th/82203757.pdf","82203757")</f>
        <v>82203757</v>
      </c>
      <c r="F901" s="9" t="s">
        <v>2590</v>
      </c>
      <c r="G901" s="9" t="s">
        <v>2591</v>
      </c>
      <c r="H901" s="9" t="s">
        <v>2592</v>
      </c>
      <c r="I901" s="10">
        <v>45623</v>
      </c>
    </row>
    <row r="902" spans="1:9" x14ac:dyDescent="0.15">
      <c r="A902" s="9">
        <v>901</v>
      </c>
      <c r="B902" s="9" t="s">
        <v>9</v>
      </c>
      <c r="C902" s="9">
        <v>1926</v>
      </c>
      <c r="D902" s="10">
        <v>45722</v>
      </c>
      <c r="E902" s="11" t="str">
        <f>+HYPERLINK("http://trademark.i-assist.jp/data/china/image_1926th/82204019.pdf","82204019")</f>
        <v>82204019</v>
      </c>
      <c r="F902" s="9" t="s">
        <v>2593</v>
      </c>
      <c r="G902" s="9" t="s">
        <v>2594</v>
      </c>
      <c r="H902" s="9" t="s">
        <v>2595</v>
      </c>
      <c r="I902" s="10">
        <v>45623</v>
      </c>
    </row>
    <row r="903" spans="1:9" x14ac:dyDescent="0.15">
      <c r="A903" s="9">
        <v>902</v>
      </c>
      <c r="B903" s="9" t="s">
        <v>9</v>
      </c>
      <c r="C903" s="9">
        <v>1926</v>
      </c>
      <c r="D903" s="10">
        <v>45722</v>
      </c>
      <c r="E903" s="11" t="str">
        <f>+HYPERLINK("http://trademark.i-assist.jp/data/china/image_1926th/82204305.pdf","82204305")</f>
        <v>82204305</v>
      </c>
      <c r="F903" s="9" t="s">
        <v>2596</v>
      </c>
      <c r="G903" s="9" t="s">
        <v>2597</v>
      </c>
      <c r="H903" s="9" t="s">
        <v>2598</v>
      </c>
      <c r="I903" s="10">
        <v>45623</v>
      </c>
    </row>
    <row r="904" spans="1:9" x14ac:dyDescent="0.15">
      <c r="A904" s="9">
        <v>903</v>
      </c>
      <c r="B904" s="9" t="s">
        <v>9</v>
      </c>
      <c r="C904" s="9">
        <v>1926</v>
      </c>
      <c r="D904" s="10">
        <v>45722</v>
      </c>
      <c r="E904" s="11" t="str">
        <f>+HYPERLINK("http://trademark.i-assist.jp/data/china/image_1926th/82204385.pdf","82204385")</f>
        <v>82204385</v>
      </c>
      <c r="F904" s="9" t="s">
        <v>2599</v>
      </c>
      <c r="G904" s="9" t="s">
        <v>2600</v>
      </c>
      <c r="H904" s="9" t="s">
        <v>2601</v>
      </c>
      <c r="I904" s="10">
        <v>45623</v>
      </c>
    </row>
    <row r="905" spans="1:9" x14ac:dyDescent="0.15">
      <c r="A905" s="9">
        <v>904</v>
      </c>
      <c r="B905" s="9" t="s">
        <v>9</v>
      </c>
      <c r="C905" s="9">
        <v>1926</v>
      </c>
      <c r="D905" s="10">
        <v>45722</v>
      </c>
      <c r="E905" s="11" t="str">
        <f>+HYPERLINK("http://trademark.i-assist.jp/data/china/image_1926th/82204561.pdf","82204561")</f>
        <v>82204561</v>
      </c>
      <c r="F905" s="9" t="s">
        <v>2602</v>
      </c>
      <c r="G905" s="12" t="s">
        <v>2603</v>
      </c>
      <c r="H905" s="9" t="s">
        <v>2604</v>
      </c>
      <c r="I905" s="10">
        <v>45623</v>
      </c>
    </row>
    <row r="906" spans="1:9" x14ac:dyDescent="0.15">
      <c r="A906" s="9">
        <v>905</v>
      </c>
      <c r="B906" s="9" t="s">
        <v>9</v>
      </c>
      <c r="C906" s="9">
        <v>1926</v>
      </c>
      <c r="D906" s="10">
        <v>45722</v>
      </c>
      <c r="E906" s="11" t="str">
        <f>+HYPERLINK("http://trademark.i-assist.jp/data/china/image_1926th/82204916.pdf","82204916")</f>
        <v>82204916</v>
      </c>
      <c r="F906" s="9" t="s">
        <v>2605</v>
      </c>
      <c r="G906" s="9" t="s">
        <v>2606</v>
      </c>
      <c r="H906" s="9" t="s">
        <v>2607</v>
      </c>
      <c r="I906" s="10">
        <v>45623</v>
      </c>
    </row>
    <row r="907" spans="1:9" x14ac:dyDescent="0.15">
      <c r="A907" s="9">
        <v>906</v>
      </c>
      <c r="B907" s="9" t="s">
        <v>9</v>
      </c>
      <c r="C907" s="9">
        <v>1926</v>
      </c>
      <c r="D907" s="10">
        <v>45722</v>
      </c>
      <c r="E907" s="11" t="str">
        <f>+HYPERLINK("http://trademark.i-assist.jp/data/china/image_1926th/82205285.pdf","82205285")</f>
        <v>82205285</v>
      </c>
      <c r="F907" s="9" t="s">
        <v>2608</v>
      </c>
      <c r="G907" s="9" t="s">
        <v>2609</v>
      </c>
      <c r="H907" s="9" t="s">
        <v>2610</v>
      </c>
      <c r="I907" s="10">
        <v>45623</v>
      </c>
    </row>
    <row r="908" spans="1:9" x14ac:dyDescent="0.15">
      <c r="A908" s="9">
        <v>907</v>
      </c>
      <c r="B908" s="9" t="s">
        <v>9</v>
      </c>
      <c r="C908" s="9">
        <v>1926</v>
      </c>
      <c r="D908" s="10">
        <v>45722</v>
      </c>
      <c r="E908" s="11" t="str">
        <f>+HYPERLINK("http://trademark.i-assist.jp/data/china/image_1926th/82205520.pdf","82205520")</f>
        <v>82205520</v>
      </c>
      <c r="F908" s="9" t="s">
        <v>2611</v>
      </c>
      <c r="G908" s="9" t="s">
        <v>2612</v>
      </c>
      <c r="H908" s="9" t="s">
        <v>2613</v>
      </c>
      <c r="I908" s="10">
        <v>45623</v>
      </c>
    </row>
    <row r="909" spans="1:9" x14ac:dyDescent="0.15">
      <c r="A909" s="9">
        <v>908</v>
      </c>
      <c r="B909" s="9" t="s">
        <v>9</v>
      </c>
      <c r="C909" s="9">
        <v>1926</v>
      </c>
      <c r="D909" s="10">
        <v>45722</v>
      </c>
      <c r="E909" s="11" t="str">
        <f>+HYPERLINK("http://trademark.i-assist.jp/data/china/image_1926th/82205627.pdf","82205627")</f>
        <v>82205627</v>
      </c>
      <c r="F909" s="9" t="s">
        <v>2614</v>
      </c>
      <c r="G909" s="12" t="s">
        <v>2615</v>
      </c>
      <c r="H909" s="9" t="s">
        <v>2616</v>
      </c>
      <c r="I909" s="10">
        <v>45623</v>
      </c>
    </row>
    <row r="910" spans="1:9" x14ac:dyDescent="0.15">
      <c r="A910" s="9">
        <v>909</v>
      </c>
      <c r="B910" s="9" t="s">
        <v>9</v>
      </c>
      <c r="C910" s="9">
        <v>1926</v>
      </c>
      <c r="D910" s="10">
        <v>45722</v>
      </c>
      <c r="E910" s="11" t="str">
        <f>+HYPERLINK("http://trademark.i-assist.jp/data/china/image_1926th/82205930.pdf","82205930")</f>
        <v>82205930</v>
      </c>
      <c r="F910" s="12" t="s">
        <v>2617</v>
      </c>
      <c r="G910" s="9" t="s">
        <v>16</v>
      </c>
      <c r="H910" s="9" t="s">
        <v>2618</v>
      </c>
      <c r="I910" s="10">
        <v>45623</v>
      </c>
    </row>
    <row r="911" spans="1:9" x14ac:dyDescent="0.15">
      <c r="A911" s="9">
        <v>910</v>
      </c>
      <c r="B911" s="9" t="s">
        <v>9</v>
      </c>
      <c r="C911" s="9">
        <v>1926</v>
      </c>
      <c r="D911" s="10">
        <v>45722</v>
      </c>
      <c r="E911" s="11" t="str">
        <f>+HYPERLINK("http://trademark.i-assist.jp/data/china/image_1926th/82205937.pdf","82205937")</f>
        <v>82205937</v>
      </c>
      <c r="F911" s="9" t="s">
        <v>2619</v>
      </c>
      <c r="G911" s="9" t="s">
        <v>16</v>
      </c>
      <c r="H911" s="9" t="s">
        <v>2620</v>
      </c>
      <c r="I911" s="10">
        <v>45623</v>
      </c>
    </row>
    <row r="912" spans="1:9" x14ac:dyDescent="0.15">
      <c r="A912" s="9">
        <v>911</v>
      </c>
      <c r="B912" s="9" t="s">
        <v>9</v>
      </c>
      <c r="C912" s="9">
        <v>1926</v>
      </c>
      <c r="D912" s="10">
        <v>45722</v>
      </c>
      <c r="E912" s="11" t="str">
        <f>+HYPERLINK("http://trademark.i-assist.jp/data/china/image_1926th/82206525.pdf","82206525")</f>
        <v>82206525</v>
      </c>
      <c r="F912" s="12" t="s">
        <v>20</v>
      </c>
      <c r="G912" s="9" t="s">
        <v>2621</v>
      </c>
      <c r="H912" s="12" t="s">
        <v>2622</v>
      </c>
      <c r="I912" s="10">
        <v>45623</v>
      </c>
    </row>
    <row r="913" spans="1:9" x14ac:dyDescent="0.15">
      <c r="A913" s="9">
        <v>912</v>
      </c>
      <c r="B913" s="9" t="s">
        <v>9</v>
      </c>
      <c r="C913" s="9">
        <v>1926</v>
      </c>
      <c r="D913" s="10">
        <v>45722</v>
      </c>
      <c r="E913" s="11" t="str">
        <f>+HYPERLINK("http://trademark.i-assist.jp/data/china/image_1926th/82206726.pdf","82206726")</f>
        <v>82206726</v>
      </c>
      <c r="F913" s="12" t="s">
        <v>2623</v>
      </c>
      <c r="G913" s="12" t="s">
        <v>2623</v>
      </c>
      <c r="H913" s="9" t="s">
        <v>2624</v>
      </c>
      <c r="I913" s="10">
        <v>45623</v>
      </c>
    </row>
    <row r="914" spans="1:9" x14ac:dyDescent="0.15">
      <c r="A914" s="9">
        <v>913</v>
      </c>
      <c r="B914" s="9" t="s">
        <v>9</v>
      </c>
      <c r="C914" s="9">
        <v>1926</v>
      </c>
      <c r="D914" s="10">
        <v>45722</v>
      </c>
      <c r="E914" s="11" t="str">
        <f>+HYPERLINK("http://trademark.i-assist.jp/data/china/image_1926th/82207431.pdf","82207431")</f>
        <v>82207431</v>
      </c>
      <c r="F914" s="9" t="s">
        <v>2625</v>
      </c>
      <c r="G914" s="9" t="s">
        <v>2626</v>
      </c>
      <c r="H914" s="12" t="s">
        <v>2627</v>
      </c>
      <c r="I914" s="10">
        <v>45623</v>
      </c>
    </row>
    <row r="915" spans="1:9" x14ac:dyDescent="0.15">
      <c r="A915" s="9">
        <v>914</v>
      </c>
      <c r="B915" s="9" t="s">
        <v>9</v>
      </c>
      <c r="C915" s="9">
        <v>1926</v>
      </c>
      <c r="D915" s="10">
        <v>45722</v>
      </c>
      <c r="E915" s="11" t="str">
        <f>+HYPERLINK("http://trademark.i-assist.jp/data/china/image_1926th/82207679.pdf","82207679")</f>
        <v>82207679</v>
      </c>
      <c r="F915" s="9" t="s">
        <v>2628</v>
      </c>
      <c r="G915" s="9" t="s">
        <v>2629</v>
      </c>
      <c r="H915" s="9" t="s">
        <v>2630</v>
      </c>
      <c r="I915" s="10">
        <v>45623</v>
      </c>
    </row>
    <row r="916" spans="1:9" x14ac:dyDescent="0.15">
      <c r="A916" s="9">
        <v>915</v>
      </c>
      <c r="B916" s="9" t="s">
        <v>9</v>
      </c>
      <c r="C916" s="9">
        <v>1926</v>
      </c>
      <c r="D916" s="10">
        <v>45722</v>
      </c>
      <c r="E916" s="11" t="str">
        <f>+HYPERLINK("http://trademark.i-assist.jp/data/china/image_1926th/82208229.pdf","82208229")</f>
        <v>82208229</v>
      </c>
      <c r="F916" s="12" t="s">
        <v>2631</v>
      </c>
      <c r="G916" s="12" t="s">
        <v>2632</v>
      </c>
      <c r="H916" s="9" t="s">
        <v>2633</v>
      </c>
      <c r="I916" s="10">
        <v>45623</v>
      </c>
    </row>
    <row r="917" spans="1:9" x14ac:dyDescent="0.15">
      <c r="A917" s="9">
        <v>916</v>
      </c>
      <c r="B917" s="9" t="s">
        <v>9</v>
      </c>
      <c r="C917" s="9">
        <v>1926</v>
      </c>
      <c r="D917" s="10">
        <v>45722</v>
      </c>
      <c r="E917" s="11" t="str">
        <f>+HYPERLINK("http://trademark.i-assist.jp/data/china/image_1926th/82209206.pdf","82209206")</f>
        <v>82209206</v>
      </c>
      <c r="F917" s="9" t="s">
        <v>2634</v>
      </c>
      <c r="G917" s="9" t="s">
        <v>2635</v>
      </c>
      <c r="H917" s="9" t="s">
        <v>2636</v>
      </c>
      <c r="I917" s="10">
        <v>45623</v>
      </c>
    </row>
    <row r="918" spans="1:9" x14ac:dyDescent="0.15">
      <c r="A918" s="9">
        <v>917</v>
      </c>
      <c r="B918" s="9" t="s">
        <v>9</v>
      </c>
      <c r="C918" s="9">
        <v>1926</v>
      </c>
      <c r="D918" s="10">
        <v>45722</v>
      </c>
      <c r="E918" s="11" t="str">
        <f>+HYPERLINK("http://trademark.i-assist.jp/data/china/image_1926th/82209494.pdf","82209494")</f>
        <v>82209494</v>
      </c>
      <c r="F918" s="9" t="s">
        <v>2637</v>
      </c>
      <c r="G918" s="9" t="s">
        <v>2638</v>
      </c>
      <c r="H918" s="9" t="s">
        <v>2639</v>
      </c>
      <c r="I918" s="10">
        <v>45623</v>
      </c>
    </row>
    <row r="919" spans="1:9" x14ac:dyDescent="0.15">
      <c r="A919" s="9">
        <v>918</v>
      </c>
      <c r="B919" s="9" t="s">
        <v>9</v>
      </c>
      <c r="C919" s="9">
        <v>1926</v>
      </c>
      <c r="D919" s="10">
        <v>45722</v>
      </c>
      <c r="E919" s="11" t="str">
        <f>+HYPERLINK("http://trademark.i-assist.jp/data/china/image_1926th/82209684.pdf","82209684")</f>
        <v>82209684</v>
      </c>
      <c r="F919" s="12" t="s">
        <v>20</v>
      </c>
      <c r="G919" s="9" t="s">
        <v>2621</v>
      </c>
      <c r="H919" s="12" t="s">
        <v>2640</v>
      </c>
      <c r="I919" s="10">
        <v>45623</v>
      </c>
    </row>
    <row r="920" spans="1:9" x14ac:dyDescent="0.15">
      <c r="A920" s="9">
        <v>919</v>
      </c>
      <c r="B920" s="9" t="s">
        <v>9</v>
      </c>
      <c r="C920" s="9">
        <v>1926</v>
      </c>
      <c r="D920" s="10">
        <v>45722</v>
      </c>
      <c r="E920" s="11" t="str">
        <f>+HYPERLINK("http://trademark.i-assist.jp/data/china/image_1926th/82209905.pdf","82209905")</f>
        <v>82209905</v>
      </c>
      <c r="F920" s="9" t="s">
        <v>2641</v>
      </c>
      <c r="G920" s="12" t="s">
        <v>2642</v>
      </c>
      <c r="H920" s="9" t="s">
        <v>2643</v>
      </c>
      <c r="I920" s="10">
        <v>45623</v>
      </c>
    </row>
    <row r="921" spans="1:9" x14ac:dyDescent="0.15">
      <c r="A921" s="9">
        <v>920</v>
      </c>
      <c r="B921" s="9" t="s">
        <v>9</v>
      </c>
      <c r="C921" s="9">
        <v>1926</v>
      </c>
      <c r="D921" s="10">
        <v>45722</v>
      </c>
      <c r="E921" s="11" t="str">
        <f>+HYPERLINK("http://trademark.i-assist.jp/data/china/image_1926th/82210154.pdf","82210154")</f>
        <v>82210154</v>
      </c>
      <c r="F921" s="9" t="s">
        <v>2644</v>
      </c>
      <c r="G921" s="9" t="s">
        <v>2645</v>
      </c>
      <c r="H921" s="9" t="s">
        <v>2646</v>
      </c>
      <c r="I921" s="10">
        <v>45623</v>
      </c>
    </row>
    <row r="922" spans="1:9" x14ac:dyDescent="0.15">
      <c r="A922" s="9">
        <v>921</v>
      </c>
      <c r="B922" s="9" t="s">
        <v>9</v>
      </c>
      <c r="C922" s="9">
        <v>1926</v>
      </c>
      <c r="D922" s="10">
        <v>45722</v>
      </c>
      <c r="E922" s="11" t="str">
        <f>+HYPERLINK("http://trademark.i-assist.jp/data/china/image_1926th/82210206.pdf","82210206")</f>
        <v>82210206</v>
      </c>
      <c r="F922" s="9" t="s">
        <v>2647</v>
      </c>
      <c r="G922" s="12" t="s">
        <v>2648</v>
      </c>
      <c r="H922" s="9" t="s">
        <v>2649</v>
      </c>
      <c r="I922" s="10">
        <v>45623</v>
      </c>
    </row>
    <row r="923" spans="1:9" x14ac:dyDescent="0.15">
      <c r="A923" s="9">
        <v>922</v>
      </c>
      <c r="B923" s="9" t="s">
        <v>9</v>
      </c>
      <c r="C923" s="9">
        <v>1926</v>
      </c>
      <c r="D923" s="10">
        <v>45722</v>
      </c>
      <c r="E923" s="11" t="str">
        <f>+HYPERLINK("http://trademark.i-assist.jp/data/china/image_1926th/82210239.pdf","82210239")</f>
        <v>82210239</v>
      </c>
      <c r="F923" s="9" t="s">
        <v>2650</v>
      </c>
      <c r="G923" s="9" t="s">
        <v>2651</v>
      </c>
      <c r="H923" s="9" t="s">
        <v>2652</v>
      </c>
      <c r="I923" s="10">
        <v>45623</v>
      </c>
    </row>
    <row r="924" spans="1:9" x14ac:dyDescent="0.15">
      <c r="A924" s="9">
        <v>923</v>
      </c>
      <c r="B924" s="9" t="s">
        <v>9</v>
      </c>
      <c r="C924" s="9">
        <v>1926</v>
      </c>
      <c r="D924" s="10">
        <v>45722</v>
      </c>
      <c r="E924" s="11" t="str">
        <f>+HYPERLINK("http://trademark.i-assist.jp/data/china/image_1926th/82210459.pdf","82210459")</f>
        <v>82210459</v>
      </c>
      <c r="F924" s="9" t="s">
        <v>2653</v>
      </c>
      <c r="G924" s="9" t="s">
        <v>2654</v>
      </c>
      <c r="H924" s="9" t="s">
        <v>2655</v>
      </c>
      <c r="I924" s="10">
        <v>45623</v>
      </c>
    </row>
    <row r="925" spans="1:9" x14ac:dyDescent="0.15">
      <c r="A925" s="9">
        <v>924</v>
      </c>
      <c r="B925" s="9" t="s">
        <v>9</v>
      </c>
      <c r="C925" s="9">
        <v>1926</v>
      </c>
      <c r="D925" s="10">
        <v>45722</v>
      </c>
      <c r="E925" s="11" t="str">
        <f>+HYPERLINK("http://trademark.i-assist.jp/data/china/image_1926th/82210484.pdf","82210484")</f>
        <v>82210484</v>
      </c>
      <c r="F925" s="9" t="s">
        <v>2656</v>
      </c>
      <c r="G925" s="9" t="s">
        <v>2651</v>
      </c>
      <c r="H925" s="9" t="s">
        <v>2657</v>
      </c>
      <c r="I925" s="10">
        <v>45623</v>
      </c>
    </row>
    <row r="926" spans="1:9" x14ac:dyDescent="0.15">
      <c r="A926" s="9">
        <v>925</v>
      </c>
      <c r="B926" s="9" t="s">
        <v>9</v>
      </c>
      <c r="C926" s="9">
        <v>1926</v>
      </c>
      <c r="D926" s="10">
        <v>45722</v>
      </c>
      <c r="E926" s="11" t="str">
        <f>+HYPERLINK("http://trademark.i-assist.jp/data/china/image_1926th/82211039.pdf","82211039")</f>
        <v>82211039</v>
      </c>
      <c r="F926" s="9" t="s">
        <v>2658</v>
      </c>
      <c r="G926" s="9" t="s">
        <v>2659</v>
      </c>
      <c r="H926" s="9" t="s">
        <v>2660</v>
      </c>
      <c r="I926" s="10">
        <v>45623</v>
      </c>
    </row>
    <row r="927" spans="1:9" x14ac:dyDescent="0.15">
      <c r="A927" s="9">
        <v>926</v>
      </c>
      <c r="B927" s="9" t="s">
        <v>9</v>
      </c>
      <c r="C927" s="9">
        <v>1926</v>
      </c>
      <c r="D927" s="10">
        <v>45722</v>
      </c>
      <c r="E927" s="11" t="str">
        <f>+HYPERLINK("http://trademark.i-assist.jp/data/china/image_1926th/82211136.pdf","82211136")</f>
        <v>82211136</v>
      </c>
      <c r="F927" s="9" t="s">
        <v>2599</v>
      </c>
      <c r="G927" s="9" t="s">
        <v>2600</v>
      </c>
      <c r="H927" s="9" t="s">
        <v>2661</v>
      </c>
      <c r="I927" s="10">
        <v>45623</v>
      </c>
    </row>
    <row r="928" spans="1:9" x14ac:dyDescent="0.15">
      <c r="A928" s="9">
        <v>927</v>
      </c>
      <c r="B928" s="9" t="s">
        <v>9</v>
      </c>
      <c r="C928" s="9">
        <v>1926</v>
      </c>
      <c r="D928" s="10">
        <v>45722</v>
      </c>
      <c r="E928" s="11" t="str">
        <f>+HYPERLINK("http://trademark.i-assist.jp/data/china/image_1926th/82211768.pdf","82211768")</f>
        <v>82211768</v>
      </c>
      <c r="F928" s="9" t="s">
        <v>2662</v>
      </c>
      <c r="G928" s="12" t="s">
        <v>2663</v>
      </c>
      <c r="H928" s="9" t="s">
        <v>2664</v>
      </c>
      <c r="I928" s="10">
        <v>45623</v>
      </c>
    </row>
    <row r="929" spans="1:9" x14ac:dyDescent="0.15">
      <c r="A929" s="9">
        <v>928</v>
      </c>
      <c r="B929" s="9" t="s">
        <v>9</v>
      </c>
      <c r="C929" s="9">
        <v>1926</v>
      </c>
      <c r="D929" s="10">
        <v>45722</v>
      </c>
      <c r="E929" s="11" t="str">
        <f>+HYPERLINK("http://trademark.i-assist.jp/data/china/image_1926th/82212193.pdf","82212193")</f>
        <v>82212193</v>
      </c>
      <c r="F929" s="9" t="s">
        <v>2665</v>
      </c>
      <c r="G929" s="9" t="s">
        <v>2645</v>
      </c>
      <c r="H929" s="9" t="s">
        <v>2666</v>
      </c>
      <c r="I929" s="10">
        <v>45623</v>
      </c>
    </row>
    <row r="930" spans="1:9" x14ac:dyDescent="0.15">
      <c r="A930" s="9">
        <v>929</v>
      </c>
      <c r="B930" s="9" t="s">
        <v>9</v>
      </c>
      <c r="C930" s="9">
        <v>1926</v>
      </c>
      <c r="D930" s="10">
        <v>45722</v>
      </c>
      <c r="E930" s="11" t="str">
        <f>+HYPERLINK("http://trademark.i-assist.jp/data/china/image_1926th/82212260.pdf","82212260")</f>
        <v>82212260</v>
      </c>
      <c r="F930" s="9" t="s">
        <v>2667</v>
      </c>
      <c r="G930" s="9" t="s">
        <v>2668</v>
      </c>
      <c r="H930" s="9" t="s">
        <v>2669</v>
      </c>
      <c r="I930" s="10">
        <v>45623</v>
      </c>
    </row>
    <row r="931" spans="1:9" x14ac:dyDescent="0.15">
      <c r="A931" s="9">
        <v>930</v>
      </c>
      <c r="B931" s="9" t="s">
        <v>9</v>
      </c>
      <c r="C931" s="9">
        <v>1926</v>
      </c>
      <c r="D931" s="10">
        <v>45722</v>
      </c>
      <c r="E931" s="11" t="str">
        <f>+HYPERLINK("http://trademark.i-assist.jp/data/china/image_1926th/82212525.pdf","82212525")</f>
        <v>82212525</v>
      </c>
      <c r="F931" s="12" t="s">
        <v>2670</v>
      </c>
      <c r="G931" s="9" t="s">
        <v>2671</v>
      </c>
      <c r="H931" s="9" t="s">
        <v>2672</v>
      </c>
      <c r="I931" s="10">
        <v>45623</v>
      </c>
    </row>
    <row r="932" spans="1:9" x14ac:dyDescent="0.15">
      <c r="A932" s="9">
        <v>931</v>
      </c>
      <c r="B932" s="9" t="s">
        <v>9</v>
      </c>
      <c r="C932" s="9">
        <v>1926</v>
      </c>
      <c r="D932" s="10">
        <v>45722</v>
      </c>
      <c r="E932" s="11" t="str">
        <f>+HYPERLINK("http://trademark.i-assist.jp/data/china/image_1926th/82212783.pdf","82212783")</f>
        <v>82212783</v>
      </c>
      <c r="F932" s="12" t="s">
        <v>20</v>
      </c>
      <c r="G932" s="9" t="s">
        <v>2673</v>
      </c>
      <c r="H932" s="9" t="s">
        <v>2674</v>
      </c>
      <c r="I932" s="10">
        <v>45623</v>
      </c>
    </row>
    <row r="933" spans="1:9" x14ac:dyDescent="0.15">
      <c r="A933" s="9">
        <v>932</v>
      </c>
      <c r="B933" s="9" t="s">
        <v>9</v>
      </c>
      <c r="C933" s="9">
        <v>1926</v>
      </c>
      <c r="D933" s="10">
        <v>45722</v>
      </c>
      <c r="E933" s="11" t="str">
        <f>+HYPERLINK("http://trademark.i-assist.jp/data/china/image_1926th/82212896.pdf","82212896")</f>
        <v>82212896</v>
      </c>
      <c r="F933" s="9" t="s">
        <v>2675</v>
      </c>
      <c r="G933" s="9" t="s">
        <v>2676</v>
      </c>
      <c r="H933" s="9" t="s">
        <v>2677</v>
      </c>
      <c r="I933" s="10">
        <v>45623</v>
      </c>
    </row>
    <row r="934" spans="1:9" x14ac:dyDescent="0.15">
      <c r="A934" s="9">
        <v>933</v>
      </c>
      <c r="B934" s="9" t="s">
        <v>9</v>
      </c>
      <c r="C934" s="9">
        <v>1926</v>
      </c>
      <c r="D934" s="10">
        <v>45722</v>
      </c>
      <c r="E934" s="11" t="str">
        <f>+HYPERLINK("http://trademark.i-assist.jp/data/china/image_1926th/82213615.pdf","82213615")</f>
        <v>82213615</v>
      </c>
      <c r="F934" s="9" t="s">
        <v>2678</v>
      </c>
      <c r="G934" s="9" t="s">
        <v>2679</v>
      </c>
      <c r="H934" s="9" t="s">
        <v>2680</v>
      </c>
      <c r="I934" s="10">
        <v>45623</v>
      </c>
    </row>
    <row r="935" spans="1:9" x14ac:dyDescent="0.15">
      <c r="A935" s="9">
        <v>934</v>
      </c>
      <c r="B935" s="9" t="s">
        <v>9</v>
      </c>
      <c r="C935" s="9">
        <v>1926</v>
      </c>
      <c r="D935" s="10">
        <v>45722</v>
      </c>
      <c r="E935" s="11" t="str">
        <f>+HYPERLINK("http://trademark.i-assist.jp/data/china/image_1926th/82213676.pdf","82213676")</f>
        <v>82213676</v>
      </c>
      <c r="F935" s="9" t="s">
        <v>2681</v>
      </c>
      <c r="G935" s="12" t="s">
        <v>2682</v>
      </c>
      <c r="H935" s="9" t="s">
        <v>2683</v>
      </c>
      <c r="I935" s="10">
        <v>45623</v>
      </c>
    </row>
    <row r="936" spans="1:9" x14ac:dyDescent="0.15">
      <c r="A936" s="9">
        <v>935</v>
      </c>
      <c r="B936" s="9" t="s">
        <v>9</v>
      </c>
      <c r="C936" s="9">
        <v>1926</v>
      </c>
      <c r="D936" s="10">
        <v>45722</v>
      </c>
      <c r="E936" s="11" t="str">
        <f>+HYPERLINK("http://trademark.i-assist.jp/data/china/image_1926th/82214198.pdf","82214198")</f>
        <v>82214198</v>
      </c>
      <c r="F936" s="9" t="s">
        <v>2684</v>
      </c>
      <c r="G936" s="12" t="s">
        <v>2685</v>
      </c>
      <c r="H936" s="9" t="s">
        <v>2686</v>
      </c>
      <c r="I936" s="10">
        <v>45623</v>
      </c>
    </row>
    <row r="937" spans="1:9" x14ac:dyDescent="0.15">
      <c r="A937" s="9">
        <v>936</v>
      </c>
      <c r="B937" s="9" t="s">
        <v>9</v>
      </c>
      <c r="C937" s="9">
        <v>1926</v>
      </c>
      <c r="D937" s="10">
        <v>45722</v>
      </c>
      <c r="E937" s="11" t="str">
        <f>+HYPERLINK("http://trademark.i-assist.jp/data/china/image_1926th/82214325.pdf","82214325")</f>
        <v>82214325</v>
      </c>
      <c r="F937" s="9" t="s">
        <v>2599</v>
      </c>
      <c r="G937" s="9" t="s">
        <v>2600</v>
      </c>
      <c r="H937" s="12" t="s">
        <v>2687</v>
      </c>
      <c r="I937" s="10">
        <v>45623</v>
      </c>
    </row>
    <row r="938" spans="1:9" x14ac:dyDescent="0.15">
      <c r="A938" s="9">
        <v>937</v>
      </c>
      <c r="B938" s="9" t="s">
        <v>9</v>
      </c>
      <c r="C938" s="9">
        <v>1926</v>
      </c>
      <c r="D938" s="10">
        <v>45722</v>
      </c>
      <c r="E938" s="11" t="str">
        <f>+HYPERLINK("http://trademark.i-assist.jp/data/china/image_1926th/82214332.pdf","82214332")</f>
        <v>82214332</v>
      </c>
      <c r="F938" s="9" t="s">
        <v>2688</v>
      </c>
      <c r="G938" s="9" t="s">
        <v>2689</v>
      </c>
      <c r="H938" s="9" t="s">
        <v>2690</v>
      </c>
      <c r="I938" s="10">
        <v>45623</v>
      </c>
    </row>
    <row r="939" spans="1:9" x14ac:dyDescent="0.15">
      <c r="A939" s="9">
        <v>938</v>
      </c>
      <c r="B939" s="9" t="s">
        <v>9</v>
      </c>
      <c r="C939" s="9">
        <v>1926</v>
      </c>
      <c r="D939" s="10">
        <v>45722</v>
      </c>
      <c r="E939" s="11" t="str">
        <f>+HYPERLINK("http://trademark.i-assist.jp/data/china/image_1926th/82214590.pdf","82214590")</f>
        <v>82214590</v>
      </c>
      <c r="F939" s="9" t="s">
        <v>2691</v>
      </c>
      <c r="G939" s="12" t="s">
        <v>2692</v>
      </c>
      <c r="H939" s="9" t="s">
        <v>2693</v>
      </c>
      <c r="I939" s="10">
        <v>45623</v>
      </c>
    </row>
    <row r="940" spans="1:9" x14ac:dyDescent="0.15">
      <c r="A940" s="9">
        <v>939</v>
      </c>
      <c r="B940" s="9" t="s">
        <v>9</v>
      </c>
      <c r="C940" s="9">
        <v>1926</v>
      </c>
      <c r="D940" s="10">
        <v>45722</v>
      </c>
      <c r="E940" s="11" t="str">
        <f>+HYPERLINK("http://trademark.i-assist.jp/data/china/image_1926th/82214619.pdf","82214619")</f>
        <v>82214619</v>
      </c>
      <c r="F940" s="9" t="s">
        <v>2694</v>
      </c>
      <c r="G940" s="9" t="s">
        <v>99</v>
      </c>
      <c r="H940" s="9" t="s">
        <v>2695</v>
      </c>
      <c r="I940" s="10">
        <v>45623</v>
      </c>
    </row>
    <row r="941" spans="1:9" x14ac:dyDescent="0.15">
      <c r="A941" s="9">
        <v>940</v>
      </c>
      <c r="B941" s="9" t="s">
        <v>9</v>
      </c>
      <c r="C941" s="9">
        <v>1926</v>
      </c>
      <c r="D941" s="10">
        <v>45722</v>
      </c>
      <c r="E941" s="11" t="str">
        <f>+HYPERLINK("http://trademark.i-assist.jp/data/china/image_1926th/82214862.pdf","82214862")</f>
        <v>82214862</v>
      </c>
      <c r="F941" s="9" t="s">
        <v>2696</v>
      </c>
      <c r="G941" s="9" t="s">
        <v>2697</v>
      </c>
      <c r="H941" s="9" t="s">
        <v>2698</v>
      </c>
      <c r="I941" s="10">
        <v>45623</v>
      </c>
    </row>
    <row r="942" spans="1:9" x14ac:dyDescent="0.15">
      <c r="A942" s="9">
        <v>941</v>
      </c>
      <c r="B942" s="9" t="s">
        <v>9</v>
      </c>
      <c r="C942" s="9">
        <v>1926</v>
      </c>
      <c r="D942" s="10">
        <v>45722</v>
      </c>
      <c r="E942" s="11" t="str">
        <f>+HYPERLINK("http://trademark.i-assist.jp/data/china/image_1926th/82215007.pdf","82215007")</f>
        <v>82215007</v>
      </c>
      <c r="F942" s="9" t="s">
        <v>2699</v>
      </c>
      <c r="G942" s="12" t="s">
        <v>2700</v>
      </c>
      <c r="H942" s="9" t="s">
        <v>2701</v>
      </c>
      <c r="I942" s="10">
        <v>45623</v>
      </c>
    </row>
    <row r="943" spans="1:9" x14ac:dyDescent="0.15">
      <c r="A943" s="9">
        <v>942</v>
      </c>
      <c r="B943" s="9" t="s">
        <v>9</v>
      </c>
      <c r="C943" s="9">
        <v>1926</v>
      </c>
      <c r="D943" s="10">
        <v>45722</v>
      </c>
      <c r="E943" s="11" t="str">
        <f>+HYPERLINK("http://trademark.i-assist.jp/data/china/image_1926th/82215020.pdf","82215020")</f>
        <v>82215020</v>
      </c>
      <c r="F943" s="12" t="s">
        <v>2702</v>
      </c>
      <c r="G943" s="12" t="s">
        <v>2702</v>
      </c>
      <c r="H943" s="9" t="s">
        <v>2703</v>
      </c>
      <c r="I943" s="10">
        <v>45623</v>
      </c>
    </row>
    <row r="944" spans="1:9" x14ac:dyDescent="0.15">
      <c r="A944" s="9">
        <v>943</v>
      </c>
      <c r="B944" s="9" t="s">
        <v>9</v>
      </c>
      <c r="C944" s="9">
        <v>1926</v>
      </c>
      <c r="D944" s="10">
        <v>45722</v>
      </c>
      <c r="E944" s="11" t="str">
        <f>+HYPERLINK("http://trademark.i-assist.jp/data/china/image_1926th/82215436.pdf","82215436")</f>
        <v>82215436</v>
      </c>
      <c r="F944" s="9" t="s">
        <v>2704</v>
      </c>
      <c r="G944" s="12" t="s">
        <v>103</v>
      </c>
      <c r="H944" s="9" t="s">
        <v>2705</v>
      </c>
      <c r="I944" s="10">
        <v>45623</v>
      </c>
    </row>
    <row r="945" spans="1:9" x14ac:dyDescent="0.15">
      <c r="A945" s="9">
        <v>944</v>
      </c>
      <c r="B945" s="9" t="s">
        <v>9</v>
      </c>
      <c r="C945" s="9">
        <v>1926</v>
      </c>
      <c r="D945" s="10">
        <v>45722</v>
      </c>
      <c r="E945" s="11" t="str">
        <f>+HYPERLINK("http://trademark.i-assist.jp/data/china/image_1926th/82215674.pdf","82215674")</f>
        <v>82215674</v>
      </c>
      <c r="F945" s="9" t="s">
        <v>2706</v>
      </c>
      <c r="G945" s="9" t="s">
        <v>2651</v>
      </c>
      <c r="H945" s="9" t="s">
        <v>2707</v>
      </c>
      <c r="I945" s="10">
        <v>45623</v>
      </c>
    </row>
    <row r="946" spans="1:9" x14ac:dyDescent="0.15">
      <c r="A946" s="9">
        <v>945</v>
      </c>
      <c r="B946" s="9" t="s">
        <v>9</v>
      </c>
      <c r="C946" s="9">
        <v>1926</v>
      </c>
      <c r="D946" s="10">
        <v>45722</v>
      </c>
      <c r="E946" s="11" t="str">
        <f>+HYPERLINK("http://trademark.i-assist.jp/data/china/image_1926th/82215900.pdf","82215900")</f>
        <v>82215900</v>
      </c>
      <c r="F946" s="9" t="s">
        <v>2708</v>
      </c>
      <c r="G946" s="9" t="s">
        <v>2709</v>
      </c>
      <c r="H946" s="9" t="s">
        <v>2710</v>
      </c>
      <c r="I946" s="10">
        <v>45623</v>
      </c>
    </row>
    <row r="947" spans="1:9" x14ac:dyDescent="0.15">
      <c r="A947" s="9">
        <v>946</v>
      </c>
      <c r="B947" s="9" t="s">
        <v>9</v>
      </c>
      <c r="C947" s="9">
        <v>1926</v>
      </c>
      <c r="D947" s="10">
        <v>45722</v>
      </c>
      <c r="E947" s="11" t="str">
        <f>+HYPERLINK("http://trademark.i-assist.jp/data/china/image_1926th/82215956.pdf","82215956")</f>
        <v>82215956</v>
      </c>
      <c r="F947" s="9" t="s">
        <v>2711</v>
      </c>
      <c r="G947" s="9" t="s">
        <v>16</v>
      </c>
      <c r="H947" s="9" t="s">
        <v>2712</v>
      </c>
      <c r="I947" s="10">
        <v>45623</v>
      </c>
    </row>
    <row r="948" spans="1:9" x14ac:dyDescent="0.15">
      <c r="A948" s="9">
        <v>947</v>
      </c>
      <c r="B948" s="9" t="s">
        <v>9</v>
      </c>
      <c r="C948" s="9">
        <v>1926</v>
      </c>
      <c r="D948" s="10">
        <v>45722</v>
      </c>
      <c r="E948" s="11" t="str">
        <f>+HYPERLINK("http://trademark.i-assist.jp/data/china/image_1926th/82217357.pdf","82217357")</f>
        <v>82217357</v>
      </c>
      <c r="F948" s="9" t="s">
        <v>2713</v>
      </c>
      <c r="G948" s="12" t="s">
        <v>2714</v>
      </c>
      <c r="H948" s="9" t="s">
        <v>2715</v>
      </c>
      <c r="I948" s="10">
        <v>45623</v>
      </c>
    </row>
    <row r="949" spans="1:9" x14ac:dyDescent="0.15">
      <c r="A949" s="9">
        <v>948</v>
      </c>
      <c r="B949" s="9" t="s">
        <v>9</v>
      </c>
      <c r="C949" s="9">
        <v>1926</v>
      </c>
      <c r="D949" s="10">
        <v>45722</v>
      </c>
      <c r="E949" s="11" t="str">
        <f>+HYPERLINK("http://trademark.i-assist.jp/data/china/image_1926th/82217377.pdf","82217377")</f>
        <v>82217377</v>
      </c>
      <c r="F949" s="12" t="s">
        <v>2716</v>
      </c>
      <c r="G949" s="12" t="s">
        <v>2717</v>
      </c>
      <c r="H949" s="9" t="s">
        <v>2718</v>
      </c>
      <c r="I949" s="10">
        <v>45623</v>
      </c>
    </row>
    <row r="950" spans="1:9" x14ac:dyDescent="0.15">
      <c r="A950" s="9">
        <v>949</v>
      </c>
      <c r="B950" s="9" t="s">
        <v>9</v>
      </c>
      <c r="C950" s="9">
        <v>1926</v>
      </c>
      <c r="D950" s="10">
        <v>45722</v>
      </c>
      <c r="E950" s="11" t="str">
        <f>+HYPERLINK("http://trademark.i-assist.jp/data/china/image_1926th/82217698.pdf","82217698")</f>
        <v>82217698</v>
      </c>
      <c r="F950" s="12" t="s">
        <v>2719</v>
      </c>
      <c r="G950" s="9" t="s">
        <v>2720</v>
      </c>
      <c r="H950" s="9" t="s">
        <v>2721</v>
      </c>
      <c r="I950" s="10">
        <v>45623</v>
      </c>
    </row>
    <row r="951" spans="1:9" x14ac:dyDescent="0.15">
      <c r="A951" s="9">
        <v>950</v>
      </c>
      <c r="B951" s="9" t="s">
        <v>9</v>
      </c>
      <c r="C951" s="9">
        <v>1926</v>
      </c>
      <c r="D951" s="10">
        <v>45722</v>
      </c>
      <c r="E951" s="11" t="str">
        <f>+HYPERLINK("http://trademark.i-assist.jp/data/china/image_1926th/82217725.pdf","82217725")</f>
        <v>82217725</v>
      </c>
      <c r="F951" s="9" t="s">
        <v>2599</v>
      </c>
      <c r="G951" s="9" t="s">
        <v>2600</v>
      </c>
      <c r="H951" s="12" t="s">
        <v>2722</v>
      </c>
      <c r="I951" s="10">
        <v>45623</v>
      </c>
    </row>
    <row r="952" spans="1:9" x14ac:dyDescent="0.15">
      <c r="A952" s="9">
        <v>951</v>
      </c>
      <c r="B952" s="9" t="s">
        <v>9</v>
      </c>
      <c r="C952" s="9">
        <v>1926</v>
      </c>
      <c r="D952" s="10">
        <v>45722</v>
      </c>
      <c r="E952" s="11" t="str">
        <f>+HYPERLINK("http://trademark.i-assist.jp/data/china/image_1926th/82218168.pdf","82218168")</f>
        <v>82218168</v>
      </c>
      <c r="F952" s="9" t="s">
        <v>2723</v>
      </c>
      <c r="G952" s="9" t="s">
        <v>2724</v>
      </c>
      <c r="H952" s="12" t="s">
        <v>2725</v>
      </c>
      <c r="I952" s="10">
        <v>45623</v>
      </c>
    </row>
    <row r="953" spans="1:9" x14ac:dyDescent="0.15">
      <c r="A953" s="9">
        <v>952</v>
      </c>
      <c r="B953" s="9" t="s">
        <v>9</v>
      </c>
      <c r="C953" s="9">
        <v>1926</v>
      </c>
      <c r="D953" s="10">
        <v>45722</v>
      </c>
      <c r="E953" s="11" t="str">
        <f>+HYPERLINK("http://trademark.i-assist.jp/data/china/image_1926th/82218253.pdf","82218253")</f>
        <v>82218253</v>
      </c>
      <c r="F953" s="9" t="s">
        <v>2726</v>
      </c>
      <c r="G953" s="9" t="s">
        <v>180</v>
      </c>
      <c r="H953" s="12" t="s">
        <v>2727</v>
      </c>
      <c r="I953" s="10">
        <v>45623</v>
      </c>
    </row>
    <row r="954" spans="1:9" x14ac:dyDescent="0.15">
      <c r="A954" s="9">
        <v>953</v>
      </c>
      <c r="B954" s="9" t="s">
        <v>9</v>
      </c>
      <c r="C954" s="9">
        <v>1926</v>
      </c>
      <c r="D954" s="10">
        <v>45722</v>
      </c>
      <c r="E954" s="11" t="str">
        <f>+HYPERLINK("http://trademark.i-assist.jp/data/china/image_1926th/82218365.pdf","82218365")</f>
        <v>82218365</v>
      </c>
      <c r="F954" s="9" t="s">
        <v>2728</v>
      </c>
      <c r="G954" s="9" t="s">
        <v>2729</v>
      </c>
      <c r="H954" s="9" t="s">
        <v>2730</v>
      </c>
      <c r="I954" s="10">
        <v>45623</v>
      </c>
    </row>
    <row r="955" spans="1:9" x14ac:dyDescent="0.15">
      <c r="A955" s="9">
        <v>954</v>
      </c>
      <c r="B955" s="9" t="s">
        <v>9</v>
      </c>
      <c r="C955" s="9">
        <v>1926</v>
      </c>
      <c r="D955" s="10">
        <v>45722</v>
      </c>
      <c r="E955" s="11" t="str">
        <f>+HYPERLINK("http://trademark.i-assist.jp/data/china/image_1926th/82218534.pdf","82218534")</f>
        <v>82218534</v>
      </c>
      <c r="F955" s="9" t="s">
        <v>2731</v>
      </c>
      <c r="G955" s="9" t="s">
        <v>2564</v>
      </c>
      <c r="H955" s="9" t="s">
        <v>2732</v>
      </c>
      <c r="I955" s="10">
        <v>45623</v>
      </c>
    </row>
    <row r="956" spans="1:9" x14ac:dyDescent="0.15">
      <c r="A956" s="9">
        <v>955</v>
      </c>
      <c r="B956" s="9" t="s">
        <v>9</v>
      </c>
      <c r="C956" s="9">
        <v>1926</v>
      </c>
      <c r="D956" s="10">
        <v>45722</v>
      </c>
      <c r="E956" s="11" t="str">
        <f>+HYPERLINK("http://trademark.i-assist.jp/data/china/image_1926th/82218934.pdf","82218934")</f>
        <v>82218934</v>
      </c>
      <c r="F956" s="9" t="s">
        <v>2733</v>
      </c>
      <c r="G956" s="9" t="s">
        <v>2564</v>
      </c>
      <c r="H956" s="9" t="s">
        <v>2734</v>
      </c>
      <c r="I956" s="10">
        <v>45623</v>
      </c>
    </row>
    <row r="957" spans="1:9" x14ac:dyDescent="0.15">
      <c r="A957" s="9">
        <v>956</v>
      </c>
      <c r="B957" s="9" t="s">
        <v>9</v>
      </c>
      <c r="C957" s="9">
        <v>1926</v>
      </c>
      <c r="D957" s="10">
        <v>45722</v>
      </c>
      <c r="E957" s="11" t="str">
        <f>+HYPERLINK("http://trademark.i-assist.jp/data/china/image_1926th/82219007.pdf","82219007")</f>
        <v>82219007</v>
      </c>
      <c r="F957" s="9" t="s">
        <v>2735</v>
      </c>
      <c r="G957" s="9" t="s">
        <v>116</v>
      </c>
      <c r="H957" s="12" t="s">
        <v>2736</v>
      </c>
      <c r="I957" s="10">
        <v>45623</v>
      </c>
    </row>
    <row r="958" spans="1:9" x14ac:dyDescent="0.15">
      <c r="A958" s="9">
        <v>957</v>
      </c>
      <c r="B958" s="9" t="s">
        <v>9</v>
      </c>
      <c r="C958" s="9">
        <v>1926</v>
      </c>
      <c r="D958" s="10">
        <v>45722</v>
      </c>
      <c r="E958" s="11" t="str">
        <f>+HYPERLINK("http://trademark.i-assist.jp/data/china/image_1926th/82219021.pdf","82219021")</f>
        <v>82219021</v>
      </c>
      <c r="F958" s="9" t="s">
        <v>2737</v>
      </c>
      <c r="G958" s="12" t="s">
        <v>2738</v>
      </c>
      <c r="H958" s="9" t="s">
        <v>2739</v>
      </c>
      <c r="I958" s="10">
        <v>45623</v>
      </c>
    </row>
    <row r="959" spans="1:9" x14ac:dyDescent="0.15">
      <c r="A959" s="9">
        <v>958</v>
      </c>
      <c r="B959" s="9" t="s">
        <v>9</v>
      </c>
      <c r="C959" s="9">
        <v>1926</v>
      </c>
      <c r="D959" s="10">
        <v>45722</v>
      </c>
      <c r="E959" s="11" t="str">
        <f>+HYPERLINK("http://trademark.i-assist.jp/data/china/image_1926th/82219105.pdf","82219105")</f>
        <v>82219105</v>
      </c>
      <c r="F959" s="9" t="s">
        <v>2740</v>
      </c>
      <c r="G959" s="9" t="s">
        <v>2741</v>
      </c>
      <c r="H959" s="9" t="s">
        <v>2742</v>
      </c>
      <c r="I959" s="10">
        <v>45623</v>
      </c>
    </row>
    <row r="960" spans="1:9" x14ac:dyDescent="0.15">
      <c r="A960" s="9">
        <v>959</v>
      </c>
      <c r="B960" s="9" t="s">
        <v>9</v>
      </c>
      <c r="C960" s="9">
        <v>1926</v>
      </c>
      <c r="D960" s="10">
        <v>45722</v>
      </c>
      <c r="E960" s="11" t="str">
        <f>+HYPERLINK("http://trademark.i-assist.jp/data/china/image_1926th/82219361.pdf","82219361")</f>
        <v>82219361</v>
      </c>
      <c r="F960" s="9" t="s">
        <v>2743</v>
      </c>
      <c r="G960" s="12" t="s">
        <v>2744</v>
      </c>
      <c r="H960" s="9" t="s">
        <v>2745</v>
      </c>
      <c r="I960" s="10">
        <v>45623</v>
      </c>
    </row>
    <row r="961" spans="1:9" x14ac:dyDescent="0.15">
      <c r="A961" s="9">
        <v>960</v>
      </c>
      <c r="B961" s="9" t="s">
        <v>9</v>
      </c>
      <c r="C961" s="9">
        <v>1926</v>
      </c>
      <c r="D961" s="10">
        <v>45722</v>
      </c>
      <c r="E961" s="11" t="str">
        <f>+HYPERLINK("http://trademark.i-assist.jp/data/china/image_1926th/82219922.pdf","82219922")</f>
        <v>82219922</v>
      </c>
      <c r="F961" s="9" t="s">
        <v>2746</v>
      </c>
      <c r="G961" s="9" t="s">
        <v>133</v>
      </c>
      <c r="H961" s="9" t="s">
        <v>2747</v>
      </c>
      <c r="I961" s="10">
        <v>45623</v>
      </c>
    </row>
    <row r="962" spans="1:9" x14ac:dyDescent="0.15">
      <c r="A962" s="9">
        <v>961</v>
      </c>
      <c r="B962" s="9" t="s">
        <v>9</v>
      </c>
      <c r="C962" s="9">
        <v>1926</v>
      </c>
      <c r="D962" s="10">
        <v>45722</v>
      </c>
      <c r="E962" s="11" t="str">
        <f>+HYPERLINK("http://trademark.i-assist.jp/data/china/image_1926th/82219938.pdf","82219938")</f>
        <v>82219938</v>
      </c>
      <c r="F962" s="9" t="s">
        <v>2748</v>
      </c>
      <c r="G962" s="9" t="s">
        <v>133</v>
      </c>
      <c r="H962" s="12" t="s">
        <v>2749</v>
      </c>
      <c r="I962" s="10">
        <v>45623</v>
      </c>
    </row>
    <row r="963" spans="1:9" x14ac:dyDescent="0.15">
      <c r="A963" s="9">
        <v>962</v>
      </c>
      <c r="B963" s="9" t="s">
        <v>9</v>
      </c>
      <c r="C963" s="9">
        <v>1926</v>
      </c>
      <c r="D963" s="10">
        <v>45722</v>
      </c>
      <c r="E963" s="11" t="str">
        <f>+HYPERLINK("http://trademark.i-assist.jp/data/china/image_1926th/82219956.pdf","82219956")</f>
        <v>82219956</v>
      </c>
      <c r="F963" s="13" t="s">
        <v>2750</v>
      </c>
      <c r="G963" s="9" t="s">
        <v>2751</v>
      </c>
      <c r="H963" s="9" t="s">
        <v>2752</v>
      </c>
      <c r="I963" s="10">
        <v>45623</v>
      </c>
    </row>
    <row r="964" spans="1:9" x14ac:dyDescent="0.15">
      <c r="A964" s="9">
        <v>963</v>
      </c>
      <c r="B964" s="9" t="s">
        <v>9</v>
      </c>
      <c r="C964" s="9">
        <v>1926</v>
      </c>
      <c r="D964" s="10">
        <v>45722</v>
      </c>
      <c r="E964" s="11" t="str">
        <f>+HYPERLINK("http://trademark.i-assist.jp/data/china/image_1926th/82220004.pdf","82220004")</f>
        <v>82220004</v>
      </c>
      <c r="F964" s="9" t="s">
        <v>2753</v>
      </c>
      <c r="G964" s="12" t="s">
        <v>2754</v>
      </c>
      <c r="H964" s="9" t="s">
        <v>2755</v>
      </c>
      <c r="I964" s="10">
        <v>45623</v>
      </c>
    </row>
    <row r="965" spans="1:9" x14ac:dyDescent="0.15">
      <c r="A965" s="9">
        <v>964</v>
      </c>
      <c r="B965" s="9" t="s">
        <v>9</v>
      </c>
      <c r="C965" s="9">
        <v>1926</v>
      </c>
      <c r="D965" s="10">
        <v>45722</v>
      </c>
      <c r="E965" s="11" t="str">
        <f>+HYPERLINK("http://trademark.i-assist.jp/data/china/image_1926th/82220195.pdf","82220195")</f>
        <v>82220195</v>
      </c>
      <c r="F965" s="9" t="s">
        <v>2756</v>
      </c>
      <c r="G965" s="9" t="s">
        <v>2757</v>
      </c>
      <c r="H965" s="9" t="s">
        <v>2758</v>
      </c>
      <c r="I965" s="10">
        <v>45623</v>
      </c>
    </row>
    <row r="966" spans="1:9" x14ac:dyDescent="0.15">
      <c r="A966" s="9">
        <v>965</v>
      </c>
      <c r="B966" s="9" t="s">
        <v>9</v>
      </c>
      <c r="C966" s="9">
        <v>1926</v>
      </c>
      <c r="D966" s="10">
        <v>45722</v>
      </c>
      <c r="E966" s="11" t="str">
        <f>+HYPERLINK("http://trademark.i-assist.jp/data/china/image_1926th/82220209.pdf","82220209")</f>
        <v>82220209</v>
      </c>
      <c r="F966" s="9" t="s">
        <v>2759</v>
      </c>
      <c r="G966" s="9" t="s">
        <v>115</v>
      </c>
      <c r="H966" s="12" t="s">
        <v>2760</v>
      </c>
      <c r="I966" s="10">
        <v>45623</v>
      </c>
    </row>
    <row r="967" spans="1:9" x14ac:dyDescent="0.15">
      <c r="A967" s="9">
        <v>966</v>
      </c>
      <c r="B967" s="9" t="s">
        <v>9</v>
      </c>
      <c r="C967" s="9">
        <v>1926</v>
      </c>
      <c r="D967" s="10">
        <v>45722</v>
      </c>
      <c r="E967" s="11" t="str">
        <f>+HYPERLINK("http://trademark.i-assist.jp/data/china/image_1926th/82220404.pdf","82220404")</f>
        <v>82220404</v>
      </c>
      <c r="F967" s="9" t="s">
        <v>2761</v>
      </c>
      <c r="G967" s="9" t="s">
        <v>2762</v>
      </c>
      <c r="H967" s="12" t="s">
        <v>2763</v>
      </c>
      <c r="I967" s="10">
        <v>45623</v>
      </c>
    </row>
    <row r="968" spans="1:9" x14ac:dyDescent="0.15">
      <c r="A968" s="9">
        <v>967</v>
      </c>
      <c r="B968" s="9" t="s">
        <v>9</v>
      </c>
      <c r="C968" s="9">
        <v>1926</v>
      </c>
      <c r="D968" s="10">
        <v>45722</v>
      </c>
      <c r="E968" s="11" t="str">
        <f>+HYPERLINK("http://trademark.i-assist.jp/data/china/image_1926th/82220474.pdf","82220474")</f>
        <v>82220474</v>
      </c>
      <c r="F968" s="9" t="s">
        <v>2764</v>
      </c>
      <c r="G968" s="9" t="s">
        <v>2765</v>
      </c>
      <c r="H968" s="9" t="s">
        <v>2766</v>
      </c>
      <c r="I968" s="10">
        <v>45623</v>
      </c>
    </row>
    <row r="969" spans="1:9" x14ac:dyDescent="0.15">
      <c r="A969" s="9">
        <v>968</v>
      </c>
      <c r="B969" s="9" t="s">
        <v>9</v>
      </c>
      <c r="C969" s="9">
        <v>1926</v>
      </c>
      <c r="D969" s="10">
        <v>45722</v>
      </c>
      <c r="E969" s="11" t="str">
        <f>+HYPERLINK("http://trademark.i-assist.jp/data/china/image_1926th/82220491.pdf","82220491")</f>
        <v>82220491</v>
      </c>
      <c r="F969" s="9" t="s">
        <v>2767</v>
      </c>
      <c r="G969" s="9" t="s">
        <v>2768</v>
      </c>
      <c r="H969" s="9" t="s">
        <v>2769</v>
      </c>
      <c r="I969" s="10">
        <v>45623</v>
      </c>
    </row>
    <row r="970" spans="1:9" x14ac:dyDescent="0.15">
      <c r="A970" s="9">
        <v>969</v>
      </c>
      <c r="B970" s="9" t="s">
        <v>9</v>
      </c>
      <c r="C970" s="9">
        <v>1926</v>
      </c>
      <c r="D970" s="10">
        <v>45722</v>
      </c>
      <c r="E970" s="11" t="str">
        <f>+HYPERLINK("http://trademark.i-assist.jp/data/china/image_1926th/82220509.pdf","82220509")</f>
        <v>82220509</v>
      </c>
      <c r="F970" s="9" t="s">
        <v>2770</v>
      </c>
      <c r="G970" s="12" t="s">
        <v>2771</v>
      </c>
      <c r="H970" s="12" t="s">
        <v>2772</v>
      </c>
      <c r="I970" s="10">
        <v>45623</v>
      </c>
    </row>
    <row r="971" spans="1:9" x14ac:dyDescent="0.15">
      <c r="A971" s="9">
        <v>970</v>
      </c>
      <c r="B971" s="9" t="s">
        <v>9</v>
      </c>
      <c r="C971" s="9">
        <v>1926</v>
      </c>
      <c r="D971" s="10">
        <v>45722</v>
      </c>
      <c r="E971" s="11" t="str">
        <f>+HYPERLINK("http://trademark.i-assist.jp/data/china/image_1926th/82220784.pdf","82220784")</f>
        <v>82220784</v>
      </c>
      <c r="F971" s="9" t="s">
        <v>2773</v>
      </c>
      <c r="G971" s="9" t="s">
        <v>2774</v>
      </c>
      <c r="H971" s="9" t="s">
        <v>2775</v>
      </c>
      <c r="I971" s="10">
        <v>45623</v>
      </c>
    </row>
    <row r="972" spans="1:9" x14ac:dyDescent="0.15">
      <c r="A972" s="9">
        <v>971</v>
      </c>
      <c r="B972" s="9" t="s">
        <v>9</v>
      </c>
      <c r="C972" s="9">
        <v>1926</v>
      </c>
      <c r="D972" s="10">
        <v>45722</v>
      </c>
      <c r="E972" s="11" t="str">
        <f>+HYPERLINK("http://trademark.i-assist.jp/data/china/image_1926th/82221727.pdf","82221727")</f>
        <v>82221727</v>
      </c>
      <c r="F972" s="9" t="s">
        <v>2776</v>
      </c>
      <c r="G972" s="12" t="s">
        <v>2692</v>
      </c>
      <c r="H972" s="9" t="s">
        <v>2777</v>
      </c>
      <c r="I972" s="10">
        <v>45623</v>
      </c>
    </row>
    <row r="973" spans="1:9" x14ac:dyDescent="0.15">
      <c r="A973" s="9">
        <v>972</v>
      </c>
      <c r="B973" s="9" t="s">
        <v>9</v>
      </c>
      <c r="C973" s="9">
        <v>1926</v>
      </c>
      <c r="D973" s="10">
        <v>45722</v>
      </c>
      <c r="E973" s="11" t="str">
        <f>+HYPERLINK("http://trademark.i-assist.jp/data/china/image_1926th/82222389.pdf","82222389")</f>
        <v>82222389</v>
      </c>
      <c r="F973" s="9" t="s">
        <v>2778</v>
      </c>
      <c r="G973" s="9" t="s">
        <v>2779</v>
      </c>
      <c r="H973" s="9" t="s">
        <v>2780</v>
      </c>
      <c r="I973" s="10">
        <v>45623</v>
      </c>
    </row>
    <row r="974" spans="1:9" x14ac:dyDescent="0.15">
      <c r="A974" s="9">
        <v>973</v>
      </c>
      <c r="B974" s="9" t="s">
        <v>9</v>
      </c>
      <c r="C974" s="9">
        <v>1926</v>
      </c>
      <c r="D974" s="10">
        <v>45722</v>
      </c>
      <c r="E974" s="11" t="str">
        <f>+HYPERLINK("http://trademark.i-assist.jp/data/china/image_1926th/82223773.pdf","82223773")</f>
        <v>82223773</v>
      </c>
      <c r="F974" s="9" t="s">
        <v>2781</v>
      </c>
      <c r="G974" s="9" t="s">
        <v>117</v>
      </c>
      <c r="H974" s="9" t="s">
        <v>2782</v>
      </c>
      <c r="I974" s="10">
        <v>45623</v>
      </c>
    </row>
    <row r="975" spans="1:9" x14ac:dyDescent="0.15">
      <c r="A975" s="9">
        <v>974</v>
      </c>
      <c r="B975" s="9" t="s">
        <v>9</v>
      </c>
      <c r="C975" s="9">
        <v>1926</v>
      </c>
      <c r="D975" s="10">
        <v>45722</v>
      </c>
      <c r="E975" s="11" t="str">
        <f>+HYPERLINK("http://trademark.i-assist.jp/data/china/image_1926th/82224110.pdf","82224110")</f>
        <v>82224110</v>
      </c>
      <c r="F975" s="9" t="s">
        <v>2783</v>
      </c>
      <c r="G975" s="9" t="s">
        <v>2784</v>
      </c>
      <c r="H975" s="9" t="s">
        <v>2785</v>
      </c>
      <c r="I975" s="10">
        <v>45623</v>
      </c>
    </row>
    <row r="976" spans="1:9" x14ac:dyDescent="0.15">
      <c r="A976" s="9">
        <v>975</v>
      </c>
      <c r="B976" s="9" t="s">
        <v>9</v>
      </c>
      <c r="C976" s="9">
        <v>1926</v>
      </c>
      <c r="D976" s="10">
        <v>45722</v>
      </c>
      <c r="E976" s="11" t="str">
        <f>+HYPERLINK("http://trademark.i-assist.jp/data/china/image_1926th/82224113.pdf","82224113")</f>
        <v>82224113</v>
      </c>
      <c r="F976" s="9" t="s">
        <v>2786</v>
      </c>
      <c r="G976" s="12" t="s">
        <v>87</v>
      </c>
      <c r="H976" s="9" t="s">
        <v>2787</v>
      </c>
      <c r="I976" s="10">
        <v>45623</v>
      </c>
    </row>
    <row r="977" spans="1:9" x14ac:dyDescent="0.15">
      <c r="A977" s="9">
        <v>976</v>
      </c>
      <c r="B977" s="9" t="s">
        <v>9</v>
      </c>
      <c r="C977" s="9">
        <v>1926</v>
      </c>
      <c r="D977" s="10">
        <v>45722</v>
      </c>
      <c r="E977" s="11" t="str">
        <f>+HYPERLINK("http://trademark.i-assist.jp/data/china/image_1926th/82224295.pdf","82224295")</f>
        <v>82224295</v>
      </c>
      <c r="F977" s="9" t="s">
        <v>2788</v>
      </c>
      <c r="G977" s="9" t="s">
        <v>2789</v>
      </c>
      <c r="H977" s="9" t="s">
        <v>2790</v>
      </c>
      <c r="I977" s="10">
        <v>45623</v>
      </c>
    </row>
    <row r="978" spans="1:9" x14ac:dyDescent="0.15">
      <c r="A978" s="9">
        <v>977</v>
      </c>
      <c r="B978" s="9" t="s">
        <v>9</v>
      </c>
      <c r="C978" s="9">
        <v>1926</v>
      </c>
      <c r="D978" s="10">
        <v>45722</v>
      </c>
      <c r="E978" s="11" t="str">
        <f>+HYPERLINK("http://trademark.i-assist.jp/data/china/image_1926th/82224434.pdf","82224434")</f>
        <v>82224434</v>
      </c>
      <c r="F978" s="9" t="s">
        <v>2791</v>
      </c>
      <c r="G978" s="9" t="s">
        <v>2792</v>
      </c>
      <c r="H978" s="9" t="s">
        <v>2793</v>
      </c>
      <c r="I978" s="10">
        <v>45623</v>
      </c>
    </row>
    <row r="979" spans="1:9" x14ac:dyDescent="0.15">
      <c r="A979" s="9">
        <v>978</v>
      </c>
      <c r="B979" s="9" t="s">
        <v>9</v>
      </c>
      <c r="C979" s="9">
        <v>1926</v>
      </c>
      <c r="D979" s="10">
        <v>45722</v>
      </c>
      <c r="E979" s="11" t="str">
        <f>+HYPERLINK("http://trademark.i-assist.jp/data/china/image_1926th/82225014.pdf","82225014")</f>
        <v>82225014</v>
      </c>
      <c r="F979" s="9" t="s">
        <v>2794</v>
      </c>
      <c r="G979" s="9" t="s">
        <v>2795</v>
      </c>
      <c r="H979" s="9" t="s">
        <v>2796</v>
      </c>
      <c r="I979" s="10">
        <v>45623</v>
      </c>
    </row>
    <row r="980" spans="1:9" x14ac:dyDescent="0.15">
      <c r="A980" s="9">
        <v>979</v>
      </c>
      <c r="B980" s="9" t="s">
        <v>9</v>
      </c>
      <c r="C980" s="9">
        <v>1926</v>
      </c>
      <c r="D980" s="10">
        <v>45722</v>
      </c>
      <c r="E980" s="11" t="str">
        <f>+HYPERLINK("http://trademark.i-assist.jp/data/china/image_1926th/82225180.pdf","82225180")</f>
        <v>82225180</v>
      </c>
      <c r="F980" s="12" t="s">
        <v>2797</v>
      </c>
      <c r="G980" s="9" t="s">
        <v>2798</v>
      </c>
      <c r="H980" s="12" t="s">
        <v>2799</v>
      </c>
      <c r="I980" s="10">
        <v>45623</v>
      </c>
    </row>
    <row r="981" spans="1:9" x14ac:dyDescent="0.15">
      <c r="A981" s="9">
        <v>980</v>
      </c>
      <c r="B981" s="9" t="s">
        <v>9</v>
      </c>
      <c r="C981" s="9">
        <v>1926</v>
      </c>
      <c r="D981" s="10">
        <v>45722</v>
      </c>
      <c r="E981" s="11" t="str">
        <f>+HYPERLINK("http://trademark.i-assist.jp/data/china/image_1926th/82225526.pdf","82225526")</f>
        <v>82225526</v>
      </c>
      <c r="F981" s="9" t="s">
        <v>2800</v>
      </c>
      <c r="G981" s="9" t="s">
        <v>2801</v>
      </c>
      <c r="H981" s="9" t="s">
        <v>2802</v>
      </c>
      <c r="I981" s="10">
        <v>45623</v>
      </c>
    </row>
    <row r="982" spans="1:9" x14ac:dyDescent="0.15">
      <c r="A982" s="9">
        <v>981</v>
      </c>
      <c r="B982" s="9" t="s">
        <v>9</v>
      </c>
      <c r="C982" s="9">
        <v>1926</v>
      </c>
      <c r="D982" s="10">
        <v>45722</v>
      </c>
      <c r="E982" s="11" t="str">
        <f>+HYPERLINK("http://trademark.i-assist.jp/data/china/image_1926th/82225946.pdf","82225946")</f>
        <v>82225946</v>
      </c>
      <c r="F982" s="9" t="s">
        <v>2803</v>
      </c>
      <c r="G982" s="9" t="s">
        <v>2804</v>
      </c>
      <c r="H982" s="9" t="s">
        <v>2805</v>
      </c>
      <c r="I982" s="10">
        <v>45623</v>
      </c>
    </row>
    <row r="983" spans="1:9" x14ac:dyDescent="0.15">
      <c r="A983" s="9">
        <v>982</v>
      </c>
      <c r="B983" s="9" t="s">
        <v>9</v>
      </c>
      <c r="C983" s="9">
        <v>1926</v>
      </c>
      <c r="D983" s="10">
        <v>45722</v>
      </c>
      <c r="E983" s="11" t="str">
        <f>+HYPERLINK("http://trademark.i-assist.jp/data/china/image_1926th/82226027.pdf","82226027")</f>
        <v>82226027</v>
      </c>
      <c r="F983" s="9" t="s">
        <v>2806</v>
      </c>
      <c r="G983" s="9" t="s">
        <v>2807</v>
      </c>
      <c r="H983" s="9" t="s">
        <v>2808</v>
      </c>
      <c r="I983" s="10">
        <v>45623</v>
      </c>
    </row>
    <row r="984" spans="1:9" x14ac:dyDescent="0.15">
      <c r="A984" s="9">
        <v>983</v>
      </c>
      <c r="B984" s="9" t="s">
        <v>9</v>
      </c>
      <c r="C984" s="9">
        <v>1926</v>
      </c>
      <c r="D984" s="10">
        <v>45722</v>
      </c>
      <c r="E984" s="11" t="str">
        <f>+HYPERLINK("http://trademark.i-assist.jp/data/china/image_1926th/82226087.pdf","82226087")</f>
        <v>82226087</v>
      </c>
      <c r="F984" s="9" t="s">
        <v>2809</v>
      </c>
      <c r="G984" s="9" t="s">
        <v>2564</v>
      </c>
      <c r="H984" s="9" t="s">
        <v>2810</v>
      </c>
      <c r="I984" s="10">
        <v>45623</v>
      </c>
    </row>
    <row r="985" spans="1:9" x14ac:dyDescent="0.15">
      <c r="A985" s="9">
        <v>984</v>
      </c>
      <c r="B985" s="9" t="s">
        <v>9</v>
      </c>
      <c r="C985" s="9">
        <v>1926</v>
      </c>
      <c r="D985" s="10">
        <v>45722</v>
      </c>
      <c r="E985" s="11" t="str">
        <f>+HYPERLINK("http://trademark.i-assist.jp/data/china/image_1926th/82226102.pdf","82226102")</f>
        <v>82226102</v>
      </c>
      <c r="F985" s="9" t="s">
        <v>2811</v>
      </c>
      <c r="G985" s="9" t="s">
        <v>2812</v>
      </c>
      <c r="H985" s="9" t="s">
        <v>2813</v>
      </c>
      <c r="I985" s="10">
        <v>45623</v>
      </c>
    </row>
    <row r="986" spans="1:9" x14ac:dyDescent="0.15">
      <c r="A986" s="9">
        <v>985</v>
      </c>
      <c r="B986" s="9" t="s">
        <v>9</v>
      </c>
      <c r="C986" s="9">
        <v>1926</v>
      </c>
      <c r="D986" s="10">
        <v>45722</v>
      </c>
      <c r="E986" s="11" t="str">
        <f>+HYPERLINK("http://trademark.i-assist.jp/data/china/image_1926th/82226148.pdf","82226148")</f>
        <v>82226148</v>
      </c>
      <c r="F986" s="12" t="s">
        <v>2814</v>
      </c>
      <c r="G986" s="9" t="s">
        <v>2564</v>
      </c>
      <c r="H986" s="9" t="s">
        <v>2815</v>
      </c>
      <c r="I986" s="10">
        <v>45623</v>
      </c>
    </row>
    <row r="987" spans="1:9" x14ac:dyDescent="0.15">
      <c r="A987" s="9">
        <v>986</v>
      </c>
      <c r="B987" s="9" t="s">
        <v>9</v>
      </c>
      <c r="C987" s="9">
        <v>1926</v>
      </c>
      <c r="D987" s="10">
        <v>45722</v>
      </c>
      <c r="E987" s="11" t="str">
        <f>+HYPERLINK("http://trademark.i-assist.jp/data/china/image_1926th/82226989.pdf","82226989")</f>
        <v>82226989</v>
      </c>
      <c r="F987" s="12" t="s">
        <v>2816</v>
      </c>
      <c r="G987" s="9" t="s">
        <v>2817</v>
      </c>
      <c r="H987" s="12" t="s">
        <v>2818</v>
      </c>
      <c r="I987" s="10">
        <v>45624</v>
      </c>
    </row>
    <row r="988" spans="1:9" x14ac:dyDescent="0.15">
      <c r="A988" s="9">
        <v>987</v>
      </c>
      <c r="B988" s="9" t="s">
        <v>9</v>
      </c>
      <c r="C988" s="9">
        <v>1926</v>
      </c>
      <c r="D988" s="10">
        <v>45722</v>
      </c>
      <c r="E988" s="11" t="str">
        <f>+HYPERLINK("http://trademark.i-assist.jp/data/china/image_1926th/82227289.pdf","82227289")</f>
        <v>82227289</v>
      </c>
      <c r="F988" s="9" t="s">
        <v>2819</v>
      </c>
      <c r="G988" s="9" t="s">
        <v>2820</v>
      </c>
      <c r="H988" s="9" t="s">
        <v>2821</v>
      </c>
      <c r="I988" s="10">
        <v>45624</v>
      </c>
    </row>
    <row r="989" spans="1:9" x14ac:dyDescent="0.15">
      <c r="A989" s="9">
        <v>988</v>
      </c>
      <c r="B989" s="9" t="s">
        <v>9</v>
      </c>
      <c r="C989" s="9">
        <v>1926</v>
      </c>
      <c r="D989" s="10">
        <v>45722</v>
      </c>
      <c r="E989" s="11" t="str">
        <f>+HYPERLINK("http://trademark.i-assist.jp/data/china/image_1926th/82227538.pdf","82227538")</f>
        <v>82227538</v>
      </c>
      <c r="F989" s="9" t="s">
        <v>2822</v>
      </c>
      <c r="G989" s="9" t="s">
        <v>2823</v>
      </c>
      <c r="H989" s="9" t="s">
        <v>2824</v>
      </c>
      <c r="I989" s="10">
        <v>45624</v>
      </c>
    </row>
    <row r="990" spans="1:9" x14ac:dyDescent="0.15">
      <c r="A990" s="9">
        <v>989</v>
      </c>
      <c r="B990" s="9" t="s">
        <v>9</v>
      </c>
      <c r="C990" s="9">
        <v>1926</v>
      </c>
      <c r="D990" s="10">
        <v>45722</v>
      </c>
      <c r="E990" s="11" t="str">
        <f>+HYPERLINK("http://trademark.i-assist.jp/data/china/image_1926th/82228064.pdf","82228064")</f>
        <v>82228064</v>
      </c>
      <c r="F990" s="9" t="s">
        <v>2825</v>
      </c>
      <c r="G990" s="9" t="s">
        <v>2826</v>
      </c>
      <c r="H990" s="9" t="s">
        <v>2827</v>
      </c>
      <c r="I990" s="10">
        <v>45624</v>
      </c>
    </row>
    <row r="991" spans="1:9" x14ac:dyDescent="0.15">
      <c r="A991" s="9">
        <v>990</v>
      </c>
      <c r="B991" s="9" t="s">
        <v>9</v>
      </c>
      <c r="C991" s="9">
        <v>1926</v>
      </c>
      <c r="D991" s="10">
        <v>45722</v>
      </c>
      <c r="E991" s="11" t="str">
        <f>+HYPERLINK("http://trademark.i-assist.jp/data/china/image_1926th/82228122.pdf","82228122")</f>
        <v>82228122</v>
      </c>
      <c r="F991" s="9" t="s">
        <v>2828</v>
      </c>
      <c r="G991" s="9" t="s">
        <v>2829</v>
      </c>
      <c r="H991" s="9" t="s">
        <v>2830</v>
      </c>
      <c r="I991" s="10">
        <v>45624</v>
      </c>
    </row>
    <row r="992" spans="1:9" x14ac:dyDescent="0.15">
      <c r="A992" s="9">
        <v>991</v>
      </c>
      <c r="B992" s="9" t="s">
        <v>9</v>
      </c>
      <c r="C992" s="9">
        <v>1926</v>
      </c>
      <c r="D992" s="10">
        <v>45722</v>
      </c>
      <c r="E992" s="11" t="str">
        <f>+HYPERLINK("http://trademark.i-assist.jp/data/china/image_1926th/82228136.pdf","82228136")</f>
        <v>82228136</v>
      </c>
      <c r="F992" s="12" t="s">
        <v>2831</v>
      </c>
      <c r="G992" s="9" t="s">
        <v>2832</v>
      </c>
      <c r="H992" s="12" t="s">
        <v>2833</v>
      </c>
      <c r="I992" s="10">
        <v>45624</v>
      </c>
    </row>
    <row r="993" spans="1:9" x14ac:dyDescent="0.15">
      <c r="A993" s="9">
        <v>992</v>
      </c>
      <c r="B993" s="9" t="s">
        <v>9</v>
      </c>
      <c r="C993" s="9">
        <v>1926</v>
      </c>
      <c r="D993" s="10">
        <v>45722</v>
      </c>
      <c r="E993" s="11" t="str">
        <f>+HYPERLINK("http://trademark.i-assist.jp/data/china/image_1926th/82228385.pdf","82228385")</f>
        <v>82228385</v>
      </c>
      <c r="F993" s="9" t="s">
        <v>2834</v>
      </c>
      <c r="G993" s="12" t="s">
        <v>2835</v>
      </c>
      <c r="H993" s="9" t="s">
        <v>2836</v>
      </c>
      <c r="I993" s="10">
        <v>45624</v>
      </c>
    </row>
    <row r="994" spans="1:9" x14ac:dyDescent="0.15">
      <c r="A994" s="9">
        <v>993</v>
      </c>
      <c r="B994" s="9" t="s">
        <v>9</v>
      </c>
      <c r="C994" s="9">
        <v>1926</v>
      </c>
      <c r="D994" s="10">
        <v>45722</v>
      </c>
      <c r="E994" s="11" t="str">
        <f>+HYPERLINK("http://trademark.i-assist.jp/data/china/image_1926th/82228418.pdf","82228418")</f>
        <v>82228418</v>
      </c>
      <c r="F994" s="9" t="s">
        <v>2837</v>
      </c>
      <c r="G994" s="9" t="s">
        <v>137</v>
      </c>
      <c r="H994" s="12" t="s">
        <v>2838</v>
      </c>
      <c r="I994" s="10">
        <v>45624</v>
      </c>
    </row>
    <row r="995" spans="1:9" x14ac:dyDescent="0.15">
      <c r="A995" s="9">
        <v>994</v>
      </c>
      <c r="B995" s="9" t="s">
        <v>9</v>
      </c>
      <c r="C995" s="9">
        <v>1926</v>
      </c>
      <c r="D995" s="10">
        <v>45722</v>
      </c>
      <c r="E995" s="11" t="str">
        <f>+HYPERLINK("http://trademark.i-assist.jp/data/china/image_1926th/82228430.pdf","82228430")</f>
        <v>82228430</v>
      </c>
      <c r="F995" s="9" t="s">
        <v>2839</v>
      </c>
      <c r="G995" s="9" t="s">
        <v>2840</v>
      </c>
      <c r="H995" s="9" t="s">
        <v>2841</v>
      </c>
      <c r="I995" s="10">
        <v>45624</v>
      </c>
    </row>
    <row r="996" spans="1:9" x14ac:dyDescent="0.15">
      <c r="A996" s="9">
        <v>995</v>
      </c>
      <c r="B996" s="9" t="s">
        <v>9</v>
      </c>
      <c r="C996" s="9">
        <v>1926</v>
      </c>
      <c r="D996" s="10">
        <v>45722</v>
      </c>
      <c r="E996" s="11" t="str">
        <f>+HYPERLINK("http://trademark.i-assist.jp/data/china/image_1926th/82228442.pdf","82228442")</f>
        <v>82228442</v>
      </c>
      <c r="F996" s="13" t="s">
        <v>2842</v>
      </c>
      <c r="G996" s="9" t="s">
        <v>68</v>
      </c>
      <c r="H996" s="9" t="s">
        <v>2843</v>
      </c>
      <c r="I996" s="10">
        <v>45624</v>
      </c>
    </row>
    <row r="997" spans="1:9" x14ac:dyDescent="0.15">
      <c r="A997" s="9">
        <v>996</v>
      </c>
      <c r="B997" s="9" t="s">
        <v>9</v>
      </c>
      <c r="C997" s="9">
        <v>1926</v>
      </c>
      <c r="D997" s="10">
        <v>45722</v>
      </c>
      <c r="E997" s="11" t="str">
        <f>+HYPERLINK("http://trademark.i-assist.jp/data/china/image_1926th/82228518.pdf","82228518")</f>
        <v>82228518</v>
      </c>
      <c r="F997" s="9" t="s">
        <v>2844</v>
      </c>
      <c r="G997" s="9" t="s">
        <v>2845</v>
      </c>
      <c r="H997" s="9" t="s">
        <v>2846</v>
      </c>
      <c r="I997" s="10">
        <v>45624</v>
      </c>
    </row>
    <row r="998" spans="1:9" x14ac:dyDescent="0.15">
      <c r="A998" s="9">
        <v>997</v>
      </c>
      <c r="B998" s="9" t="s">
        <v>9</v>
      </c>
      <c r="C998" s="9">
        <v>1926</v>
      </c>
      <c r="D998" s="10">
        <v>45722</v>
      </c>
      <c r="E998" s="11" t="str">
        <f>+HYPERLINK("http://trademark.i-assist.jp/data/china/image_1926th/82228678.pdf","82228678")</f>
        <v>82228678</v>
      </c>
      <c r="F998" s="9" t="s">
        <v>2847</v>
      </c>
      <c r="G998" s="12" t="s">
        <v>2848</v>
      </c>
      <c r="H998" s="9" t="s">
        <v>2849</v>
      </c>
      <c r="I998" s="10">
        <v>45624</v>
      </c>
    </row>
    <row r="999" spans="1:9" x14ac:dyDescent="0.15">
      <c r="A999" s="9">
        <v>998</v>
      </c>
      <c r="B999" s="9" t="s">
        <v>9</v>
      </c>
      <c r="C999" s="9">
        <v>1926</v>
      </c>
      <c r="D999" s="10">
        <v>45722</v>
      </c>
      <c r="E999" s="11" t="str">
        <f>+HYPERLINK("http://trademark.i-assist.jp/data/china/image_1926th/82228967.pdf","82228967")</f>
        <v>82228967</v>
      </c>
      <c r="F999" s="9" t="s">
        <v>2850</v>
      </c>
      <c r="G999" s="9" t="s">
        <v>2851</v>
      </c>
      <c r="H999" s="12" t="s">
        <v>2852</v>
      </c>
      <c r="I999" s="10">
        <v>45624</v>
      </c>
    </row>
    <row r="1000" spans="1:9" x14ac:dyDescent="0.15">
      <c r="A1000" s="9">
        <v>999</v>
      </c>
      <c r="B1000" s="9" t="s">
        <v>9</v>
      </c>
      <c r="C1000" s="9">
        <v>1926</v>
      </c>
      <c r="D1000" s="10">
        <v>45722</v>
      </c>
      <c r="E1000" s="11" t="str">
        <f>+HYPERLINK("http://trademark.i-assist.jp/data/china/image_1926th/82228981.pdf","82228981")</f>
        <v>82228981</v>
      </c>
      <c r="F1000" s="9" t="s">
        <v>2853</v>
      </c>
      <c r="G1000" s="9" t="s">
        <v>2854</v>
      </c>
      <c r="H1000" s="9" t="s">
        <v>2855</v>
      </c>
      <c r="I1000" s="10">
        <v>45624</v>
      </c>
    </row>
    <row r="1001" spans="1:9" x14ac:dyDescent="0.15">
      <c r="A1001" s="9">
        <v>1000</v>
      </c>
      <c r="B1001" s="9" t="s">
        <v>9</v>
      </c>
      <c r="C1001" s="9">
        <v>1926</v>
      </c>
      <c r="D1001" s="10">
        <v>45722</v>
      </c>
      <c r="E1001" s="11" t="str">
        <f>+HYPERLINK("http://trademark.i-assist.jp/data/china/image_1926th/82229174.pdf","82229174")</f>
        <v>82229174</v>
      </c>
      <c r="F1001" s="9" t="s">
        <v>2856</v>
      </c>
      <c r="G1001" s="9" t="s">
        <v>2857</v>
      </c>
      <c r="H1001" s="9" t="s">
        <v>2858</v>
      </c>
      <c r="I1001" s="10">
        <v>45624</v>
      </c>
    </row>
    <row r="1002" spans="1:9" x14ac:dyDescent="0.15">
      <c r="A1002" s="9">
        <v>1001</v>
      </c>
      <c r="B1002" s="9" t="s">
        <v>9</v>
      </c>
      <c r="C1002" s="9">
        <v>1926</v>
      </c>
      <c r="D1002" s="10">
        <v>45722</v>
      </c>
      <c r="E1002" s="11" t="str">
        <f>+HYPERLINK("http://trademark.i-assist.jp/data/china/image_1926th/82229261.pdf","82229261")</f>
        <v>82229261</v>
      </c>
      <c r="F1002" s="9" t="s">
        <v>2859</v>
      </c>
      <c r="G1002" s="12" t="s">
        <v>2860</v>
      </c>
      <c r="H1002" s="9" t="s">
        <v>2861</v>
      </c>
      <c r="I1002" s="10">
        <v>45624</v>
      </c>
    </row>
    <row r="1003" spans="1:9" x14ac:dyDescent="0.15">
      <c r="A1003" s="9">
        <v>1002</v>
      </c>
      <c r="B1003" s="9" t="s">
        <v>9</v>
      </c>
      <c r="C1003" s="9">
        <v>1926</v>
      </c>
      <c r="D1003" s="10">
        <v>45722</v>
      </c>
      <c r="E1003" s="11" t="str">
        <f>+HYPERLINK("http://trademark.i-assist.jp/data/china/image_1926th/82229462.pdf","82229462")</f>
        <v>82229462</v>
      </c>
      <c r="F1003" s="9" t="s">
        <v>2862</v>
      </c>
      <c r="G1003" s="9" t="s">
        <v>2863</v>
      </c>
      <c r="H1003" s="9" t="s">
        <v>2864</v>
      </c>
      <c r="I1003" s="10">
        <v>45624</v>
      </c>
    </row>
    <row r="1004" spans="1:9" x14ac:dyDescent="0.15">
      <c r="A1004" s="9">
        <v>1003</v>
      </c>
      <c r="B1004" s="9" t="s">
        <v>9</v>
      </c>
      <c r="C1004" s="9">
        <v>1926</v>
      </c>
      <c r="D1004" s="10">
        <v>45722</v>
      </c>
      <c r="E1004" s="11" t="str">
        <f>+HYPERLINK("http://trademark.i-assist.jp/data/china/image_1926th/82229555.pdf","82229555")</f>
        <v>82229555</v>
      </c>
      <c r="F1004" s="9" t="s">
        <v>2865</v>
      </c>
      <c r="G1004" s="9" t="s">
        <v>133</v>
      </c>
      <c r="H1004" s="9" t="s">
        <v>2866</v>
      </c>
      <c r="I1004" s="10">
        <v>45624</v>
      </c>
    </row>
    <row r="1005" spans="1:9" x14ac:dyDescent="0.15">
      <c r="A1005" s="9">
        <v>1004</v>
      </c>
      <c r="B1005" s="9" t="s">
        <v>9</v>
      </c>
      <c r="C1005" s="9">
        <v>1926</v>
      </c>
      <c r="D1005" s="10">
        <v>45722</v>
      </c>
      <c r="E1005" s="11" t="str">
        <f>+HYPERLINK("http://trademark.i-assist.jp/data/china/image_1926th/82230562.pdf","82230562")</f>
        <v>82230562</v>
      </c>
      <c r="F1005" s="9" t="s">
        <v>2867</v>
      </c>
      <c r="G1005" s="9" t="s">
        <v>2868</v>
      </c>
      <c r="H1005" s="9" t="s">
        <v>2869</v>
      </c>
      <c r="I1005" s="10">
        <v>45624</v>
      </c>
    </row>
    <row r="1006" spans="1:9" x14ac:dyDescent="0.15">
      <c r="A1006" s="9">
        <v>1005</v>
      </c>
      <c r="B1006" s="9" t="s">
        <v>9</v>
      </c>
      <c r="C1006" s="9">
        <v>1926</v>
      </c>
      <c r="D1006" s="10">
        <v>45722</v>
      </c>
      <c r="E1006" s="11" t="str">
        <f>+HYPERLINK("http://trademark.i-assist.jp/data/china/image_1926th/82230578.pdf","82230578")</f>
        <v>82230578</v>
      </c>
      <c r="F1006" s="12" t="s">
        <v>2870</v>
      </c>
      <c r="G1006" s="9" t="s">
        <v>2832</v>
      </c>
      <c r="H1006" s="9" t="s">
        <v>2871</v>
      </c>
      <c r="I1006" s="10">
        <v>45624</v>
      </c>
    </row>
    <row r="1007" spans="1:9" x14ac:dyDescent="0.15">
      <c r="A1007" s="9">
        <v>1006</v>
      </c>
      <c r="B1007" s="9" t="s">
        <v>9</v>
      </c>
      <c r="C1007" s="9">
        <v>1926</v>
      </c>
      <c r="D1007" s="10">
        <v>45722</v>
      </c>
      <c r="E1007" s="11" t="str">
        <f>+HYPERLINK("http://trademark.i-assist.jp/data/china/image_1926th/82230699.pdf","82230699")</f>
        <v>82230699</v>
      </c>
      <c r="F1007" s="9" t="s">
        <v>2872</v>
      </c>
      <c r="G1007" s="9" t="s">
        <v>66</v>
      </c>
      <c r="H1007" s="9" t="s">
        <v>2873</v>
      </c>
      <c r="I1007" s="10">
        <v>45624</v>
      </c>
    </row>
    <row r="1008" spans="1:9" x14ac:dyDescent="0.15">
      <c r="A1008" s="9">
        <v>1007</v>
      </c>
      <c r="B1008" s="9" t="s">
        <v>9</v>
      </c>
      <c r="C1008" s="9">
        <v>1926</v>
      </c>
      <c r="D1008" s="10">
        <v>45722</v>
      </c>
      <c r="E1008" s="11" t="str">
        <f>+HYPERLINK("http://trademark.i-assist.jp/data/china/image_1926th/82230834.pdf","82230834")</f>
        <v>82230834</v>
      </c>
      <c r="F1008" s="12" t="s">
        <v>2874</v>
      </c>
      <c r="G1008" s="9" t="s">
        <v>2863</v>
      </c>
      <c r="H1008" s="9" t="s">
        <v>2875</v>
      </c>
      <c r="I1008" s="10">
        <v>45624</v>
      </c>
    </row>
    <row r="1009" spans="1:9" x14ac:dyDescent="0.15">
      <c r="A1009" s="9">
        <v>1008</v>
      </c>
      <c r="B1009" s="9" t="s">
        <v>9</v>
      </c>
      <c r="C1009" s="9">
        <v>1926</v>
      </c>
      <c r="D1009" s="10">
        <v>45722</v>
      </c>
      <c r="E1009" s="11" t="str">
        <f>+HYPERLINK("http://trademark.i-assist.jp/data/china/image_1926th/82231293.pdf","82231293")</f>
        <v>82231293</v>
      </c>
      <c r="F1009" s="12" t="s">
        <v>2876</v>
      </c>
      <c r="G1009" s="9" t="s">
        <v>2877</v>
      </c>
      <c r="H1009" s="9" t="s">
        <v>2878</v>
      </c>
      <c r="I1009" s="10">
        <v>45624</v>
      </c>
    </row>
    <row r="1010" spans="1:9" x14ac:dyDescent="0.15">
      <c r="A1010" s="9">
        <v>1009</v>
      </c>
      <c r="B1010" s="9" t="s">
        <v>9</v>
      </c>
      <c r="C1010" s="9">
        <v>1926</v>
      </c>
      <c r="D1010" s="10">
        <v>45722</v>
      </c>
      <c r="E1010" s="11" t="str">
        <f>+HYPERLINK("http://trademark.i-assist.jp/data/china/image_1926th/82231294.pdf","82231294")</f>
        <v>82231294</v>
      </c>
      <c r="F1010" s="12" t="s">
        <v>2879</v>
      </c>
      <c r="G1010" s="12" t="s">
        <v>2497</v>
      </c>
      <c r="H1010" s="9" t="s">
        <v>2880</v>
      </c>
      <c r="I1010" s="10">
        <v>45624</v>
      </c>
    </row>
    <row r="1011" spans="1:9" x14ac:dyDescent="0.15">
      <c r="A1011" s="9">
        <v>1010</v>
      </c>
      <c r="B1011" s="9" t="s">
        <v>9</v>
      </c>
      <c r="C1011" s="9">
        <v>1926</v>
      </c>
      <c r="D1011" s="10">
        <v>45722</v>
      </c>
      <c r="E1011" s="11" t="str">
        <f>+HYPERLINK("http://trademark.i-assist.jp/data/china/image_1926th/82231604.pdf","82231604")</f>
        <v>82231604</v>
      </c>
      <c r="F1011" s="12" t="s">
        <v>2881</v>
      </c>
      <c r="G1011" s="9" t="s">
        <v>2882</v>
      </c>
      <c r="H1011" s="9" t="s">
        <v>2883</v>
      </c>
      <c r="I1011" s="10">
        <v>45624</v>
      </c>
    </row>
    <row r="1012" spans="1:9" x14ac:dyDescent="0.15">
      <c r="A1012" s="9">
        <v>1011</v>
      </c>
      <c r="B1012" s="9" t="s">
        <v>9</v>
      </c>
      <c r="C1012" s="9">
        <v>1926</v>
      </c>
      <c r="D1012" s="10">
        <v>45722</v>
      </c>
      <c r="E1012" s="11" t="str">
        <f>+HYPERLINK("http://trademark.i-assist.jp/data/china/image_1926th/82231606.pdf","82231606")</f>
        <v>82231606</v>
      </c>
      <c r="F1012" s="12" t="s">
        <v>2884</v>
      </c>
      <c r="G1012" s="9" t="s">
        <v>2885</v>
      </c>
      <c r="H1012" s="12" t="s">
        <v>2886</v>
      </c>
      <c r="I1012" s="10">
        <v>45624</v>
      </c>
    </row>
    <row r="1013" spans="1:9" x14ac:dyDescent="0.15">
      <c r="A1013" s="9">
        <v>1012</v>
      </c>
      <c r="B1013" s="9" t="s">
        <v>9</v>
      </c>
      <c r="C1013" s="9">
        <v>1926</v>
      </c>
      <c r="D1013" s="10">
        <v>45722</v>
      </c>
      <c r="E1013" s="11" t="str">
        <f>+HYPERLINK("http://trademark.i-assist.jp/data/china/image_1926th/82231775.pdf","82231775")</f>
        <v>82231775</v>
      </c>
      <c r="F1013" s="9" t="s">
        <v>2887</v>
      </c>
      <c r="G1013" s="9" t="s">
        <v>2888</v>
      </c>
      <c r="H1013" s="9" t="s">
        <v>2889</v>
      </c>
      <c r="I1013" s="10">
        <v>45624</v>
      </c>
    </row>
    <row r="1014" spans="1:9" x14ac:dyDescent="0.15">
      <c r="A1014" s="9">
        <v>1013</v>
      </c>
      <c r="B1014" s="9" t="s">
        <v>9</v>
      </c>
      <c r="C1014" s="9">
        <v>1926</v>
      </c>
      <c r="D1014" s="10">
        <v>45722</v>
      </c>
      <c r="E1014" s="11" t="str">
        <f>+HYPERLINK("http://trademark.i-assist.jp/data/china/image_1926th/82232248.pdf","82232248")</f>
        <v>82232248</v>
      </c>
      <c r="F1014" s="9" t="s">
        <v>2890</v>
      </c>
      <c r="G1014" s="9" t="s">
        <v>2891</v>
      </c>
      <c r="H1014" s="9" t="s">
        <v>2892</v>
      </c>
      <c r="I1014" s="10">
        <v>45624</v>
      </c>
    </row>
    <row r="1015" spans="1:9" x14ac:dyDescent="0.15">
      <c r="A1015" s="9">
        <v>1014</v>
      </c>
      <c r="B1015" s="9" t="s">
        <v>9</v>
      </c>
      <c r="C1015" s="9">
        <v>1926</v>
      </c>
      <c r="D1015" s="10">
        <v>45722</v>
      </c>
      <c r="E1015" s="11" t="str">
        <f>+HYPERLINK("http://trademark.i-assist.jp/data/china/image_1926th/82232439.pdf","82232439")</f>
        <v>82232439</v>
      </c>
      <c r="F1015" s="9" t="s">
        <v>2893</v>
      </c>
      <c r="G1015" s="12" t="s">
        <v>135</v>
      </c>
      <c r="H1015" s="9" t="s">
        <v>2894</v>
      </c>
      <c r="I1015" s="10">
        <v>45624</v>
      </c>
    </row>
    <row r="1016" spans="1:9" x14ac:dyDescent="0.15">
      <c r="A1016" s="9">
        <v>1015</v>
      </c>
      <c r="B1016" s="9" t="s">
        <v>9</v>
      </c>
      <c r="C1016" s="9">
        <v>1926</v>
      </c>
      <c r="D1016" s="10">
        <v>45722</v>
      </c>
      <c r="E1016" s="11" t="str">
        <f>+HYPERLINK("http://trademark.i-assist.jp/data/china/image_1926th/82232451.pdf","82232451")</f>
        <v>82232451</v>
      </c>
      <c r="F1016" s="9" t="s">
        <v>2895</v>
      </c>
      <c r="G1016" s="12" t="s">
        <v>2896</v>
      </c>
      <c r="H1016" s="9" t="s">
        <v>2897</v>
      </c>
      <c r="I1016" s="10">
        <v>45624</v>
      </c>
    </row>
    <row r="1017" spans="1:9" x14ac:dyDescent="0.15">
      <c r="A1017" s="9">
        <v>1016</v>
      </c>
      <c r="B1017" s="9" t="s">
        <v>9</v>
      </c>
      <c r="C1017" s="9">
        <v>1926</v>
      </c>
      <c r="D1017" s="10">
        <v>45722</v>
      </c>
      <c r="E1017" s="11" t="str">
        <f>+HYPERLINK("http://trademark.i-assist.jp/data/china/image_1926th/82232640.pdf","82232640")</f>
        <v>82232640</v>
      </c>
      <c r="F1017" s="13" t="s">
        <v>2898</v>
      </c>
      <c r="G1017" s="9" t="s">
        <v>68</v>
      </c>
      <c r="H1017" s="9" t="s">
        <v>2899</v>
      </c>
      <c r="I1017" s="10">
        <v>45624</v>
      </c>
    </row>
    <row r="1018" spans="1:9" x14ac:dyDescent="0.15">
      <c r="A1018" s="9">
        <v>1017</v>
      </c>
      <c r="B1018" s="9" t="s">
        <v>9</v>
      </c>
      <c r="C1018" s="9">
        <v>1926</v>
      </c>
      <c r="D1018" s="10">
        <v>45722</v>
      </c>
      <c r="E1018" s="11" t="str">
        <f>+HYPERLINK("http://trademark.i-assist.jp/data/china/image_1926th/82232677.pdf","82232677")</f>
        <v>82232677</v>
      </c>
      <c r="F1018" s="12" t="s">
        <v>20</v>
      </c>
      <c r="G1018" s="9" t="s">
        <v>2900</v>
      </c>
      <c r="H1018" s="9" t="s">
        <v>2901</v>
      </c>
      <c r="I1018" s="10">
        <v>45624</v>
      </c>
    </row>
    <row r="1019" spans="1:9" x14ac:dyDescent="0.15">
      <c r="A1019" s="9">
        <v>1018</v>
      </c>
      <c r="B1019" s="9" t="s">
        <v>9</v>
      </c>
      <c r="C1019" s="9">
        <v>1926</v>
      </c>
      <c r="D1019" s="10">
        <v>45722</v>
      </c>
      <c r="E1019" s="11" t="str">
        <f>+HYPERLINK("http://trademark.i-assist.jp/data/china/image_1926th/82232785.pdf","82232785")</f>
        <v>82232785</v>
      </c>
      <c r="F1019" s="9" t="s">
        <v>2902</v>
      </c>
      <c r="G1019" s="9" t="s">
        <v>2903</v>
      </c>
      <c r="H1019" s="9" t="s">
        <v>2904</v>
      </c>
      <c r="I1019" s="10">
        <v>45624</v>
      </c>
    </row>
    <row r="1020" spans="1:9" x14ac:dyDescent="0.15">
      <c r="A1020" s="9">
        <v>1019</v>
      </c>
      <c r="B1020" s="9" t="s">
        <v>9</v>
      </c>
      <c r="C1020" s="9">
        <v>1926</v>
      </c>
      <c r="D1020" s="10">
        <v>45722</v>
      </c>
      <c r="E1020" s="11" t="str">
        <f>+HYPERLINK("http://trademark.i-assist.jp/data/china/image_1926th/82232899.pdf","82232899")</f>
        <v>82232899</v>
      </c>
      <c r="F1020" s="9" t="s">
        <v>2905</v>
      </c>
      <c r="G1020" s="9" t="s">
        <v>136</v>
      </c>
      <c r="H1020" s="9" t="s">
        <v>2906</v>
      </c>
      <c r="I1020" s="10">
        <v>45624</v>
      </c>
    </row>
    <row r="1021" spans="1:9" x14ac:dyDescent="0.15">
      <c r="A1021" s="9">
        <v>1020</v>
      </c>
      <c r="B1021" s="9" t="s">
        <v>9</v>
      </c>
      <c r="C1021" s="9">
        <v>1926</v>
      </c>
      <c r="D1021" s="10">
        <v>45722</v>
      </c>
      <c r="E1021" s="11" t="str">
        <f>+HYPERLINK("http://trademark.i-assist.jp/data/china/image_1926th/82233122.pdf","82233122")</f>
        <v>82233122</v>
      </c>
      <c r="F1021" s="9" t="s">
        <v>2907</v>
      </c>
      <c r="G1021" s="9" t="s">
        <v>2908</v>
      </c>
      <c r="H1021" s="9" t="s">
        <v>2909</v>
      </c>
      <c r="I1021" s="10">
        <v>45624</v>
      </c>
    </row>
    <row r="1022" spans="1:9" x14ac:dyDescent="0.15">
      <c r="A1022" s="9">
        <v>1021</v>
      </c>
      <c r="B1022" s="9" t="s">
        <v>9</v>
      </c>
      <c r="C1022" s="9">
        <v>1926</v>
      </c>
      <c r="D1022" s="10">
        <v>45722</v>
      </c>
      <c r="E1022" s="11" t="str">
        <f>+HYPERLINK("http://trademark.i-assist.jp/data/china/image_1926th/82233323.pdf","82233323")</f>
        <v>82233323</v>
      </c>
      <c r="F1022" s="9" t="s">
        <v>2910</v>
      </c>
      <c r="G1022" s="9" t="s">
        <v>2911</v>
      </c>
      <c r="H1022" s="9" t="s">
        <v>2912</v>
      </c>
      <c r="I1022" s="10">
        <v>45624</v>
      </c>
    </row>
    <row r="1023" spans="1:9" x14ac:dyDescent="0.15">
      <c r="A1023" s="9">
        <v>1022</v>
      </c>
      <c r="B1023" s="9" t="s">
        <v>9</v>
      </c>
      <c r="C1023" s="9">
        <v>1926</v>
      </c>
      <c r="D1023" s="10">
        <v>45722</v>
      </c>
      <c r="E1023" s="11" t="str">
        <f>+HYPERLINK("http://trademark.i-assist.jp/data/china/image_1926th/82233392.pdf","82233392")</f>
        <v>82233392</v>
      </c>
      <c r="F1023" s="9" t="s">
        <v>2913</v>
      </c>
      <c r="G1023" s="9" t="s">
        <v>2914</v>
      </c>
      <c r="H1023" s="9" t="s">
        <v>2915</v>
      </c>
      <c r="I1023" s="10">
        <v>45624</v>
      </c>
    </row>
    <row r="1024" spans="1:9" x14ac:dyDescent="0.15">
      <c r="A1024" s="9">
        <v>1023</v>
      </c>
      <c r="B1024" s="9" t="s">
        <v>9</v>
      </c>
      <c r="C1024" s="9">
        <v>1926</v>
      </c>
      <c r="D1024" s="10">
        <v>45722</v>
      </c>
      <c r="E1024" s="11" t="str">
        <f>+HYPERLINK("http://trademark.i-assist.jp/data/china/image_1926th/82233399.pdf","82233399")</f>
        <v>82233399</v>
      </c>
      <c r="F1024" s="9" t="s">
        <v>2916</v>
      </c>
      <c r="G1024" s="9" t="s">
        <v>2914</v>
      </c>
      <c r="H1024" s="9" t="s">
        <v>2917</v>
      </c>
      <c r="I1024" s="10">
        <v>45624</v>
      </c>
    </row>
    <row r="1025" spans="1:9" x14ac:dyDescent="0.15">
      <c r="A1025" s="9">
        <v>1024</v>
      </c>
      <c r="B1025" s="9" t="s">
        <v>9</v>
      </c>
      <c r="C1025" s="9">
        <v>1926</v>
      </c>
      <c r="D1025" s="10">
        <v>45722</v>
      </c>
      <c r="E1025" s="11" t="str">
        <f>+HYPERLINK("http://trademark.i-assist.jp/data/china/image_1926th/82233755.pdf","82233755")</f>
        <v>82233755</v>
      </c>
      <c r="F1025" s="9" t="s">
        <v>2918</v>
      </c>
      <c r="G1025" s="9" t="s">
        <v>2919</v>
      </c>
      <c r="H1025" s="12" t="s">
        <v>2920</v>
      </c>
      <c r="I1025" s="10">
        <v>45624</v>
      </c>
    </row>
    <row r="1026" spans="1:9" x14ac:dyDescent="0.15">
      <c r="A1026" s="9">
        <v>1025</v>
      </c>
      <c r="B1026" s="9" t="s">
        <v>9</v>
      </c>
      <c r="C1026" s="9">
        <v>1926</v>
      </c>
      <c r="D1026" s="10">
        <v>45722</v>
      </c>
      <c r="E1026" s="11" t="str">
        <f>+HYPERLINK("http://trademark.i-assist.jp/data/china/image_1926th/82234675.pdf","82234675")</f>
        <v>82234675</v>
      </c>
      <c r="F1026" s="9" t="s">
        <v>2921</v>
      </c>
      <c r="G1026" s="9" t="s">
        <v>137</v>
      </c>
      <c r="H1026" s="9" t="s">
        <v>2922</v>
      </c>
      <c r="I1026" s="10">
        <v>45624</v>
      </c>
    </row>
    <row r="1027" spans="1:9" x14ac:dyDescent="0.15">
      <c r="A1027" s="9">
        <v>1026</v>
      </c>
      <c r="B1027" s="9" t="s">
        <v>9</v>
      </c>
      <c r="C1027" s="9">
        <v>1926</v>
      </c>
      <c r="D1027" s="10">
        <v>45722</v>
      </c>
      <c r="E1027" s="11" t="str">
        <f>+HYPERLINK("http://trademark.i-assist.jp/data/china/image_1926th/82234697.pdf","82234697")</f>
        <v>82234697</v>
      </c>
      <c r="F1027" s="12" t="s">
        <v>2923</v>
      </c>
      <c r="G1027" s="9" t="s">
        <v>2924</v>
      </c>
      <c r="H1027" s="9" t="s">
        <v>2925</v>
      </c>
      <c r="I1027" s="10">
        <v>45624</v>
      </c>
    </row>
    <row r="1028" spans="1:9" x14ac:dyDescent="0.15">
      <c r="A1028" s="9">
        <v>1027</v>
      </c>
      <c r="B1028" s="9" t="s">
        <v>9</v>
      </c>
      <c r="C1028" s="9">
        <v>1926</v>
      </c>
      <c r="D1028" s="10">
        <v>45722</v>
      </c>
      <c r="E1028" s="11" t="str">
        <f>+HYPERLINK("http://trademark.i-assist.jp/data/china/image_1926th/82234951.pdf","82234951")</f>
        <v>82234951</v>
      </c>
      <c r="F1028" s="9" t="s">
        <v>2926</v>
      </c>
      <c r="G1028" s="12" t="s">
        <v>2927</v>
      </c>
      <c r="H1028" s="9" t="s">
        <v>2928</v>
      </c>
      <c r="I1028" s="10">
        <v>45624</v>
      </c>
    </row>
    <row r="1029" spans="1:9" x14ac:dyDescent="0.15">
      <c r="A1029" s="9">
        <v>1028</v>
      </c>
      <c r="B1029" s="9" t="s">
        <v>9</v>
      </c>
      <c r="C1029" s="9">
        <v>1926</v>
      </c>
      <c r="D1029" s="10">
        <v>45722</v>
      </c>
      <c r="E1029" s="11" t="str">
        <f>+HYPERLINK("http://trademark.i-assist.jp/data/china/image_1926th/82235289.pdf","82235289")</f>
        <v>82235289</v>
      </c>
      <c r="F1029" s="9" t="s">
        <v>2929</v>
      </c>
      <c r="G1029" s="12" t="s">
        <v>2930</v>
      </c>
      <c r="H1029" s="9" t="s">
        <v>2931</v>
      </c>
      <c r="I1029" s="10">
        <v>45624</v>
      </c>
    </row>
    <row r="1030" spans="1:9" x14ac:dyDescent="0.15">
      <c r="A1030" s="9">
        <v>1029</v>
      </c>
      <c r="B1030" s="9" t="s">
        <v>9</v>
      </c>
      <c r="C1030" s="9">
        <v>1926</v>
      </c>
      <c r="D1030" s="10">
        <v>45722</v>
      </c>
      <c r="E1030" s="11" t="str">
        <f>+HYPERLINK("http://trademark.i-assist.jp/data/china/image_1926th/82235597.pdf","82235597")</f>
        <v>82235597</v>
      </c>
      <c r="F1030" s="9" t="s">
        <v>2932</v>
      </c>
      <c r="G1030" s="9" t="s">
        <v>2933</v>
      </c>
      <c r="H1030" s="9" t="s">
        <v>2934</v>
      </c>
      <c r="I1030" s="10">
        <v>45624</v>
      </c>
    </row>
    <row r="1031" spans="1:9" x14ac:dyDescent="0.15">
      <c r="A1031" s="9">
        <v>1030</v>
      </c>
      <c r="B1031" s="9" t="s">
        <v>9</v>
      </c>
      <c r="C1031" s="9">
        <v>1926</v>
      </c>
      <c r="D1031" s="10">
        <v>45722</v>
      </c>
      <c r="E1031" s="11" t="str">
        <f>+HYPERLINK("http://trademark.i-assist.jp/data/china/image_1926th/82235747.pdf","82235747")</f>
        <v>82235747</v>
      </c>
      <c r="F1031" s="9" t="s">
        <v>2935</v>
      </c>
      <c r="G1031" s="12" t="s">
        <v>2936</v>
      </c>
      <c r="H1031" s="9" t="s">
        <v>2937</v>
      </c>
      <c r="I1031" s="10">
        <v>45624</v>
      </c>
    </row>
    <row r="1032" spans="1:9" x14ac:dyDescent="0.15">
      <c r="A1032" s="9">
        <v>1031</v>
      </c>
      <c r="B1032" s="9" t="s">
        <v>9</v>
      </c>
      <c r="C1032" s="9">
        <v>1926</v>
      </c>
      <c r="D1032" s="10">
        <v>45722</v>
      </c>
      <c r="E1032" s="11" t="str">
        <f>+HYPERLINK("http://trademark.i-assist.jp/data/china/image_1926th/82236953.pdf","82236953")</f>
        <v>82236953</v>
      </c>
      <c r="F1032" s="9" t="s">
        <v>2938</v>
      </c>
      <c r="G1032" s="9" t="s">
        <v>93</v>
      </c>
      <c r="H1032" s="9" t="s">
        <v>2939</v>
      </c>
      <c r="I1032" s="10">
        <v>45624</v>
      </c>
    </row>
    <row r="1033" spans="1:9" x14ac:dyDescent="0.15">
      <c r="A1033" s="9">
        <v>1032</v>
      </c>
      <c r="B1033" s="9" t="s">
        <v>9</v>
      </c>
      <c r="C1033" s="9">
        <v>1926</v>
      </c>
      <c r="D1033" s="10">
        <v>45722</v>
      </c>
      <c r="E1033" s="11" t="str">
        <f>+HYPERLINK("http://trademark.i-assist.jp/data/china/image_1926th/82236984.pdf","82236984")</f>
        <v>82236984</v>
      </c>
      <c r="F1033" s="9" t="s">
        <v>2940</v>
      </c>
      <c r="G1033" s="9" t="s">
        <v>2941</v>
      </c>
      <c r="H1033" s="9" t="s">
        <v>2942</v>
      </c>
      <c r="I1033" s="10">
        <v>45624</v>
      </c>
    </row>
    <row r="1034" spans="1:9" x14ac:dyDescent="0.15">
      <c r="A1034" s="9">
        <v>1033</v>
      </c>
      <c r="B1034" s="9" t="s">
        <v>9</v>
      </c>
      <c r="C1034" s="9">
        <v>1926</v>
      </c>
      <c r="D1034" s="10">
        <v>45722</v>
      </c>
      <c r="E1034" s="11" t="str">
        <f>+HYPERLINK("http://trademark.i-assist.jp/data/china/image_1926th/82237260.pdf","82237260")</f>
        <v>82237260</v>
      </c>
      <c r="F1034" s="9" t="s">
        <v>2943</v>
      </c>
      <c r="G1034" s="9" t="s">
        <v>2944</v>
      </c>
      <c r="H1034" s="9" t="s">
        <v>2945</v>
      </c>
      <c r="I1034" s="10">
        <v>45624</v>
      </c>
    </row>
    <row r="1035" spans="1:9" x14ac:dyDescent="0.15">
      <c r="A1035" s="9">
        <v>1034</v>
      </c>
      <c r="B1035" s="9" t="s">
        <v>9</v>
      </c>
      <c r="C1035" s="9">
        <v>1926</v>
      </c>
      <c r="D1035" s="10">
        <v>45722</v>
      </c>
      <c r="E1035" s="11" t="str">
        <f>+HYPERLINK("http://trademark.i-assist.jp/data/china/image_1926th/82237733.pdf","82237733")</f>
        <v>82237733</v>
      </c>
      <c r="F1035" s="9" t="s">
        <v>2946</v>
      </c>
      <c r="G1035" s="9" t="s">
        <v>2947</v>
      </c>
      <c r="H1035" s="9" t="s">
        <v>2948</v>
      </c>
      <c r="I1035" s="10">
        <v>45624</v>
      </c>
    </row>
    <row r="1036" spans="1:9" x14ac:dyDescent="0.15">
      <c r="A1036" s="9">
        <v>1035</v>
      </c>
      <c r="B1036" s="9" t="s">
        <v>9</v>
      </c>
      <c r="C1036" s="9">
        <v>1926</v>
      </c>
      <c r="D1036" s="10">
        <v>45722</v>
      </c>
      <c r="E1036" s="11" t="str">
        <f>+HYPERLINK("http://trademark.i-assist.jp/data/china/image_1926th/82238051.pdf","82238051")</f>
        <v>82238051</v>
      </c>
      <c r="F1036" s="9" t="s">
        <v>2949</v>
      </c>
      <c r="G1036" s="9" t="s">
        <v>2950</v>
      </c>
      <c r="H1036" s="9" t="s">
        <v>2951</v>
      </c>
      <c r="I1036" s="10">
        <v>45624</v>
      </c>
    </row>
    <row r="1037" spans="1:9" x14ac:dyDescent="0.15">
      <c r="A1037" s="9">
        <v>1036</v>
      </c>
      <c r="B1037" s="9" t="s">
        <v>9</v>
      </c>
      <c r="C1037" s="9">
        <v>1926</v>
      </c>
      <c r="D1037" s="10">
        <v>45722</v>
      </c>
      <c r="E1037" s="11" t="str">
        <f>+HYPERLINK("http://trademark.i-assist.jp/data/china/image_1926th/82238106.pdf","82238106")</f>
        <v>82238106</v>
      </c>
      <c r="F1037" s="9" t="s">
        <v>2952</v>
      </c>
      <c r="G1037" s="9" t="s">
        <v>2953</v>
      </c>
      <c r="H1037" s="9" t="s">
        <v>2954</v>
      </c>
      <c r="I1037" s="10">
        <v>45624</v>
      </c>
    </row>
    <row r="1038" spans="1:9" x14ac:dyDescent="0.15">
      <c r="A1038" s="9">
        <v>1037</v>
      </c>
      <c r="B1038" s="9" t="s">
        <v>9</v>
      </c>
      <c r="C1038" s="9">
        <v>1926</v>
      </c>
      <c r="D1038" s="10">
        <v>45722</v>
      </c>
      <c r="E1038" s="11" t="str">
        <f>+HYPERLINK("http://trademark.i-assist.jp/data/china/image_1926th/82238289.pdf","82238289")</f>
        <v>82238289</v>
      </c>
      <c r="F1038" s="9" t="s">
        <v>2955</v>
      </c>
      <c r="G1038" s="12" t="s">
        <v>2956</v>
      </c>
      <c r="H1038" s="9" t="s">
        <v>2957</v>
      </c>
      <c r="I1038" s="10">
        <v>45624</v>
      </c>
    </row>
    <row r="1039" spans="1:9" x14ac:dyDescent="0.15">
      <c r="A1039" s="9">
        <v>1038</v>
      </c>
      <c r="B1039" s="9" t="s">
        <v>9</v>
      </c>
      <c r="C1039" s="9">
        <v>1926</v>
      </c>
      <c r="D1039" s="10">
        <v>45722</v>
      </c>
      <c r="E1039" s="11" t="str">
        <f>+HYPERLINK("http://trademark.i-assist.jp/data/china/image_1926th/82238582.pdf","82238582")</f>
        <v>82238582</v>
      </c>
      <c r="F1039" s="9" t="s">
        <v>2958</v>
      </c>
      <c r="G1039" s="9" t="s">
        <v>2959</v>
      </c>
      <c r="H1039" s="9" t="s">
        <v>2960</v>
      </c>
      <c r="I1039" s="10">
        <v>45624</v>
      </c>
    </row>
    <row r="1040" spans="1:9" x14ac:dyDescent="0.15">
      <c r="A1040" s="9">
        <v>1039</v>
      </c>
      <c r="B1040" s="9" t="s">
        <v>9</v>
      </c>
      <c r="C1040" s="9">
        <v>1926</v>
      </c>
      <c r="D1040" s="10">
        <v>45722</v>
      </c>
      <c r="E1040" s="11" t="str">
        <f>+HYPERLINK("http://trademark.i-assist.jp/data/china/image_1926th/82238696.pdf","82238696")</f>
        <v>82238696</v>
      </c>
      <c r="F1040" s="9" t="s">
        <v>2961</v>
      </c>
      <c r="G1040" s="12" t="s">
        <v>2962</v>
      </c>
      <c r="H1040" s="12" t="s">
        <v>2963</v>
      </c>
      <c r="I1040" s="10">
        <v>45624</v>
      </c>
    </row>
    <row r="1041" spans="1:9" x14ac:dyDescent="0.15">
      <c r="A1041" s="9">
        <v>1040</v>
      </c>
      <c r="B1041" s="9" t="s">
        <v>9</v>
      </c>
      <c r="C1041" s="9">
        <v>1926</v>
      </c>
      <c r="D1041" s="10">
        <v>45722</v>
      </c>
      <c r="E1041" s="11" t="str">
        <f>+HYPERLINK("http://trademark.i-assist.jp/data/china/image_1926th/82238802.pdf","82238802")</f>
        <v>82238802</v>
      </c>
      <c r="F1041" s="12" t="s">
        <v>2964</v>
      </c>
      <c r="G1041" s="9" t="s">
        <v>2832</v>
      </c>
      <c r="H1041" s="9" t="s">
        <v>2965</v>
      </c>
      <c r="I1041" s="10">
        <v>45624</v>
      </c>
    </row>
    <row r="1042" spans="1:9" x14ac:dyDescent="0.15">
      <c r="A1042" s="9">
        <v>1041</v>
      </c>
      <c r="B1042" s="9" t="s">
        <v>9</v>
      </c>
      <c r="C1042" s="9">
        <v>1926</v>
      </c>
      <c r="D1042" s="10">
        <v>45722</v>
      </c>
      <c r="E1042" s="11" t="str">
        <f>+HYPERLINK("http://trademark.i-assist.jp/data/china/image_1926th/82239106.pdf","82239106")</f>
        <v>82239106</v>
      </c>
      <c r="F1042" s="12" t="s">
        <v>2966</v>
      </c>
      <c r="G1042" s="9" t="s">
        <v>2967</v>
      </c>
      <c r="H1042" s="9" t="s">
        <v>2968</v>
      </c>
      <c r="I1042" s="10">
        <v>45624</v>
      </c>
    </row>
    <row r="1043" spans="1:9" x14ac:dyDescent="0.15">
      <c r="A1043" s="9">
        <v>1042</v>
      </c>
      <c r="B1043" s="9" t="s">
        <v>9</v>
      </c>
      <c r="C1043" s="9">
        <v>1926</v>
      </c>
      <c r="D1043" s="10">
        <v>45722</v>
      </c>
      <c r="E1043" s="11" t="str">
        <f>+HYPERLINK("http://trademark.i-assist.jp/data/china/image_1926th/82239386.pdf","82239386")</f>
        <v>82239386</v>
      </c>
      <c r="F1043" s="9" t="s">
        <v>2969</v>
      </c>
      <c r="G1043" s="9" t="s">
        <v>2970</v>
      </c>
      <c r="H1043" s="9" t="s">
        <v>2971</v>
      </c>
      <c r="I1043" s="10">
        <v>45624</v>
      </c>
    </row>
    <row r="1044" spans="1:9" x14ac:dyDescent="0.15">
      <c r="A1044" s="9">
        <v>1043</v>
      </c>
      <c r="B1044" s="9" t="s">
        <v>9</v>
      </c>
      <c r="C1044" s="9">
        <v>1926</v>
      </c>
      <c r="D1044" s="10">
        <v>45722</v>
      </c>
      <c r="E1044" s="11" t="str">
        <f>+HYPERLINK("http://trademark.i-assist.jp/data/china/image_1926th/82239564.pdf","82239564")</f>
        <v>82239564</v>
      </c>
      <c r="F1044" s="12" t="s">
        <v>2972</v>
      </c>
      <c r="G1044" s="9" t="s">
        <v>2973</v>
      </c>
      <c r="H1044" s="9" t="s">
        <v>2974</v>
      </c>
      <c r="I1044" s="10">
        <v>45624</v>
      </c>
    </row>
    <row r="1045" spans="1:9" x14ac:dyDescent="0.15">
      <c r="A1045" s="9">
        <v>1044</v>
      </c>
      <c r="B1045" s="9" t="s">
        <v>9</v>
      </c>
      <c r="C1045" s="9">
        <v>1926</v>
      </c>
      <c r="D1045" s="10">
        <v>45722</v>
      </c>
      <c r="E1045" s="11" t="str">
        <f>+HYPERLINK("http://trademark.i-assist.jp/data/china/image_1926th/82239683.pdf","82239683")</f>
        <v>82239683</v>
      </c>
      <c r="F1045" s="9" t="s">
        <v>2975</v>
      </c>
      <c r="G1045" s="9" t="s">
        <v>2976</v>
      </c>
      <c r="H1045" s="9" t="s">
        <v>2977</v>
      </c>
      <c r="I1045" s="10">
        <v>45624</v>
      </c>
    </row>
    <row r="1046" spans="1:9" x14ac:dyDescent="0.15">
      <c r="A1046" s="9">
        <v>1045</v>
      </c>
      <c r="B1046" s="9" t="s">
        <v>9</v>
      </c>
      <c r="C1046" s="9">
        <v>1926</v>
      </c>
      <c r="D1046" s="10">
        <v>45722</v>
      </c>
      <c r="E1046" s="11" t="str">
        <f>+HYPERLINK("http://trademark.i-assist.jp/data/china/image_1926th/82239702.pdf","82239702")</f>
        <v>82239702</v>
      </c>
      <c r="F1046" s="9" t="s">
        <v>2847</v>
      </c>
      <c r="G1046" s="12" t="s">
        <v>2848</v>
      </c>
      <c r="H1046" s="9" t="s">
        <v>2978</v>
      </c>
      <c r="I1046" s="10">
        <v>45624</v>
      </c>
    </row>
    <row r="1047" spans="1:9" x14ac:dyDescent="0.15">
      <c r="A1047" s="9">
        <v>1046</v>
      </c>
      <c r="B1047" s="9" t="s">
        <v>9</v>
      </c>
      <c r="C1047" s="9">
        <v>1926</v>
      </c>
      <c r="D1047" s="10">
        <v>45722</v>
      </c>
      <c r="E1047" s="11" t="str">
        <f>+HYPERLINK("http://trademark.i-assist.jp/data/china/image_1926th/82239821.pdf","82239821")</f>
        <v>82239821</v>
      </c>
      <c r="F1047" s="12" t="s">
        <v>2979</v>
      </c>
      <c r="G1047" s="9" t="s">
        <v>2980</v>
      </c>
      <c r="H1047" s="9" t="s">
        <v>2981</v>
      </c>
      <c r="I1047" s="10">
        <v>45624</v>
      </c>
    </row>
    <row r="1048" spans="1:9" x14ac:dyDescent="0.15">
      <c r="A1048" s="9">
        <v>1047</v>
      </c>
      <c r="B1048" s="9" t="s">
        <v>9</v>
      </c>
      <c r="C1048" s="9">
        <v>1926</v>
      </c>
      <c r="D1048" s="10">
        <v>45722</v>
      </c>
      <c r="E1048" s="11" t="str">
        <f>+HYPERLINK("http://trademark.i-assist.jp/data/china/image_1926th/82240034.pdf","82240034")</f>
        <v>82240034</v>
      </c>
      <c r="F1048" s="9" t="s">
        <v>2982</v>
      </c>
      <c r="G1048" s="9" t="s">
        <v>2983</v>
      </c>
      <c r="H1048" s="9" t="s">
        <v>2984</v>
      </c>
      <c r="I1048" s="10">
        <v>45624</v>
      </c>
    </row>
    <row r="1049" spans="1:9" x14ac:dyDescent="0.15">
      <c r="A1049" s="9">
        <v>1048</v>
      </c>
      <c r="B1049" s="9" t="s">
        <v>9</v>
      </c>
      <c r="C1049" s="9">
        <v>1926</v>
      </c>
      <c r="D1049" s="10">
        <v>45722</v>
      </c>
      <c r="E1049" s="11" t="str">
        <f>+HYPERLINK("http://trademark.i-assist.jp/data/china/image_1926th/82240095.pdf","82240095")</f>
        <v>82240095</v>
      </c>
      <c r="F1049" s="9" t="s">
        <v>2985</v>
      </c>
      <c r="G1049" s="12" t="s">
        <v>2986</v>
      </c>
      <c r="H1049" s="9" t="s">
        <v>2987</v>
      </c>
      <c r="I1049" s="10">
        <v>45624</v>
      </c>
    </row>
    <row r="1050" spans="1:9" x14ac:dyDescent="0.15">
      <c r="A1050" s="9">
        <v>1049</v>
      </c>
      <c r="B1050" s="9" t="s">
        <v>9</v>
      </c>
      <c r="C1050" s="9">
        <v>1926</v>
      </c>
      <c r="D1050" s="10">
        <v>45722</v>
      </c>
      <c r="E1050" s="11" t="str">
        <f>+HYPERLINK("http://trademark.i-assist.jp/data/china/image_1926th/82240111.pdf","82240111")</f>
        <v>82240111</v>
      </c>
      <c r="F1050" s="9" t="s">
        <v>2988</v>
      </c>
      <c r="G1050" s="12" t="s">
        <v>2989</v>
      </c>
      <c r="H1050" s="9" t="s">
        <v>2990</v>
      </c>
      <c r="I1050" s="10">
        <v>45624</v>
      </c>
    </row>
    <row r="1051" spans="1:9" x14ac:dyDescent="0.15">
      <c r="A1051" s="9">
        <v>1050</v>
      </c>
      <c r="B1051" s="9" t="s">
        <v>9</v>
      </c>
      <c r="C1051" s="9">
        <v>1926</v>
      </c>
      <c r="D1051" s="10">
        <v>45722</v>
      </c>
      <c r="E1051" s="11" t="str">
        <f>+HYPERLINK("http://trademark.i-assist.jp/data/china/image_1926th/82240251.pdf","82240251")</f>
        <v>82240251</v>
      </c>
      <c r="F1051" s="12" t="s">
        <v>2991</v>
      </c>
      <c r="G1051" s="9" t="s">
        <v>97</v>
      </c>
      <c r="H1051" s="9" t="s">
        <v>2992</v>
      </c>
      <c r="I1051" s="10">
        <v>45624</v>
      </c>
    </row>
    <row r="1052" spans="1:9" x14ac:dyDescent="0.15">
      <c r="A1052" s="9">
        <v>1051</v>
      </c>
      <c r="B1052" s="9" t="s">
        <v>9</v>
      </c>
      <c r="C1052" s="9">
        <v>1926</v>
      </c>
      <c r="D1052" s="10">
        <v>45722</v>
      </c>
      <c r="E1052" s="11" t="str">
        <f>+HYPERLINK("http://trademark.i-assist.jp/data/china/image_1926th/82240661.pdf","82240661")</f>
        <v>82240661</v>
      </c>
      <c r="F1052" s="9" t="s">
        <v>2993</v>
      </c>
      <c r="G1052" s="9" t="s">
        <v>2994</v>
      </c>
      <c r="H1052" s="9" t="s">
        <v>2995</v>
      </c>
      <c r="I1052" s="10">
        <v>45624</v>
      </c>
    </row>
    <row r="1053" spans="1:9" x14ac:dyDescent="0.15">
      <c r="A1053" s="9">
        <v>1052</v>
      </c>
      <c r="B1053" s="9" t="s">
        <v>9</v>
      </c>
      <c r="C1053" s="9">
        <v>1926</v>
      </c>
      <c r="D1053" s="10">
        <v>45722</v>
      </c>
      <c r="E1053" s="11" t="str">
        <f>+HYPERLINK("http://trademark.i-assist.jp/data/china/image_1926th/82240965.pdf","82240965")</f>
        <v>82240965</v>
      </c>
      <c r="F1053" s="9" t="s">
        <v>2996</v>
      </c>
      <c r="G1053" s="9" t="s">
        <v>2933</v>
      </c>
      <c r="H1053" s="9" t="s">
        <v>2997</v>
      </c>
      <c r="I1053" s="10">
        <v>45624</v>
      </c>
    </row>
    <row r="1054" spans="1:9" x14ac:dyDescent="0.15">
      <c r="A1054" s="9">
        <v>1053</v>
      </c>
      <c r="B1054" s="9" t="s">
        <v>9</v>
      </c>
      <c r="C1054" s="9">
        <v>1926</v>
      </c>
      <c r="D1054" s="10">
        <v>45722</v>
      </c>
      <c r="E1054" s="11" t="str">
        <f>+HYPERLINK("http://trademark.i-assist.jp/data/china/image_1926th/82241470.pdf","82241470")</f>
        <v>82241470</v>
      </c>
      <c r="F1054" s="9" t="s">
        <v>2998</v>
      </c>
      <c r="G1054" s="9" t="s">
        <v>2999</v>
      </c>
      <c r="H1054" s="9" t="s">
        <v>3000</v>
      </c>
      <c r="I1054" s="10">
        <v>45624</v>
      </c>
    </row>
    <row r="1055" spans="1:9" x14ac:dyDescent="0.15">
      <c r="A1055" s="9">
        <v>1054</v>
      </c>
      <c r="B1055" s="9" t="s">
        <v>9</v>
      </c>
      <c r="C1055" s="9">
        <v>1926</v>
      </c>
      <c r="D1055" s="10">
        <v>45722</v>
      </c>
      <c r="E1055" s="11" t="str">
        <f>+HYPERLINK("http://trademark.i-assist.jp/data/china/image_1926th/82241681.pdf","82241681")</f>
        <v>82241681</v>
      </c>
      <c r="F1055" s="9" t="s">
        <v>3001</v>
      </c>
      <c r="G1055" s="9" t="s">
        <v>3002</v>
      </c>
      <c r="H1055" s="9" t="s">
        <v>3003</v>
      </c>
      <c r="I1055" s="10">
        <v>45624</v>
      </c>
    </row>
    <row r="1056" spans="1:9" x14ac:dyDescent="0.15">
      <c r="A1056" s="9">
        <v>1055</v>
      </c>
      <c r="B1056" s="9" t="s">
        <v>9</v>
      </c>
      <c r="C1056" s="9">
        <v>1926</v>
      </c>
      <c r="D1056" s="10">
        <v>45722</v>
      </c>
      <c r="E1056" s="11" t="str">
        <f>+HYPERLINK("http://trademark.i-assist.jp/data/china/image_1926th/82242043.pdf","82242043")</f>
        <v>82242043</v>
      </c>
      <c r="F1056" s="12" t="s">
        <v>3004</v>
      </c>
      <c r="G1056" s="12" t="s">
        <v>3005</v>
      </c>
      <c r="H1056" s="9" t="s">
        <v>3006</v>
      </c>
      <c r="I1056" s="10">
        <v>45624</v>
      </c>
    </row>
    <row r="1057" spans="1:9" x14ac:dyDescent="0.15">
      <c r="A1057" s="9">
        <v>1056</v>
      </c>
      <c r="B1057" s="9" t="s">
        <v>9</v>
      </c>
      <c r="C1057" s="9">
        <v>1926</v>
      </c>
      <c r="D1057" s="10">
        <v>45722</v>
      </c>
      <c r="E1057" s="11" t="str">
        <f>+HYPERLINK("http://trademark.i-assist.jp/data/china/image_1926th/82242044.pdf","82242044")</f>
        <v>82242044</v>
      </c>
      <c r="F1057" s="12" t="s">
        <v>3007</v>
      </c>
      <c r="G1057" s="9" t="s">
        <v>2924</v>
      </c>
      <c r="H1057" s="9" t="s">
        <v>3008</v>
      </c>
      <c r="I1057" s="10">
        <v>45624</v>
      </c>
    </row>
    <row r="1058" spans="1:9" x14ac:dyDescent="0.15">
      <c r="A1058" s="9">
        <v>1057</v>
      </c>
      <c r="B1058" s="9" t="s">
        <v>9</v>
      </c>
      <c r="C1058" s="9">
        <v>1926</v>
      </c>
      <c r="D1058" s="10">
        <v>45722</v>
      </c>
      <c r="E1058" s="11" t="str">
        <f>+HYPERLINK("http://trademark.i-assist.jp/data/china/image_1926th/82242210.pdf","82242210")</f>
        <v>82242210</v>
      </c>
      <c r="F1058" s="9" t="s">
        <v>3009</v>
      </c>
      <c r="G1058" s="12" t="s">
        <v>3010</v>
      </c>
      <c r="H1058" s="9" t="s">
        <v>3011</v>
      </c>
      <c r="I1058" s="10">
        <v>45624</v>
      </c>
    </row>
    <row r="1059" spans="1:9" x14ac:dyDescent="0.15">
      <c r="A1059" s="9">
        <v>1058</v>
      </c>
      <c r="B1059" s="9" t="s">
        <v>9</v>
      </c>
      <c r="C1059" s="9">
        <v>1926</v>
      </c>
      <c r="D1059" s="10">
        <v>45722</v>
      </c>
      <c r="E1059" s="11" t="str">
        <f>+HYPERLINK("http://trademark.i-assist.jp/data/china/image_1926th/82242430.pdf","82242430")</f>
        <v>82242430</v>
      </c>
      <c r="F1059" s="9" t="s">
        <v>3012</v>
      </c>
      <c r="G1059" s="12" t="s">
        <v>3013</v>
      </c>
      <c r="H1059" s="9" t="s">
        <v>3014</v>
      </c>
      <c r="I1059" s="10">
        <v>45624</v>
      </c>
    </row>
    <row r="1060" spans="1:9" x14ac:dyDescent="0.15">
      <c r="A1060" s="9">
        <v>1059</v>
      </c>
      <c r="B1060" s="9" t="s">
        <v>9</v>
      </c>
      <c r="C1060" s="9">
        <v>1926</v>
      </c>
      <c r="D1060" s="10">
        <v>45722</v>
      </c>
      <c r="E1060" s="11" t="str">
        <f>+HYPERLINK("http://trademark.i-assist.jp/data/china/image_1926th/82242649.pdf","82242649")</f>
        <v>82242649</v>
      </c>
      <c r="F1060" s="9" t="s">
        <v>3015</v>
      </c>
      <c r="G1060" s="9" t="s">
        <v>120</v>
      </c>
      <c r="H1060" s="9" t="s">
        <v>3016</v>
      </c>
      <c r="I1060" s="10">
        <v>45624</v>
      </c>
    </row>
    <row r="1061" spans="1:9" x14ac:dyDescent="0.15">
      <c r="A1061" s="9">
        <v>1060</v>
      </c>
      <c r="B1061" s="9" t="s">
        <v>9</v>
      </c>
      <c r="C1061" s="9">
        <v>1926</v>
      </c>
      <c r="D1061" s="10">
        <v>45722</v>
      </c>
      <c r="E1061" s="11" t="str">
        <f>+HYPERLINK("http://trademark.i-assist.jp/data/china/image_1926th/82242959.pdf","82242959")</f>
        <v>82242959</v>
      </c>
      <c r="F1061" s="12" t="s">
        <v>3017</v>
      </c>
      <c r="G1061" s="9" t="s">
        <v>3018</v>
      </c>
      <c r="H1061" s="9" t="s">
        <v>10</v>
      </c>
      <c r="I1061" s="10">
        <v>45624</v>
      </c>
    </row>
    <row r="1062" spans="1:9" x14ac:dyDescent="0.15">
      <c r="A1062" s="9">
        <v>1061</v>
      </c>
      <c r="B1062" s="9" t="s">
        <v>9</v>
      </c>
      <c r="C1062" s="9">
        <v>1926</v>
      </c>
      <c r="D1062" s="10">
        <v>45722</v>
      </c>
      <c r="E1062" s="11" t="str">
        <f>+HYPERLINK("http://trademark.i-assist.jp/data/china/image_1926th/82243019.pdf","82243019")</f>
        <v>82243019</v>
      </c>
      <c r="F1062" s="9" t="s">
        <v>3019</v>
      </c>
      <c r="G1062" s="9" t="s">
        <v>137</v>
      </c>
      <c r="H1062" s="9" t="s">
        <v>3020</v>
      </c>
      <c r="I1062" s="10">
        <v>45624</v>
      </c>
    </row>
    <row r="1063" spans="1:9" x14ac:dyDescent="0.15">
      <c r="A1063" s="9">
        <v>1062</v>
      </c>
      <c r="B1063" s="9" t="s">
        <v>9</v>
      </c>
      <c r="C1063" s="9">
        <v>1926</v>
      </c>
      <c r="D1063" s="10">
        <v>45722</v>
      </c>
      <c r="E1063" s="11" t="str">
        <f>+HYPERLINK("http://trademark.i-assist.jp/data/china/image_1926th/82243129.pdf","82243129")</f>
        <v>82243129</v>
      </c>
      <c r="F1063" s="9" t="s">
        <v>3021</v>
      </c>
      <c r="G1063" s="9" t="s">
        <v>3022</v>
      </c>
      <c r="H1063" s="9" t="s">
        <v>3023</v>
      </c>
      <c r="I1063" s="10">
        <v>45624</v>
      </c>
    </row>
    <row r="1064" spans="1:9" x14ac:dyDescent="0.15">
      <c r="A1064" s="9">
        <v>1063</v>
      </c>
      <c r="B1064" s="9" t="s">
        <v>9</v>
      </c>
      <c r="C1064" s="9">
        <v>1926</v>
      </c>
      <c r="D1064" s="10">
        <v>45722</v>
      </c>
      <c r="E1064" s="11" t="str">
        <f>+HYPERLINK("http://trademark.i-assist.jp/data/china/image_1926th/82243175.pdf","82243175")</f>
        <v>82243175</v>
      </c>
      <c r="F1064" s="9" t="s">
        <v>3024</v>
      </c>
      <c r="G1064" s="12" t="s">
        <v>3025</v>
      </c>
      <c r="H1064" s="9" t="s">
        <v>3026</v>
      </c>
      <c r="I1064" s="10">
        <v>45624</v>
      </c>
    </row>
    <row r="1065" spans="1:9" x14ac:dyDescent="0.15">
      <c r="A1065" s="9">
        <v>1064</v>
      </c>
      <c r="B1065" s="9" t="s">
        <v>9</v>
      </c>
      <c r="C1065" s="9">
        <v>1926</v>
      </c>
      <c r="D1065" s="10">
        <v>45722</v>
      </c>
      <c r="E1065" s="11" t="str">
        <f>+HYPERLINK("http://trademark.i-assist.jp/data/china/image_1926th/82243529.pdf","82243529")</f>
        <v>82243529</v>
      </c>
      <c r="F1065" s="9" t="s">
        <v>3027</v>
      </c>
      <c r="G1065" s="9" t="s">
        <v>3028</v>
      </c>
      <c r="H1065" s="9" t="s">
        <v>3029</v>
      </c>
      <c r="I1065" s="10">
        <v>45624</v>
      </c>
    </row>
    <row r="1066" spans="1:9" x14ac:dyDescent="0.15">
      <c r="A1066" s="9">
        <v>1065</v>
      </c>
      <c r="B1066" s="9" t="s">
        <v>9</v>
      </c>
      <c r="C1066" s="9">
        <v>1926</v>
      </c>
      <c r="D1066" s="10">
        <v>45722</v>
      </c>
      <c r="E1066" s="11" t="str">
        <f>+HYPERLINK("http://trademark.i-assist.jp/data/china/image_1926th/82243639.pdf","82243639")</f>
        <v>82243639</v>
      </c>
      <c r="F1066" s="9" t="s">
        <v>3030</v>
      </c>
      <c r="G1066" s="9" t="s">
        <v>3031</v>
      </c>
      <c r="H1066" s="9" t="s">
        <v>3032</v>
      </c>
      <c r="I1066" s="10">
        <v>45624</v>
      </c>
    </row>
    <row r="1067" spans="1:9" x14ac:dyDescent="0.15">
      <c r="A1067" s="9">
        <v>1066</v>
      </c>
      <c r="B1067" s="9" t="s">
        <v>9</v>
      </c>
      <c r="C1067" s="9">
        <v>1926</v>
      </c>
      <c r="D1067" s="10">
        <v>45722</v>
      </c>
      <c r="E1067" s="11" t="str">
        <f>+HYPERLINK("http://trademark.i-assist.jp/data/china/image_1926th/82243886.pdf","82243886")</f>
        <v>82243886</v>
      </c>
      <c r="F1067" s="9" t="s">
        <v>3033</v>
      </c>
      <c r="G1067" s="9" t="s">
        <v>3002</v>
      </c>
      <c r="H1067" s="12" t="s">
        <v>3034</v>
      </c>
      <c r="I1067" s="10">
        <v>45624</v>
      </c>
    </row>
    <row r="1068" spans="1:9" x14ac:dyDescent="0.15">
      <c r="A1068" s="9">
        <v>1067</v>
      </c>
      <c r="B1068" s="9" t="s">
        <v>9</v>
      </c>
      <c r="C1068" s="9">
        <v>1926</v>
      </c>
      <c r="D1068" s="10">
        <v>45722</v>
      </c>
      <c r="E1068" s="11" t="str">
        <f>+HYPERLINK("http://trademark.i-assist.jp/data/china/image_1926th/82244189.pdf","82244189")</f>
        <v>82244189</v>
      </c>
      <c r="F1068" s="9" t="s">
        <v>3035</v>
      </c>
      <c r="G1068" s="9" t="s">
        <v>130</v>
      </c>
      <c r="H1068" s="9" t="s">
        <v>3036</v>
      </c>
      <c r="I1068" s="10">
        <v>45624</v>
      </c>
    </row>
    <row r="1069" spans="1:9" x14ac:dyDescent="0.15">
      <c r="A1069" s="9">
        <v>1068</v>
      </c>
      <c r="B1069" s="9" t="s">
        <v>9</v>
      </c>
      <c r="C1069" s="9">
        <v>1926</v>
      </c>
      <c r="D1069" s="10">
        <v>45722</v>
      </c>
      <c r="E1069" s="11" t="str">
        <f>+HYPERLINK("http://trademark.i-assist.jp/data/china/image_1926th/82244326.pdf","82244326")</f>
        <v>82244326</v>
      </c>
      <c r="F1069" s="12" t="s">
        <v>3037</v>
      </c>
      <c r="G1069" s="9" t="s">
        <v>2832</v>
      </c>
      <c r="H1069" s="9" t="s">
        <v>3038</v>
      </c>
      <c r="I1069" s="10">
        <v>45624</v>
      </c>
    </row>
    <row r="1070" spans="1:9" x14ac:dyDescent="0.15">
      <c r="A1070" s="9">
        <v>1069</v>
      </c>
      <c r="B1070" s="9" t="s">
        <v>9</v>
      </c>
      <c r="C1070" s="9">
        <v>1926</v>
      </c>
      <c r="D1070" s="10">
        <v>45722</v>
      </c>
      <c r="E1070" s="11" t="str">
        <f>+HYPERLINK("http://trademark.i-assist.jp/data/china/image_1926th/82244358.pdf","82244358")</f>
        <v>82244358</v>
      </c>
      <c r="F1070" s="9" t="s">
        <v>3039</v>
      </c>
      <c r="G1070" s="9" t="s">
        <v>3040</v>
      </c>
      <c r="H1070" s="9" t="s">
        <v>3041</v>
      </c>
      <c r="I1070" s="10">
        <v>45624</v>
      </c>
    </row>
    <row r="1071" spans="1:9" x14ac:dyDescent="0.15">
      <c r="A1071" s="9">
        <v>1070</v>
      </c>
      <c r="B1071" s="9" t="s">
        <v>9</v>
      </c>
      <c r="C1071" s="9">
        <v>1926</v>
      </c>
      <c r="D1071" s="10">
        <v>45722</v>
      </c>
      <c r="E1071" s="11" t="str">
        <f>+HYPERLINK("http://trademark.i-assist.jp/data/china/image_1926th/82244364.pdf","82244364")</f>
        <v>82244364</v>
      </c>
      <c r="F1071" s="9" t="s">
        <v>3042</v>
      </c>
      <c r="G1071" s="12" t="s">
        <v>54</v>
      </c>
      <c r="H1071" s="9" t="s">
        <v>3043</v>
      </c>
      <c r="I1071" s="10">
        <v>45624</v>
      </c>
    </row>
    <row r="1072" spans="1:9" x14ac:dyDescent="0.15">
      <c r="A1072" s="9">
        <v>1071</v>
      </c>
      <c r="B1072" s="9" t="s">
        <v>9</v>
      </c>
      <c r="C1072" s="9">
        <v>1926</v>
      </c>
      <c r="D1072" s="10">
        <v>45722</v>
      </c>
      <c r="E1072" s="11" t="str">
        <f>+HYPERLINK("http://trademark.i-assist.jp/data/china/image_1926th/82244428.pdf","82244428")</f>
        <v>82244428</v>
      </c>
      <c r="F1072" s="12" t="s">
        <v>3044</v>
      </c>
      <c r="G1072" s="9" t="s">
        <v>3045</v>
      </c>
      <c r="H1072" s="9" t="s">
        <v>3046</v>
      </c>
      <c r="I1072" s="10">
        <v>45624</v>
      </c>
    </row>
    <row r="1073" spans="1:9" x14ac:dyDescent="0.15">
      <c r="A1073" s="9">
        <v>1072</v>
      </c>
      <c r="B1073" s="9" t="s">
        <v>9</v>
      </c>
      <c r="C1073" s="9">
        <v>1926</v>
      </c>
      <c r="D1073" s="10">
        <v>45722</v>
      </c>
      <c r="E1073" s="11" t="str">
        <f>+HYPERLINK("http://trademark.i-assist.jp/data/china/image_1926th/82244594.pdf","82244594")</f>
        <v>82244594</v>
      </c>
      <c r="F1073" s="12" t="s">
        <v>3047</v>
      </c>
      <c r="G1073" s="12" t="s">
        <v>2835</v>
      </c>
      <c r="H1073" s="9" t="s">
        <v>3048</v>
      </c>
      <c r="I1073" s="10">
        <v>45624</v>
      </c>
    </row>
    <row r="1074" spans="1:9" x14ac:dyDescent="0.15">
      <c r="A1074" s="9">
        <v>1073</v>
      </c>
      <c r="B1074" s="9" t="s">
        <v>9</v>
      </c>
      <c r="C1074" s="9">
        <v>1926</v>
      </c>
      <c r="D1074" s="10">
        <v>45722</v>
      </c>
      <c r="E1074" s="11" t="str">
        <f>+HYPERLINK("http://trademark.i-assist.jp/data/china/image_1926th/82244751.pdf","82244751")</f>
        <v>82244751</v>
      </c>
      <c r="F1074" s="9" t="s">
        <v>3049</v>
      </c>
      <c r="G1074" s="9" t="s">
        <v>3050</v>
      </c>
      <c r="H1074" s="9" t="s">
        <v>3051</v>
      </c>
      <c r="I1074" s="10">
        <v>45624</v>
      </c>
    </row>
    <row r="1075" spans="1:9" x14ac:dyDescent="0.15">
      <c r="A1075" s="9">
        <v>1074</v>
      </c>
      <c r="B1075" s="9" t="s">
        <v>9</v>
      </c>
      <c r="C1075" s="9">
        <v>1926</v>
      </c>
      <c r="D1075" s="10">
        <v>45722</v>
      </c>
      <c r="E1075" s="11" t="str">
        <f>+HYPERLINK("http://trademark.i-assist.jp/data/china/image_1926th/82244855.pdf","82244855")</f>
        <v>82244855</v>
      </c>
      <c r="F1075" s="9" t="s">
        <v>3052</v>
      </c>
      <c r="G1075" s="9" t="s">
        <v>3053</v>
      </c>
      <c r="H1075" s="9" t="s">
        <v>3054</v>
      </c>
      <c r="I1075" s="10">
        <v>45624</v>
      </c>
    </row>
    <row r="1076" spans="1:9" x14ac:dyDescent="0.15">
      <c r="A1076" s="9">
        <v>1075</v>
      </c>
      <c r="B1076" s="9" t="s">
        <v>9</v>
      </c>
      <c r="C1076" s="9">
        <v>1926</v>
      </c>
      <c r="D1076" s="10">
        <v>45722</v>
      </c>
      <c r="E1076" s="11" t="str">
        <f>+HYPERLINK("http://trademark.i-assist.jp/data/china/image_1926th/82244891.pdf","82244891")</f>
        <v>82244891</v>
      </c>
      <c r="F1076" s="9" t="s">
        <v>3055</v>
      </c>
      <c r="G1076" s="12" t="s">
        <v>2986</v>
      </c>
      <c r="H1076" s="12" t="s">
        <v>3056</v>
      </c>
      <c r="I1076" s="10">
        <v>45624</v>
      </c>
    </row>
    <row r="1077" spans="1:9" x14ac:dyDescent="0.15">
      <c r="A1077" s="9">
        <v>1076</v>
      </c>
      <c r="B1077" s="9" t="s">
        <v>9</v>
      </c>
      <c r="C1077" s="9">
        <v>1926</v>
      </c>
      <c r="D1077" s="10">
        <v>45722</v>
      </c>
      <c r="E1077" s="11" t="str">
        <f>+HYPERLINK("http://trademark.i-assist.jp/data/china/image_1926th/82244967.pdf","82244967")</f>
        <v>82244967</v>
      </c>
      <c r="F1077" s="9" t="s">
        <v>3057</v>
      </c>
      <c r="G1077" s="12" t="s">
        <v>3058</v>
      </c>
      <c r="H1077" s="9" t="s">
        <v>3059</v>
      </c>
      <c r="I1077" s="10">
        <v>45624</v>
      </c>
    </row>
    <row r="1078" spans="1:9" x14ac:dyDescent="0.15">
      <c r="A1078" s="9">
        <v>1077</v>
      </c>
      <c r="B1078" s="9" t="s">
        <v>9</v>
      </c>
      <c r="C1078" s="9">
        <v>1926</v>
      </c>
      <c r="D1078" s="10">
        <v>45722</v>
      </c>
      <c r="E1078" s="11" t="str">
        <f>+HYPERLINK("http://trademark.i-assist.jp/data/china/image_1926th/82245188.pdf","82245188")</f>
        <v>82245188</v>
      </c>
      <c r="F1078" s="9" t="s">
        <v>3060</v>
      </c>
      <c r="G1078" s="12" t="s">
        <v>3061</v>
      </c>
      <c r="H1078" s="9" t="s">
        <v>3062</v>
      </c>
      <c r="I1078" s="10">
        <v>45624</v>
      </c>
    </row>
    <row r="1079" spans="1:9" x14ac:dyDescent="0.15">
      <c r="A1079" s="9">
        <v>1078</v>
      </c>
      <c r="B1079" s="9" t="s">
        <v>9</v>
      </c>
      <c r="C1079" s="9">
        <v>1926</v>
      </c>
      <c r="D1079" s="10">
        <v>45722</v>
      </c>
      <c r="E1079" s="11" t="str">
        <f>+HYPERLINK("http://trademark.i-assist.jp/data/china/image_1926th/82245219.pdf","82245219")</f>
        <v>82245219</v>
      </c>
      <c r="F1079" s="9" t="s">
        <v>3063</v>
      </c>
      <c r="G1079" s="9" t="s">
        <v>3064</v>
      </c>
      <c r="H1079" s="12" t="s">
        <v>3065</v>
      </c>
      <c r="I1079" s="10">
        <v>45624</v>
      </c>
    </row>
    <row r="1080" spans="1:9" x14ac:dyDescent="0.15">
      <c r="A1080" s="9">
        <v>1079</v>
      </c>
      <c r="B1080" s="9" t="s">
        <v>9</v>
      </c>
      <c r="C1080" s="9">
        <v>1926</v>
      </c>
      <c r="D1080" s="10">
        <v>45722</v>
      </c>
      <c r="E1080" s="11" t="str">
        <f>+HYPERLINK("http://trademark.i-assist.jp/data/china/image_1926th/82245315.pdf","82245315")</f>
        <v>82245315</v>
      </c>
      <c r="F1080" s="9" t="s">
        <v>3066</v>
      </c>
      <c r="G1080" s="12" t="s">
        <v>3067</v>
      </c>
      <c r="H1080" s="9" t="s">
        <v>3068</v>
      </c>
      <c r="I1080" s="10">
        <v>45624</v>
      </c>
    </row>
    <row r="1081" spans="1:9" x14ac:dyDescent="0.15">
      <c r="A1081" s="9">
        <v>1080</v>
      </c>
      <c r="B1081" s="9" t="s">
        <v>9</v>
      </c>
      <c r="C1081" s="9">
        <v>1926</v>
      </c>
      <c r="D1081" s="10">
        <v>45722</v>
      </c>
      <c r="E1081" s="11" t="str">
        <f>+HYPERLINK("http://trademark.i-assist.jp/data/china/image_1926th/82245371.pdf","82245371")</f>
        <v>82245371</v>
      </c>
      <c r="F1081" s="9" t="s">
        <v>3069</v>
      </c>
      <c r="G1081" s="9" t="s">
        <v>3070</v>
      </c>
      <c r="H1081" s="9" t="s">
        <v>3071</v>
      </c>
      <c r="I1081" s="10">
        <v>45624</v>
      </c>
    </row>
    <row r="1082" spans="1:9" x14ac:dyDescent="0.15">
      <c r="A1082" s="9">
        <v>1081</v>
      </c>
      <c r="B1082" s="9" t="s">
        <v>9</v>
      </c>
      <c r="C1082" s="9">
        <v>1926</v>
      </c>
      <c r="D1082" s="10">
        <v>45722</v>
      </c>
      <c r="E1082" s="11" t="str">
        <f>+HYPERLINK("http://trademark.i-assist.jp/data/china/image_1926th/82245416.pdf","82245416")</f>
        <v>82245416</v>
      </c>
      <c r="F1082" s="9" t="s">
        <v>3072</v>
      </c>
      <c r="G1082" s="9" t="s">
        <v>3073</v>
      </c>
      <c r="H1082" s="9" t="s">
        <v>3074</v>
      </c>
      <c r="I1082" s="10">
        <v>45624</v>
      </c>
    </row>
    <row r="1083" spans="1:9" x14ac:dyDescent="0.15">
      <c r="A1083" s="9">
        <v>1082</v>
      </c>
      <c r="B1083" s="9" t="s">
        <v>9</v>
      </c>
      <c r="C1083" s="9">
        <v>1926</v>
      </c>
      <c r="D1083" s="10">
        <v>45722</v>
      </c>
      <c r="E1083" s="11" t="str">
        <f>+HYPERLINK("http://trademark.i-assist.jp/data/china/image_1926th/82245794.pdf","82245794")</f>
        <v>82245794</v>
      </c>
      <c r="F1083" s="9" t="s">
        <v>3075</v>
      </c>
      <c r="G1083" s="12" t="s">
        <v>3076</v>
      </c>
      <c r="H1083" s="9" t="s">
        <v>3077</v>
      </c>
      <c r="I1083" s="10">
        <v>45624</v>
      </c>
    </row>
    <row r="1084" spans="1:9" x14ac:dyDescent="0.15">
      <c r="A1084" s="9">
        <v>1083</v>
      </c>
      <c r="B1084" s="9" t="s">
        <v>9</v>
      </c>
      <c r="C1084" s="9">
        <v>1926</v>
      </c>
      <c r="D1084" s="10">
        <v>45722</v>
      </c>
      <c r="E1084" s="11" t="str">
        <f>+HYPERLINK("http://trademark.i-assist.jp/data/china/image_1926th/82246530.pdf","82246530")</f>
        <v>82246530</v>
      </c>
      <c r="F1084" s="12" t="s">
        <v>3078</v>
      </c>
      <c r="G1084" s="12" t="s">
        <v>3013</v>
      </c>
      <c r="H1084" s="9" t="s">
        <v>3079</v>
      </c>
      <c r="I1084" s="10">
        <v>45624</v>
      </c>
    </row>
    <row r="1085" spans="1:9" x14ac:dyDescent="0.15">
      <c r="A1085" s="9">
        <v>1084</v>
      </c>
      <c r="B1085" s="9" t="s">
        <v>9</v>
      </c>
      <c r="C1085" s="9">
        <v>1926</v>
      </c>
      <c r="D1085" s="10">
        <v>45722</v>
      </c>
      <c r="E1085" s="11" t="str">
        <f>+HYPERLINK("http://trademark.i-assist.jp/data/china/image_1926th/82246729.pdf","82246729")</f>
        <v>82246729</v>
      </c>
      <c r="F1085" s="9" t="s">
        <v>3080</v>
      </c>
      <c r="G1085" s="9" t="s">
        <v>3081</v>
      </c>
      <c r="H1085" s="9" t="s">
        <v>3082</v>
      </c>
      <c r="I1085" s="10">
        <v>45624</v>
      </c>
    </row>
    <row r="1086" spans="1:9" x14ac:dyDescent="0.15">
      <c r="A1086" s="9">
        <v>1085</v>
      </c>
      <c r="B1086" s="9" t="s">
        <v>9</v>
      </c>
      <c r="C1086" s="9">
        <v>1926</v>
      </c>
      <c r="D1086" s="10">
        <v>45722</v>
      </c>
      <c r="E1086" s="11" t="str">
        <f>+HYPERLINK("http://trademark.i-assist.jp/data/china/image_1926th/82246814.pdf","82246814")</f>
        <v>82246814</v>
      </c>
      <c r="F1086" s="12" t="s">
        <v>3083</v>
      </c>
      <c r="G1086" s="9" t="s">
        <v>2832</v>
      </c>
      <c r="H1086" s="9" t="s">
        <v>3084</v>
      </c>
      <c r="I1086" s="10">
        <v>45624</v>
      </c>
    </row>
    <row r="1087" spans="1:9" x14ac:dyDescent="0.15">
      <c r="A1087" s="9">
        <v>1086</v>
      </c>
      <c r="B1087" s="9" t="s">
        <v>9</v>
      </c>
      <c r="C1087" s="9">
        <v>1926</v>
      </c>
      <c r="D1087" s="10">
        <v>45722</v>
      </c>
      <c r="E1087" s="11" t="str">
        <f>+HYPERLINK("http://trademark.i-assist.jp/data/china/image_1926th/82246855.pdf","82246855")</f>
        <v>82246855</v>
      </c>
      <c r="F1087" s="9" t="s">
        <v>3085</v>
      </c>
      <c r="G1087" s="9" t="s">
        <v>3086</v>
      </c>
      <c r="H1087" s="9" t="s">
        <v>3087</v>
      </c>
      <c r="I1087" s="10">
        <v>45624</v>
      </c>
    </row>
    <row r="1088" spans="1:9" x14ac:dyDescent="0.15">
      <c r="A1088" s="9">
        <v>1087</v>
      </c>
      <c r="B1088" s="9" t="s">
        <v>9</v>
      </c>
      <c r="C1088" s="9">
        <v>1926</v>
      </c>
      <c r="D1088" s="10">
        <v>45722</v>
      </c>
      <c r="E1088" s="11" t="str">
        <f>+HYPERLINK("http://trademark.i-assist.jp/data/china/image_1926th/82246900.pdf","82246900")</f>
        <v>82246900</v>
      </c>
      <c r="F1088" s="9" t="s">
        <v>3088</v>
      </c>
      <c r="G1088" s="9" t="s">
        <v>3089</v>
      </c>
      <c r="H1088" s="9" t="s">
        <v>3090</v>
      </c>
      <c r="I1088" s="10">
        <v>45624</v>
      </c>
    </row>
    <row r="1089" spans="1:9" x14ac:dyDescent="0.15">
      <c r="A1089" s="9">
        <v>1088</v>
      </c>
      <c r="B1089" s="9" t="s">
        <v>9</v>
      </c>
      <c r="C1089" s="9">
        <v>1926</v>
      </c>
      <c r="D1089" s="10">
        <v>45722</v>
      </c>
      <c r="E1089" s="11" t="str">
        <f>+HYPERLINK("http://trademark.i-assist.jp/data/china/image_1926th/82246964.pdf","82246964")</f>
        <v>82246964</v>
      </c>
      <c r="F1089" s="9" t="s">
        <v>3091</v>
      </c>
      <c r="G1089" s="9" t="s">
        <v>3092</v>
      </c>
      <c r="H1089" s="9" t="s">
        <v>3093</v>
      </c>
      <c r="I1089" s="10">
        <v>45624</v>
      </c>
    </row>
    <row r="1090" spans="1:9" x14ac:dyDescent="0.15">
      <c r="A1090" s="9">
        <v>1089</v>
      </c>
      <c r="B1090" s="9" t="s">
        <v>9</v>
      </c>
      <c r="C1090" s="9">
        <v>1926</v>
      </c>
      <c r="D1090" s="10">
        <v>45722</v>
      </c>
      <c r="E1090" s="11" t="str">
        <f>+HYPERLINK("http://trademark.i-assist.jp/data/china/image_1926th/82247173.pdf","82247173")</f>
        <v>82247173</v>
      </c>
      <c r="F1090" s="12" t="s">
        <v>3094</v>
      </c>
      <c r="G1090" s="9" t="s">
        <v>2832</v>
      </c>
      <c r="H1090" s="9" t="s">
        <v>3095</v>
      </c>
      <c r="I1090" s="10">
        <v>45624</v>
      </c>
    </row>
    <row r="1091" spans="1:9" x14ac:dyDescent="0.15">
      <c r="A1091" s="9">
        <v>1090</v>
      </c>
      <c r="B1091" s="9" t="s">
        <v>9</v>
      </c>
      <c r="C1091" s="9">
        <v>1926</v>
      </c>
      <c r="D1091" s="10">
        <v>45722</v>
      </c>
      <c r="E1091" s="11" t="str">
        <f>+HYPERLINK("http://trademark.i-assist.jp/data/china/image_1926th/82247355.pdf","82247355")</f>
        <v>82247355</v>
      </c>
      <c r="F1091" s="9" t="s">
        <v>3096</v>
      </c>
      <c r="G1091" s="9" t="s">
        <v>134</v>
      </c>
      <c r="H1091" s="9" t="s">
        <v>3097</v>
      </c>
      <c r="I1091" s="10">
        <v>45624</v>
      </c>
    </row>
    <row r="1092" spans="1:9" x14ac:dyDescent="0.15">
      <c r="A1092" s="9">
        <v>1091</v>
      </c>
      <c r="B1092" s="9" t="s">
        <v>9</v>
      </c>
      <c r="C1092" s="9">
        <v>1926</v>
      </c>
      <c r="D1092" s="10">
        <v>45722</v>
      </c>
      <c r="E1092" s="11" t="str">
        <f>+HYPERLINK("http://trademark.i-assist.jp/data/china/image_1926th/82247786.pdf","82247786")</f>
        <v>82247786</v>
      </c>
      <c r="F1092" s="9" t="s">
        <v>3098</v>
      </c>
      <c r="G1092" s="9" t="s">
        <v>3099</v>
      </c>
      <c r="H1092" s="9" t="s">
        <v>3100</v>
      </c>
      <c r="I1092" s="10">
        <v>45624</v>
      </c>
    </row>
    <row r="1093" spans="1:9" x14ac:dyDescent="0.15">
      <c r="A1093" s="9">
        <v>1092</v>
      </c>
      <c r="B1093" s="9" t="s">
        <v>9</v>
      </c>
      <c r="C1093" s="9">
        <v>1926</v>
      </c>
      <c r="D1093" s="10">
        <v>45722</v>
      </c>
      <c r="E1093" s="11" t="str">
        <f>+HYPERLINK("http://trademark.i-assist.jp/data/china/image_1926th/82247870.pdf","82247870")</f>
        <v>82247870</v>
      </c>
      <c r="F1093" s="12" t="s">
        <v>20</v>
      </c>
      <c r="G1093" s="9" t="s">
        <v>3101</v>
      </c>
      <c r="H1093" s="9" t="s">
        <v>3102</v>
      </c>
      <c r="I1093" s="10">
        <v>45624</v>
      </c>
    </row>
    <row r="1094" spans="1:9" x14ac:dyDescent="0.15">
      <c r="A1094" s="9">
        <v>1093</v>
      </c>
      <c r="B1094" s="9" t="s">
        <v>9</v>
      </c>
      <c r="C1094" s="9">
        <v>1926</v>
      </c>
      <c r="D1094" s="10">
        <v>45722</v>
      </c>
      <c r="E1094" s="11" t="str">
        <f>+HYPERLINK("http://trademark.i-assist.jp/data/china/image_1926th/82248372.pdf","82248372")</f>
        <v>82248372</v>
      </c>
      <c r="F1094" s="12" t="s">
        <v>3103</v>
      </c>
      <c r="G1094" s="9" t="s">
        <v>3104</v>
      </c>
      <c r="H1094" s="9" t="s">
        <v>3105</v>
      </c>
      <c r="I1094" s="10">
        <v>45624</v>
      </c>
    </row>
    <row r="1095" spans="1:9" x14ac:dyDescent="0.15">
      <c r="A1095" s="9">
        <v>1094</v>
      </c>
      <c r="B1095" s="9" t="s">
        <v>9</v>
      </c>
      <c r="C1095" s="9">
        <v>1926</v>
      </c>
      <c r="D1095" s="10">
        <v>45722</v>
      </c>
      <c r="E1095" s="11" t="str">
        <f>+HYPERLINK("http://trademark.i-assist.jp/data/china/image_1926th/82248531.pdf","82248531")</f>
        <v>82248531</v>
      </c>
      <c r="F1095" s="12" t="s">
        <v>20</v>
      </c>
      <c r="G1095" s="9" t="s">
        <v>3106</v>
      </c>
      <c r="H1095" s="12" t="s">
        <v>3107</v>
      </c>
      <c r="I1095" s="10">
        <v>45624</v>
      </c>
    </row>
    <row r="1096" spans="1:9" x14ac:dyDescent="0.15">
      <c r="A1096" s="9">
        <v>1095</v>
      </c>
      <c r="B1096" s="9" t="s">
        <v>9</v>
      </c>
      <c r="C1096" s="9">
        <v>1926</v>
      </c>
      <c r="D1096" s="10">
        <v>45722</v>
      </c>
      <c r="E1096" s="11" t="str">
        <f>+HYPERLINK("http://trademark.i-assist.jp/data/china/image_1926th/82248553.pdf","82248553")</f>
        <v>82248553</v>
      </c>
      <c r="F1096" s="9" t="s">
        <v>3108</v>
      </c>
      <c r="G1096" s="9" t="s">
        <v>2863</v>
      </c>
      <c r="H1096" s="9" t="s">
        <v>3109</v>
      </c>
      <c r="I1096" s="10">
        <v>45624</v>
      </c>
    </row>
    <row r="1097" spans="1:9" x14ac:dyDescent="0.15">
      <c r="A1097" s="9">
        <v>1096</v>
      </c>
      <c r="B1097" s="9" t="s">
        <v>9</v>
      </c>
      <c r="C1097" s="9">
        <v>1926</v>
      </c>
      <c r="D1097" s="10">
        <v>45722</v>
      </c>
      <c r="E1097" s="11" t="str">
        <f>+HYPERLINK("http://trademark.i-assist.jp/data/china/image_1926th/82248663.pdf","82248663")</f>
        <v>82248663</v>
      </c>
      <c r="F1097" s="12" t="s">
        <v>3110</v>
      </c>
      <c r="G1097" s="9" t="s">
        <v>201</v>
      </c>
      <c r="H1097" s="9" t="s">
        <v>3111</v>
      </c>
      <c r="I1097" s="10">
        <v>45624</v>
      </c>
    </row>
    <row r="1098" spans="1:9" x14ac:dyDescent="0.15">
      <c r="A1098" s="9">
        <v>1097</v>
      </c>
      <c r="B1098" s="9" t="s">
        <v>9</v>
      </c>
      <c r="C1098" s="9">
        <v>1926</v>
      </c>
      <c r="D1098" s="10">
        <v>45722</v>
      </c>
      <c r="E1098" s="11" t="str">
        <f>+HYPERLINK("http://trademark.i-assist.jp/data/china/image_1926th/82249139.pdf","82249139")</f>
        <v>82249139</v>
      </c>
      <c r="F1098" s="12" t="s">
        <v>20</v>
      </c>
      <c r="G1098" s="9" t="s">
        <v>3112</v>
      </c>
      <c r="H1098" s="9" t="s">
        <v>3113</v>
      </c>
      <c r="I1098" s="10">
        <v>45624</v>
      </c>
    </row>
    <row r="1099" spans="1:9" x14ac:dyDescent="0.15">
      <c r="A1099" s="9">
        <v>1098</v>
      </c>
      <c r="B1099" s="9" t="s">
        <v>9</v>
      </c>
      <c r="C1099" s="9">
        <v>1926</v>
      </c>
      <c r="D1099" s="10">
        <v>45722</v>
      </c>
      <c r="E1099" s="11" t="str">
        <f>+HYPERLINK("http://trademark.i-assist.jp/data/china/image_1926th/82249644.pdf","82249644")</f>
        <v>82249644</v>
      </c>
      <c r="F1099" s="9" t="s">
        <v>3114</v>
      </c>
      <c r="G1099" s="9" t="s">
        <v>3115</v>
      </c>
      <c r="H1099" s="9" t="s">
        <v>3116</v>
      </c>
      <c r="I1099" s="10">
        <v>45624</v>
      </c>
    </row>
    <row r="1100" spans="1:9" x14ac:dyDescent="0.15">
      <c r="A1100" s="9">
        <v>1099</v>
      </c>
      <c r="B1100" s="9" t="s">
        <v>9</v>
      </c>
      <c r="C1100" s="9">
        <v>1926</v>
      </c>
      <c r="D1100" s="10">
        <v>45722</v>
      </c>
      <c r="E1100" s="11" t="str">
        <f>+HYPERLINK("http://trademark.i-assist.jp/data/china/image_1926th/82249703.pdf","82249703")</f>
        <v>82249703</v>
      </c>
      <c r="F1100" s="12" t="s">
        <v>20</v>
      </c>
      <c r="G1100" s="9" t="s">
        <v>3117</v>
      </c>
      <c r="H1100" s="9" t="s">
        <v>3118</v>
      </c>
      <c r="I1100" s="10">
        <v>45624</v>
      </c>
    </row>
    <row r="1101" spans="1:9" x14ac:dyDescent="0.15">
      <c r="A1101" s="9">
        <v>1100</v>
      </c>
      <c r="B1101" s="9" t="s">
        <v>9</v>
      </c>
      <c r="C1101" s="9">
        <v>1926</v>
      </c>
      <c r="D1101" s="10">
        <v>45722</v>
      </c>
      <c r="E1101" s="11" t="str">
        <f>+HYPERLINK("http://trademark.i-assist.jp/data/china/image_1926th/82249852.pdf","82249852")</f>
        <v>82249852</v>
      </c>
      <c r="F1101" s="9" t="s">
        <v>3119</v>
      </c>
      <c r="G1101" s="9" t="s">
        <v>124</v>
      </c>
      <c r="H1101" s="9" t="s">
        <v>3120</v>
      </c>
      <c r="I1101" s="10">
        <v>45624</v>
      </c>
    </row>
    <row r="1102" spans="1:9" x14ac:dyDescent="0.15">
      <c r="A1102" s="9">
        <v>1101</v>
      </c>
      <c r="B1102" s="9" t="s">
        <v>9</v>
      </c>
      <c r="C1102" s="9">
        <v>1926</v>
      </c>
      <c r="D1102" s="10">
        <v>45722</v>
      </c>
      <c r="E1102" s="11" t="str">
        <f>+HYPERLINK("http://trademark.i-assist.jp/data/china/image_1926th/82249858.pdf","82249858")</f>
        <v>82249858</v>
      </c>
      <c r="F1102" s="9" t="s">
        <v>3121</v>
      </c>
      <c r="G1102" s="9" t="s">
        <v>2947</v>
      </c>
      <c r="H1102" s="9" t="s">
        <v>3122</v>
      </c>
      <c r="I1102" s="10">
        <v>45624</v>
      </c>
    </row>
    <row r="1103" spans="1:9" x14ac:dyDescent="0.15">
      <c r="A1103" s="9">
        <v>1102</v>
      </c>
      <c r="B1103" s="9" t="s">
        <v>9</v>
      </c>
      <c r="C1103" s="9">
        <v>1926</v>
      </c>
      <c r="D1103" s="10">
        <v>45722</v>
      </c>
      <c r="E1103" s="11" t="str">
        <f>+HYPERLINK("http://trademark.i-assist.jp/data/china/image_1926th/82250212.pdf","82250212")</f>
        <v>82250212</v>
      </c>
      <c r="F1103" s="9" t="s">
        <v>3123</v>
      </c>
      <c r="G1103" s="12" t="s">
        <v>3013</v>
      </c>
      <c r="H1103" s="9" t="s">
        <v>3124</v>
      </c>
      <c r="I1103" s="10">
        <v>45624</v>
      </c>
    </row>
    <row r="1104" spans="1:9" x14ac:dyDescent="0.15">
      <c r="A1104" s="9">
        <v>1103</v>
      </c>
      <c r="B1104" s="9" t="s">
        <v>9</v>
      </c>
      <c r="C1104" s="9">
        <v>1926</v>
      </c>
      <c r="D1104" s="10">
        <v>45722</v>
      </c>
      <c r="E1104" s="11" t="str">
        <f>+HYPERLINK("http://trademark.i-assist.jp/data/china/image_1926th/82250216.pdf","82250216")</f>
        <v>82250216</v>
      </c>
      <c r="F1104" s="9" t="s">
        <v>3125</v>
      </c>
      <c r="G1104" s="12" t="s">
        <v>3013</v>
      </c>
      <c r="H1104" s="9" t="s">
        <v>3126</v>
      </c>
      <c r="I1104" s="10">
        <v>45624</v>
      </c>
    </row>
    <row r="1105" spans="1:9" x14ac:dyDescent="0.15">
      <c r="A1105" s="9">
        <v>1104</v>
      </c>
      <c r="B1105" s="9" t="s">
        <v>9</v>
      </c>
      <c r="C1105" s="9">
        <v>1926</v>
      </c>
      <c r="D1105" s="10">
        <v>45722</v>
      </c>
      <c r="E1105" s="11" t="str">
        <f>+HYPERLINK("http://trademark.i-assist.jp/data/china/image_1926th/82250218.pdf","82250218")</f>
        <v>82250218</v>
      </c>
      <c r="F1105" s="12" t="s">
        <v>3127</v>
      </c>
      <c r="G1105" s="12" t="s">
        <v>3013</v>
      </c>
      <c r="H1105" s="12" t="s">
        <v>3128</v>
      </c>
      <c r="I1105" s="10">
        <v>45624</v>
      </c>
    </row>
    <row r="1106" spans="1:9" x14ac:dyDescent="0.15">
      <c r="A1106" s="9">
        <v>1105</v>
      </c>
      <c r="B1106" s="9" t="s">
        <v>9</v>
      </c>
      <c r="C1106" s="9">
        <v>1926</v>
      </c>
      <c r="D1106" s="10">
        <v>45722</v>
      </c>
      <c r="E1106" s="11" t="str">
        <f>+HYPERLINK("http://trademark.i-assist.jp/data/china/image_1926th/82250825.pdf","82250825")</f>
        <v>82250825</v>
      </c>
      <c r="F1106" s="9" t="s">
        <v>3129</v>
      </c>
      <c r="G1106" s="9" t="s">
        <v>3130</v>
      </c>
      <c r="H1106" s="9" t="s">
        <v>3131</v>
      </c>
      <c r="I1106" s="10">
        <v>45624</v>
      </c>
    </row>
    <row r="1107" spans="1:9" x14ac:dyDescent="0.15">
      <c r="A1107" s="9">
        <v>1106</v>
      </c>
      <c r="B1107" s="9" t="s">
        <v>9</v>
      </c>
      <c r="C1107" s="9">
        <v>1926</v>
      </c>
      <c r="D1107" s="10">
        <v>45722</v>
      </c>
      <c r="E1107" s="11" t="str">
        <f>+HYPERLINK("http://trademark.i-assist.jp/data/china/image_1926th/82251216.pdf","82251216")</f>
        <v>82251216</v>
      </c>
      <c r="F1107" s="9" t="s">
        <v>3132</v>
      </c>
      <c r="G1107" s="9" t="s">
        <v>3133</v>
      </c>
      <c r="H1107" s="9" t="s">
        <v>3134</v>
      </c>
      <c r="I1107" s="10">
        <v>45624</v>
      </c>
    </row>
    <row r="1108" spans="1:9" x14ac:dyDescent="0.15">
      <c r="A1108" s="9">
        <v>1107</v>
      </c>
      <c r="B1108" s="9" t="s">
        <v>9</v>
      </c>
      <c r="C1108" s="9">
        <v>1926</v>
      </c>
      <c r="D1108" s="10">
        <v>45722</v>
      </c>
      <c r="E1108" s="11" t="str">
        <f>+HYPERLINK("http://trademark.i-assist.jp/data/china/image_1926th/82251401.pdf","82251401")</f>
        <v>82251401</v>
      </c>
      <c r="F1108" s="9" t="s">
        <v>3135</v>
      </c>
      <c r="G1108" s="12" t="s">
        <v>146</v>
      </c>
      <c r="H1108" s="9" t="s">
        <v>3136</v>
      </c>
      <c r="I1108" s="10">
        <v>45624</v>
      </c>
    </row>
    <row r="1109" spans="1:9" x14ac:dyDescent="0.15">
      <c r="A1109" s="9">
        <v>1108</v>
      </c>
      <c r="B1109" s="9" t="s">
        <v>9</v>
      </c>
      <c r="C1109" s="9">
        <v>1926</v>
      </c>
      <c r="D1109" s="10">
        <v>45722</v>
      </c>
      <c r="E1109" s="11" t="str">
        <f>+HYPERLINK("http://trademark.i-assist.jp/data/china/image_1926th/82251528.pdf","82251528")</f>
        <v>82251528</v>
      </c>
      <c r="F1109" s="9" t="s">
        <v>3137</v>
      </c>
      <c r="G1109" s="9" t="s">
        <v>3002</v>
      </c>
      <c r="H1109" s="9" t="s">
        <v>3138</v>
      </c>
      <c r="I1109" s="10">
        <v>45624</v>
      </c>
    </row>
    <row r="1110" spans="1:9" x14ac:dyDescent="0.15">
      <c r="A1110" s="9">
        <v>1109</v>
      </c>
      <c r="B1110" s="9" t="s">
        <v>9</v>
      </c>
      <c r="C1110" s="9">
        <v>1926</v>
      </c>
      <c r="D1110" s="10">
        <v>45722</v>
      </c>
      <c r="E1110" s="11" t="str">
        <f>+HYPERLINK("http://trademark.i-assist.jp/data/china/image_1926th/82251921.pdf","82251921")</f>
        <v>82251921</v>
      </c>
      <c r="F1110" s="12" t="s">
        <v>3139</v>
      </c>
      <c r="G1110" s="9" t="s">
        <v>3140</v>
      </c>
      <c r="H1110" s="9" t="s">
        <v>3141</v>
      </c>
      <c r="I1110" s="10">
        <v>45624</v>
      </c>
    </row>
    <row r="1111" spans="1:9" x14ac:dyDescent="0.15">
      <c r="A1111" s="9">
        <v>1110</v>
      </c>
      <c r="B1111" s="9" t="s">
        <v>9</v>
      </c>
      <c r="C1111" s="9">
        <v>1926</v>
      </c>
      <c r="D1111" s="10">
        <v>45722</v>
      </c>
      <c r="E1111" s="11" t="str">
        <f>+HYPERLINK("http://trademark.i-assist.jp/data/china/image_1926th/82252125.pdf","82252125")</f>
        <v>82252125</v>
      </c>
      <c r="F1111" s="9" t="s">
        <v>3142</v>
      </c>
      <c r="G1111" s="9" t="s">
        <v>90</v>
      </c>
      <c r="H1111" s="9" t="s">
        <v>3143</v>
      </c>
      <c r="I1111" s="10">
        <v>45625</v>
      </c>
    </row>
    <row r="1112" spans="1:9" x14ac:dyDescent="0.15">
      <c r="A1112" s="9">
        <v>1111</v>
      </c>
      <c r="B1112" s="9" t="s">
        <v>9</v>
      </c>
      <c r="C1112" s="9">
        <v>1926</v>
      </c>
      <c r="D1112" s="10">
        <v>45722</v>
      </c>
      <c r="E1112" s="11" t="str">
        <f>+HYPERLINK("http://trademark.i-assist.jp/data/china/image_1926th/82252744.pdf","82252744")</f>
        <v>82252744</v>
      </c>
      <c r="F1112" s="9" t="s">
        <v>3144</v>
      </c>
      <c r="G1112" s="12" t="s">
        <v>3145</v>
      </c>
      <c r="H1112" s="9" t="s">
        <v>3146</v>
      </c>
      <c r="I1112" s="10">
        <v>45625</v>
      </c>
    </row>
    <row r="1113" spans="1:9" x14ac:dyDescent="0.15">
      <c r="A1113" s="9">
        <v>1112</v>
      </c>
      <c r="B1113" s="9" t="s">
        <v>9</v>
      </c>
      <c r="C1113" s="9">
        <v>1926</v>
      </c>
      <c r="D1113" s="10">
        <v>45722</v>
      </c>
      <c r="E1113" s="11" t="str">
        <f>+HYPERLINK("http://trademark.i-assist.jp/data/china/image_1926th/82253065.pdf","82253065")</f>
        <v>82253065</v>
      </c>
      <c r="F1113" s="9" t="s">
        <v>3147</v>
      </c>
      <c r="G1113" s="9" t="s">
        <v>3148</v>
      </c>
      <c r="H1113" s="9" t="s">
        <v>3149</v>
      </c>
      <c r="I1113" s="10">
        <v>45625</v>
      </c>
    </row>
    <row r="1114" spans="1:9" x14ac:dyDescent="0.15">
      <c r="A1114" s="9">
        <v>1113</v>
      </c>
      <c r="B1114" s="9" t="s">
        <v>9</v>
      </c>
      <c r="C1114" s="9">
        <v>1926</v>
      </c>
      <c r="D1114" s="10">
        <v>45722</v>
      </c>
      <c r="E1114" s="11" t="str">
        <f>+HYPERLINK("http://trademark.i-assist.jp/data/china/image_1926th/82253247.pdf","82253247")</f>
        <v>82253247</v>
      </c>
      <c r="F1114" s="9" t="s">
        <v>3150</v>
      </c>
      <c r="G1114" s="9" t="s">
        <v>3151</v>
      </c>
      <c r="H1114" s="9" t="s">
        <v>3152</v>
      </c>
      <c r="I1114" s="10">
        <v>45625</v>
      </c>
    </row>
    <row r="1115" spans="1:9" x14ac:dyDescent="0.15">
      <c r="A1115" s="9">
        <v>1114</v>
      </c>
      <c r="B1115" s="9" t="s">
        <v>9</v>
      </c>
      <c r="C1115" s="9">
        <v>1926</v>
      </c>
      <c r="D1115" s="10">
        <v>45722</v>
      </c>
      <c r="E1115" s="11" t="str">
        <f>+HYPERLINK("http://trademark.i-assist.jp/data/china/image_1926th/82253306.pdf","82253306")</f>
        <v>82253306</v>
      </c>
      <c r="F1115" s="12" t="s">
        <v>3153</v>
      </c>
      <c r="G1115" s="9" t="s">
        <v>3154</v>
      </c>
      <c r="H1115" s="9" t="s">
        <v>3155</v>
      </c>
      <c r="I1115" s="10">
        <v>45625</v>
      </c>
    </row>
    <row r="1116" spans="1:9" x14ac:dyDescent="0.15">
      <c r="A1116" s="9">
        <v>1115</v>
      </c>
      <c r="B1116" s="9" t="s">
        <v>9</v>
      </c>
      <c r="C1116" s="9">
        <v>1926</v>
      </c>
      <c r="D1116" s="10">
        <v>45722</v>
      </c>
      <c r="E1116" s="11" t="str">
        <f>+HYPERLINK("http://trademark.i-assist.jp/data/china/image_1926th/82253382.pdf","82253382")</f>
        <v>82253382</v>
      </c>
      <c r="F1116" s="12" t="s">
        <v>20</v>
      </c>
      <c r="G1116" s="9" t="s">
        <v>3156</v>
      </c>
      <c r="H1116" s="9" t="s">
        <v>3157</v>
      </c>
      <c r="I1116" s="10">
        <v>45625</v>
      </c>
    </row>
    <row r="1117" spans="1:9" x14ac:dyDescent="0.15">
      <c r="A1117" s="9">
        <v>1116</v>
      </c>
      <c r="B1117" s="9" t="s">
        <v>9</v>
      </c>
      <c r="C1117" s="9">
        <v>1926</v>
      </c>
      <c r="D1117" s="10">
        <v>45722</v>
      </c>
      <c r="E1117" s="11" t="str">
        <f>+HYPERLINK("http://trademark.i-assist.jp/data/china/image_1926th/82253397.pdf","82253397")</f>
        <v>82253397</v>
      </c>
      <c r="F1117" s="9" t="s">
        <v>3158</v>
      </c>
      <c r="G1117" s="9" t="s">
        <v>3159</v>
      </c>
      <c r="H1117" s="9" t="s">
        <v>3160</v>
      </c>
      <c r="I1117" s="10">
        <v>45625</v>
      </c>
    </row>
    <row r="1118" spans="1:9" x14ac:dyDescent="0.15">
      <c r="A1118" s="9">
        <v>1117</v>
      </c>
      <c r="B1118" s="9" t="s">
        <v>9</v>
      </c>
      <c r="C1118" s="9">
        <v>1926</v>
      </c>
      <c r="D1118" s="10">
        <v>45722</v>
      </c>
      <c r="E1118" s="11" t="str">
        <f>+HYPERLINK("http://trademark.i-assist.jp/data/china/image_1926th/82253607.pdf","82253607")</f>
        <v>82253607</v>
      </c>
      <c r="F1118" s="9" t="s">
        <v>3161</v>
      </c>
      <c r="G1118" s="9" t="s">
        <v>3162</v>
      </c>
      <c r="H1118" s="12" t="s">
        <v>3163</v>
      </c>
      <c r="I1118" s="10">
        <v>45625</v>
      </c>
    </row>
    <row r="1119" spans="1:9" x14ac:dyDescent="0.15">
      <c r="A1119" s="9">
        <v>1118</v>
      </c>
      <c r="B1119" s="9" t="s">
        <v>9</v>
      </c>
      <c r="C1119" s="9">
        <v>1926</v>
      </c>
      <c r="D1119" s="10">
        <v>45722</v>
      </c>
      <c r="E1119" s="11" t="str">
        <f>+HYPERLINK("http://trademark.i-assist.jp/data/china/image_1926th/82253721.pdf","82253721")</f>
        <v>82253721</v>
      </c>
      <c r="F1119" s="9" t="s">
        <v>3164</v>
      </c>
      <c r="G1119" s="9" t="s">
        <v>3165</v>
      </c>
      <c r="H1119" s="12" t="s">
        <v>3166</v>
      </c>
      <c r="I1119" s="10">
        <v>45625</v>
      </c>
    </row>
    <row r="1120" spans="1:9" x14ac:dyDescent="0.15">
      <c r="A1120" s="9">
        <v>1119</v>
      </c>
      <c r="B1120" s="9" t="s">
        <v>9</v>
      </c>
      <c r="C1120" s="9">
        <v>1926</v>
      </c>
      <c r="D1120" s="10">
        <v>45722</v>
      </c>
      <c r="E1120" s="11" t="str">
        <f>+HYPERLINK("http://trademark.i-assist.jp/data/china/image_1926th/82253863.pdf","82253863")</f>
        <v>82253863</v>
      </c>
      <c r="F1120" s="9" t="s">
        <v>3167</v>
      </c>
      <c r="G1120" s="12" t="s">
        <v>3168</v>
      </c>
      <c r="H1120" s="9" t="s">
        <v>3169</v>
      </c>
      <c r="I1120" s="10">
        <v>45625</v>
      </c>
    </row>
    <row r="1121" spans="1:9" x14ac:dyDescent="0.15">
      <c r="A1121" s="9">
        <v>1120</v>
      </c>
      <c r="B1121" s="9" t="s">
        <v>9</v>
      </c>
      <c r="C1121" s="9">
        <v>1926</v>
      </c>
      <c r="D1121" s="10">
        <v>45722</v>
      </c>
      <c r="E1121" s="11" t="str">
        <f>+HYPERLINK("http://trademark.i-assist.jp/data/china/image_1926th/82253873.pdf","82253873")</f>
        <v>82253873</v>
      </c>
      <c r="F1121" s="9" t="s">
        <v>3170</v>
      </c>
      <c r="G1121" s="12" t="s">
        <v>3168</v>
      </c>
      <c r="H1121" s="9" t="s">
        <v>3171</v>
      </c>
      <c r="I1121" s="10">
        <v>45625</v>
      </c>
    </row>
    <row r="1122" spans="1:9" x14ac:dyDescent="0.15">
      <c r="A1122" s="9">
        <v>1121</v>
      </c>
      <c r="B1122" s="9" t="s">
        <v>9</v>
      </c>
      <c r="C1122" s="9">
        <v>1926</v>
      </c>
      <c r="D1122" s="10">
        <v>45722</v>
      </c>
      <c r="E1122" s="11" t="str">
        <f>+HYPERLINK("http://trademark.i-assist.jp/data/china/image_1926th/82253995.pdf","82253995")</f>
        <v>82253995</v>
      </c>
      <c r="F1122" s="9" t="s">
        <v>3172</v>
      </c>
      <c r="G1122" s="9" t="s">
        <v>3173</v>
      </c>
      <c r="H1122" s="9" t="s">
        <v>3174</v>
      </c>
      <c r="I1122" s="10">
        <v>45625</v>
      </c>
    </row>
    <row r="1123" spans="1:9" x14ac:dyDescent="0.15">
      <c r="A1123" s="9">
        <v>1122</v>
      </c>
      <c r="B1123" s="9" t="s">
        <v>9</v>
      </c>
      <c r="C1123" s="9">
        <v>1926</v>
      </c>
      <c r="D1123" s="10">
        <v>45722</v>
      </c>
      <c r="E1123" s="11" t="str">
        <f>+HYPERLINK("http://trademark.i-assist.jp/data/china/image_1926th/82254083.pdf","82254083")</f>
        <v>82254083</v>
      </c>
      <c r="F1123" s="9" t="s">
        <v>3175</v>
      </c>
      <c r="G1123" s="9" t="s">
        <v>148</v>
      </c>
      <c r="H1123" s="9" t="s">
        <v>3176</v>
      </c>
      <c r="I1123" s="10">
        <v>45625</v>
      </c>
    </row>
    <row r="1124" spans="1:9" x14ac:dyDescent="0.15">
      <c r="A1124" s="9">
        <v>1123</v>
      </c>
      <c r="B1124" s="9" t="s">
        <v>9</v>
      </c>
      <c r="C1124" s="9">
        <v>1926</v>
      </c>
      <c r="D1124" s="10">
        <v>45722</v>
      </c>
      <c r="E1124" s="11" t="str">
        <f>+HYPERLINK("http://trademark.i-assist.jp/data/china/image_1926th/82254452.pdf","82254452")</f>
        <v>82254452</v>
      </c>
      <c r="F1124" s="9" t="s">
        <v>3177</v>
      </c>
      <c r="G1124" s="12" t="s">
        <v>3178</v>
      </c>
      <c r="H1124" s="9" t="s">
        <v>3179</v>
      </c>
      <c r="I1124" s="10">
        <v>45625</v>
      </c>
    </row>
    <row r="1125" spans="1:9" x14ac:dyDescent="0.15">
      <c r="A1125" s="9">
        <v>1124</v>
      </c>
      <c r="B1125" s="9" t="s">
        <v>9</v>
      </c>
      <c r="C1125" s="9">
        <v>1926</v>
      </c>
      <c r="D1125" s="10">
        <v>45722</v>
      </c>
      <c r="E1125" s="11" t="str">
        <f>+HYPERLINK("http://trademark.i-assist.jp/data/china/image_1926th/82254596.pdf","82254596")</f>
        <v>82254596</v>
      </c>
      <c r="F1125" s="12" t="s">
        <v>3180</v>
      </c>
      <c r="G1125" s="12" t="s">
        <v>3168</v>
      </c>
      <c r="H1125" s="12" t="s">
        <v>3181</v>
      </c>
      <c r="I1125" s="10">
        <v>45625</v>
      </c>
    </row>
    <row r="1126" spans="1:9" x14ac:dyDescent="0.15">
      <c r="A1126" s="9">
        <v>1125</v>
      </c>
      <c r="B1126" s="9" t="s">
        <v>9</v>
      </c>
      <c r="C1126" s="9">
        <v>1926</v>
      </c>
      <c r="D1126" s="10">
        <v>45722</v>
      </c>
      <c r="E1126" s="11" t="str">
        <f>+HYPERLINK("http://trademark.i-assist.jp/data/china/image_1926th/82255262.pdf","82255262")</f>
        <v>82255262</v>
      </c>
      <c r="F1126" s="9" t="s">
        <v>3182</v>
      </c>
      <c r="G1126" s="9" t="s">
        <v>3002</v>
      </c>
      <c r="H1126" s="9" t="s">
        <v>3183</v>
      </c>
      <c r="I1126" s="10">
        <v>45625</v>
      </c>
    </row>
    <row r="1127" spans="1:9" x14ac:dyDescent="0.15">
      <c r="A1127" s="9">
        <v>1126</v>
      </c>
      <c r="B1127" s="9" t="s">
        <v>9</v>
      </c>
      <c r="C1127" s="9">
        <v>1926</v>
      </c>
      <c r="D1127" s="10">
        <v>45722</v>
      </c>
      <c r="E1127" s="11" t="str">
        <f>+HYPERLINK("http://trademark.i-assist.jp/data/china/image_1926th/82256255.pdf","82256255")</f>
        <v>82256255</v>
      </c>
      <c r="F1127" s="9" t="s">
        <v>3184</v>
      </c>
      <c r="G1127" s="9" t="s">
        <v>3185</v>
      </c>
      <c r="H1127" s="9" t="s">
        <v>3186</v>
      </c>
      <c r="I1127" s="10">
        <v>45625</v>
      </c>
    </row>
    <row r="1128" spans="1:9" x14ac:dyDescent="0.15">
      <c r="A1128" s="9">
        <v>1127</v>
      </c>
      <c r="B1128" s="9" t="s">
        <v>9</v>
      </c>
      <c r="C1128" s="9">
        <v>1926</v>
      </c>
      <c r="D1128" s="10">
        <v>45722</v>
      </c>
      <c r="E1128" s="11" t="str">
        <f>+HYPERLINK("http://trademark.i-assist.jp/data/china/image_1926th/82256280.pdf","82256280")</f>
        <v>82256280</v>
      </c>
      <c r="F1128" s="12" t="s">
        <v>3187</v>
      </c>
      <c r="G1128" s="9" t="s">
        <v>3188</v>
      </c>
      <c r="H1128" s="9" t="s">
        <v>3189</v>
      </c>
      <c r="I1128" s="10">
        <v>45625</v>
      </c>
    </row>
    <row r="1129" spans="1:9" x14ac:dyDescent="0.15">
      <c r="A1129" s="9">
        <v>1128</v>
      </c>
      <c r="B1129" s="9" t="s">
        <v>9</v>
      </c>
      <c r="C1129" s="9">
        <v>1926</v>
      </c>
      <c r="D1129" s="10">
        <v>45722</v>
      </c>
      <c r="E1129" s="11" t="str">
        <f>+HYPERLINK("http://trademark.i-assist.jp/data/china/image_1926th/82256344.pdf","82256344")</f>
        <v>82256344</v>
      </c>
      <c r="F1129" s="9" t="s">
        <v>3190</v>
      </c>
      <c r="G1129" s="9" t="s">
        <v>3191</v>
      </c>
      <c r="H1129" s="12" t="s">
        <v>3192</v>
      </c>
      <c r="I1129" s="10">
        <v>45625</v>
      </c>
    </row>
    <row r="1130" spans="1:9" x14ac:dyDescent="0.15">
      <c r="A1130" s="9">
        <v>1129</v>
      </c>
      <c r="B1130" s="9" t="s">
        <v>9</v>
      </c>
      <c r="C1130" s="9">
        <v>1926</v>
      </c>
      <c r="D1130" s="10">
        <v>45722</v>
      </c>
      <c r="E1130" s="11" t="str">
        <f>+HYPERLINK("http://trademark.i-assist.jp/data/china/image_1926th/82256704.pdf","82256704")</f>
        <v>82256704</v>
      </c>
      <c r="F1130" s="12" t="s">
        <v>3193</v>
      </c>
      <c r="G1130" s="9" t="s">
        <v>138</v>
      </c>
      <c r="H1130" s="9" t="s">
        <v>3194</v>
      </c>
      <c r="I1130" s="10">
        <v>45625</v>
      </c>
    </row>
    <row r="1131" spans="1:9" x14ac:dyDescent="0.15">
      <c r="A1131" s="9">
        <v>1130</v>
      </c>
      <c r="B1131" s="9" t="s">
        <v>9</v>
      </c>
      <c r="C1131" s="9">
        <v>1926</v>
      </c>
      <c r="D1131" s="10">
        <v>45722</v>
      </c>
      <c r="E1131" s="11" t="str">
        <f>+HYPERLINK("http://trademark.i-assist.jp/data/china/image_1926th/82256769.pdf","82256769")</f>
        <v>82256769</v>
      </c>
      <c r="F1131" s="12" t="s">
        <v>3195</v>
      </c>
      <c r="G1131" s="9" t="s">
        <v>3196</v>
      </c>
      <c r="H1131" s="9" t="s">
        <v>3197</v>
      </c>
      <c r="I1131" s="10">
        <v>45625</v>
      </c>
    </row>
    <row r="1132" spans="1:9" x14ac:dyDescent="0.15">
      <c r="A1132" s="9">
        <v>1131</v>
      </c>
      <c r="B1132" s="9" t="s">
        <v>9</v>
      </c>
      <c r="C1132" s="9">
        <v>1926</v>
      </c>
      <c r="D1132" s="10">
        <v>45722</v>
      </c>
      <c r="E1132" s="11" t="str">
        <f>+HYPERLINK("http://trademark.i-assist.jp/data/china/image_1926th/82258428.pdf","82258428")</f>
        <v>82258428</v>
      </c>
      <c r="F1132" s="12" t="s">
        <v>20</v>
      </c>
      <c r="G1132" s="9" t="s">
        <v>3198</v>
      </c>
      <c r="H1132" s="9" t="s">
        <v>3199</v>
      </c>
      <c r="I1132" s="10">
        <v>45625</v>
      </c>
    </row>
    <row r="1133" spans="1:9" x14ac:dyDescent="0.15">
      <c r="A1133" s="9">
        <v>1132</v>
      </c>
      <c r="B1133" s="9" t="s">
        <v>9</v>
      </c>
      <c r="C1133" s="9">
        <v>1926</v>
      </c>
      <c r="D1133" s="10">
        <v>45722</v>
      </c>
      <c r="E1133" s="11" t="str">
        <f>+HYPERLINK("http://trademark.i-assist.jp/data/china/image_1926th/82258620.pdf","82258620")</f>
        <v>82258620</v>
      </c>
      <c r="F1133" s="9" t="s">
        <v>3200</v>
      </c>
      <c r="G1133" s="9" t="s">
        <v>3201</v>
      </c>
      <c r="H1133" s="9" t="s">
        <v>3202</v>
      </c>
      <c r="I1133" s="10">
        <v>45625</v>
      </c>
    </row>
    <row r="1134" spans="1:9" x14ac:dyDescent="0.15">
      <c r="A1134" s="9">
        <v>1133</v>
      </c>
      <c r="B1134" s="9" t="s">
        <v>9</v>
      </c>
      <c r="C1134" s="9">
        <v>1926</v>
      </c>
      <c r="D1134" s="10">
        <v>45722</v>
      </c>
      <c r="E1134" s="11" t="str">
        <f>+HYPERLINK("http://trademark.i-assist.jp/data/china/image_1926th/82258735.pdf","82258735")</f>
        <v>82258735</v>
      </c>
      <c r="F1134" s="12" t="s">
        <v>20</v>
      </c>
      <c r="G1134" s="9" t="s">
        <v>3203</v>
      </c>
      <c r="H1134" s="9" t="s">
        <v>3204</v>
      </c>
      <c r="I1134" s="10">
        <v>45625</v>
      </c>
    </row>
    <row r="1135" spans="1:9" x14ac:dyDescent="0.15">
      <c r="A1135" s="9">
        <v>1134</v>
      </c>
      <c r="B1135" s="9" t="s">
        <v>9</v>
      </c>
      <c r="C1135" s="9">
        <v>1926</v>
      </c>
      <c r="D1135" s="10">
        <v>45722</v>
      </c>
      <c r="E1135" s="11" t="str">
        <f>+HYPERLINK("http://trademark.i-assist.jp/data/china/image_1926th/82258803.pdf","82258803")</f>
        <v>82258803</v>
      </c>
      <c r="F1135" s="9" t="s">
        <v>3205</v>
      </c>
      <c r="G1135" s="9" t="s">
        <v>3206</v>
      </c>
      <c r="H1135" s="9" t="s">
        <v>3207</v>
      </c>
      <c r="I1135" s="10">
        <v>45625</v>
      </c>
    </row>
    <row r="1136" spans="1:9" x14ac:dyDescent="0.15">
      <c r="A1136" s="9">
        <v>1135</v>
      </c>
      <c r="B1136" s="9" t="s">
        <v>9</v>
      </c>
      <c r="C1136" s="9">
        <v>1926</v>
      </c>
      <c r="D1136" s="10">
        <v>45722</v>
      </c>
      <c r="E1136" s="11" t="str">
        <f>+HYPERLINK("http://trademark.i-assist.jp/data/china/image_1926th/82259115.pdf","82259115")</f>
        <v>82259115</v>
      </c>
      <c r="F1136" s="9" t="s">
        <v>3208</v>
      </c>
      <c r="G1136" s="9" t="s">
        <v>3209</v>
      </c>
      <c r="H1136" s="9" t="s">
        <v>3210</v>
      </c>
      <c r="I1136" s="10">
        <v>45625</v>
      </c>
    </row>
    <row r="1137" spans="1:9" x14ac:dyDescent="0.15">
      <c r="A1137" s="9">
        <v>1136</v>
      </c>
      <c r="B1137" s="9" t="s">
        <v>9</v>
      </c>
      <c r="C1137" s="9">
        <v>1926</v>
      </c>
      <c r="D1137" s="10">
        <v>45722</v>
      </c>
      <c r="E1137" s="11" t="str">
        <f>+HYPERLINK("http://trademark.i-assist.jp/data/china/image_1926th/82259367.pdf","82259367")</f>
        <v>82259367</v>
      </c>
      <c r="F1137" s="9" t="s">
        <v>3211</v>
      </c>
      <c r="G1137" s="12" t="s">
        <v>3168</v>
      </c>
      <c r="H1137" s="9" t="s">
        <v>3212</v>
      </c>
      <c r="I1137" s="10">
        <v>45625</v>
      </c>
    </row>
    <row r="1138" spans="1:9" x14ac:dyDescent="0.15">
      <c r="A1138" s="9">
        <v>1137</v>
      </c>
      <c r="B1138" s="9" t="s">
        <v>9</v>
      </c>
      <c r="C1138" s="9">
        <v>1926</v>
      </c>
      <c r="D1138" s="10">
        <v>45722</v>
      </c>
      <c r="E1138" s="11" t="str">
        <f>+HYPERLINK("http://trademark.i-assist.jp/data/china/image_1926th/82259374.pdf","82259374")</f>
        <v>82259374</v>
      </c>
      <c r="F1138" s="9" t="s">
        <v>3213</v>
      </c>
      <c r="G1138" s="12" t="s">
        <v>3168</v>
      </c>
      <c r="H1138" s="9" t="s">
        <v>3214</v>
      </c>
      <c r="I1138" s="10">
        <v>45625</v>
      </c>
    </row>
    <row r="1139" spans="1:9" x14ac:dyDescent="0.15">
      <c r="A1139" s="9">
        <v>1138</v>
      </c>
      <c r="B1139" s="9" t="s">
        <v>9</v>
      </c>
      <c r="C1139" s="9">
        <v>1926</v>
      </c>
      <c r="D1139" s="10">
        <v>45722</v>
      </c>
      <c r="E1139" s="11" t="str">
        <f>+HYPERLINK("http://trademark.i-assist.jp/data/china/image_1926th/82259505.pdf","82259505")</f>
        <v>82259505</v>
      </c>
      <c r="F1139" s="12" t="s">
        <v>3215</v>
      </c>
      <c r="G1139" s="12" t="s">
        <v>3216</v>
      </c>
      <c r="H1139" s="9" t="s">
        <v>3217</v>
      </c>
      <c r="I1139" s="10">
        <v>45625</v>
      </c>
    </row>
    <row r="1140" spans="1:9" x14ac:dyDescent="0.15">
      <c r="A1140" s="9">
        <v>1139</v>
      </c>
      <c r="B1140" s="9" t="s">
        <v>9</v>
      </c>
      <c r="C1140" s="9">
        <v>1926</v>
      </c>
      <c r="D1140" s="10">
        <v>45722</v>
      </c>
      <c r="E1140" s="11" t="str">
        <f>+HYPERLINK("http://trademark.i-assist.jp/data/china/image_1926th/82259561.pdf","82259561")</f>
        <v>82259561</v>
      </c>
      <c r="F1140" s="9" t="s">
        <v>3218</v>
      </c>
      <c r="G1140" s="9" t="s">
        <v>3219</v>
      </c>
      <c r="H1140" s="9" t="s">
        <v>3220</v>
      </c>
      <c r="I1140" s="10">
        <v>45625</v>
      </c>
    </row>
    <row r="1141" spans="1:9" x14ac:dyDescent="0.15">
      <c r="A1141" s="9">
        <v>1140</v>
      </c>
      <c r="B1141" s="9" t="s">
        <v>9</v>
      </c>
      <c r="C1141" s="9">
        <v>1926</v>
      </c>
      <c r="D1141" s="10">
        <v>45722</v>
      </c>
      <c r="E1141" s="11" t="str">
        <f>+HYPERLINK("http://trademark.i-assist.jp/data/china/image_1926th/82260350.pdf","82260350")</f>
        <v>82260350</v>
      </c>
      <c r="F1141" s="12" t="s">
        <v>3221</v>
      </c>
      <c r="G1141" s="9" t="s">
        <v>3222</v>
      </c>
      <c r="H1141" s="9" t="s">
        <v>3223</v>
      </c>
      <c r="I1141" s="10">
        <v>45625</v>
      </c>
    </row>
    <row r="1142" spans="1:9" x14ac:dyDescent="0.15">
      <c r="A1142" s="9">
        <v>1141</v>
      </c>
      <c r="B1142" s="9" t="s">
        <v>9</v>
      </c>
      <c r="C1142" s="9">
        <v>1926</v>
      </c>
      <c r="D1142" s="10">
        <v>45722</v>
      </c>
      <c r="E1142" s="11" t="str">
        <f>+HYPERLINK("http://trademark.i-assist.jp/data/china/image_1926th/82260997.pdf","82260997")</f>
        <v>82260997</v>
      </c>
      <c r="F1142" s="9" t="s">
        <v>3224</v>
      </c>
      <c r="G1142" s="9" t="s">
        <v>3225</v>
      </c>
      <c r="H1142" s="12" t="s">
        <v>3226</v>
      </c>
      <c r="I1142" s="10">
        <v>45625</v>
      </c>
    </row>
    <row r="1143" spans="1:9" x14ac:dyDescent="0.15">
      <c r="A1143" s="9">
        <v>1142</v>
      </c>
      <c r="B1143" s="9" t="s">
        <v>9</v>
      </c>
      <c r="C1143" s="9">
        <v>1926</v>
      </c>
      <c r="D1143" s="10">
        <v>45722</v>
      </c>
      <c r="E1143" s="11" t="str">
        <f>+HYPERLINK("http://trademark.i-assist.jp/data/china/image_1926th/82261081.pdf","82261081")</f>
        <v>82261081</v>
      </c>
      <c r="F1143" s="9" t="s">
        <v>3227</v>
      </c>
      <c r="G1143" s="12" t="s">
        <v>3228</v>
      </c>
      <c r="H1143" s="9" t="s">
        <v>3229</v>
      </c>
      <c r="I1143" s="10">
        <v>45625</v>
      </c>
    </row>
    <row r="1144" spans="1:9" x14ac:dyDescent="0.15">
      <c r="A1144" s="9">
        <v>1143</v>
      </c>
      <c r="B1144" s="9" t="s">
        <v>9</v>
      </c>
      <c r="C1144" s="9">
        <v>1926</v>
      </c>
      <c r="D1144" s="10">
        <v>45722</v>
      </c>
      <c r="E1144" s="11" t="str">
        <f>+HYPERLINK("http://trademark.i-assist.jp/data/china/image_1926th/82261277.pdf","82261277")</f>
        <v>82261277</v>
      </c>
      <c r="F1144" s="9" t="s">
        <v>3230</v>
      </c>
      <c r="G1144" s="9" t="s">
        <v>3231</v>
      </c>
      <c r="H1144" s="9" t="s">
        <v>3232</v>
      </c>
      <c r="I1144" s="10">
        <v>45625</v>
      </c>
    </row>
    <row r="1145" spans="1:9" x14ac:dyDescent="0.15">
      <c r="A1145" s="9">
        <v>1144</v>
      </c>
      <c r="B1145" s="9" t="s">
        <v>9</v>
      </c>
      <c r="C1145" s="9">
        <v>1926</v>
      </c>
      <c r="D1145" s="10">
        <v>45722</v>
      </c>
      <c r="E1145" s="11" t="str">
        <f>+HYPERLINK("http://trademark.i-assist.jp/data/china/image_1926th/82261459.pdf","82261459")</f>
        <v>82261459</v>
      </c>
      <c r="F1145" s="12" t="s">
        <v>3233</v>
      </c>
      <c r="G1145" s="9" t="s">
        <v>3234</v>
      </c>
      <c r="H1145" s="12" t="s">
        <v>3235</v>
      </c>
      <c r="I1145" s="10">
        <v>45625</v>
      </c>
    </row>
    <row r="1146" spans="1:9" x14ac:dyDescent="0.15">
      <c r="A1146" s="9">
        <v>1145</v>
      </c>
      <c r="B1146" s="9" t="s">
        <v>9</v>
      </c>
      <c r="C1146" s="9">
        <v>1926</v>
      </c>
      <c r="D1146" s="10">
        <v>45722</v>
      </c>
      <c r="E1146" s="11" t="str">
        <f>+HYPERLINK("http://trademark.i-assist.jp/data/china/image_1926th/82261742.pdf","82261742")</f>
        <v>82261742</v>
      </c>
      <c r="F1146" s="12" t="s">
        <v>3236</v>
      </c>
      <c r="G1146" s="12" t="s">
        <v>3237</v>
      </c>
      <c r="H1146" s="9" t="s">
        <v>3238</v>
      </c>
      <c r="I1146" s="10">
        <v>45625</v>
      </c>
    </row>
    <row r="1147" spans="1:9" x14ac:dyDescent="0.15">
      <c r="A1147" s="9">
        <v>1146</v>
      </c>
      <c r="B1147" s="9" t="s">
        <v>9</v>
      </c>
      <c r="C1147" s="9">
        <v>1926</v>
      </c>
      <c r="D1147" s="10">
        <v>45722</v>
      </c>
      <c r="E1147" s="11" t="str">
        <f>+HYPERLINK("http://trademark.i-assist.jp/data/china/image_1926th/82261805.pdf","82261805")</f>
        <v>82261805</v>
      </c>
      <c r="F1147" s="9" t="s">
        <v>3239</v>
      </c>
      <c r="G1147" s="9" t="s">
        <v>140</v>
      </c>
      <c r="H1147" s="9" t="s">
        <v>3240</v>
      </c>
      <c r="I1147" s="10">
        <v>45625</v>
      </c>
    </row>
    <row r="1148" spans="1:9" x14ac:dyDescent="0.15">
      <c r="A1148" s="9">
        <v>1147</v>
      </c>
      <c r="B1148" s="9" t="s">
        <v>9</v>
      </c>
      <c r="C1148" s="9">
        <v>1926</v>
      </c>
      <c r="D1148" s="10">
        <v>45722</v>
      </c>
      <c r="E1148" s="11" t="str">
        <f>+HYPERLINK("http://trademark.i-assist.jp/data/china/image_1926th/82261856.pdf","82261856")</f>
        <v>82261856</v>
      </c>
      <c r="F1148" s="9" t="s">
        <v>3241</v>
      </c>
      <c r="G1148" s="12" t="s">
        <v>3228</v>
      </c>
      <c r="H1148" s="9" t="s">
        <v>3242</v>
      </c>
      <c r="I1148" s="10">
        <v>45625</v>
      </c>
    </row>
    <row r="1149" spans="1:9" x14ac:dyDescent="0.15">
      <c r="A1149" s="9">
        <v>1148</v>
      </c>
      <c r="B1149" s="9" t="s">
        <v>9</v>
      </c>
      <c r="C1149" s="9">
        <v>1926</v>
      </c>
      <c r="D1149" s="10">
        <v>45722</v>
      </c>
      <c r="E1149" s="11" t="str">
        <f>+HYPERLINK("http://trademark.i-assist.jp/data/china/image_1926th/82261917.pdf","82261917")</f>
        <v>82261917</v>
      </c>
      <c r="F1149" s="9" t="s">
        <v>3243</v>
      </c>
      <c r="G1149" s="12" t="s">
        <v>3244</v>
      </c>
      <c r="H1149" s="9" t="s">
        <v>3245</v>
      </c>
      <c r="I1149" s="10">
        <v>45625</v>
      </c>
    </row>
    <row r="1150" spans="1:9" x14ac:dyDescent="0.15">
      <c r="A1150" s="9">
        <v>1149</v>
      </c>
      <c r="B1150" s="9" t="s">
        <v>9</v>
      </c>
      <c r="C1150" s="9">
        <v>1926</v>
      </c>
      <c r="D1150" s="10">
        <v>45722</v>
      </c>
      <c r="E1150" s="11" t="str">
        <f>+HYPERLINK("http://trademark.i-assist.jp/data/china/image_1926th/82262035.pdf","82262035")</f>
        <v>82262035</v>
      </c>
      <c r="F1150" s="9" t="s">
        <v>3246</v>
      </c>
      <c r="G1150" s="12" t="s">
        <v>3247</v>
      </c>
      <c r="H1150" s="9" t="s">
        <v>3248</v>
      </c>
      <c r="I1150" s="10">
        <v>45625</v>
      </c>
    </row>
    <row r="1151" spans="1:9" x14ac:dyDescent="0.15">
      <c r="A1151" s="9">
        <v>1150</v>
      </c>
      <c r="B1151" s="9" t="s">
        <v>9</v>
      </c>
      <c r="C1151" s="9">
        <v>1926</v>
      </c>
      <c r="D1151" s="10">
        <v>45722</v>
      </c>
      <c r="E1151" s="11" t="str">
        <f>+HYPERLINK("http://trademark.i-assist.jp/data/china/image_1926th/82262056.pdf","82262056")</f>
        <v>82262056</v>
      </c>
      <c r="F1151" s="9" t="s">
        <v>3249</v>
      </c>
      <c r="G1151" s="12" t="s">
        <v>3250</v>
      </c>
      <c r="H1151" s="9" t="s">
        <v>3251</v>
      </c>
      <c r="I1151" s="10">
        <v>45625</v>
      </c>
    </row>
    <row r="1152" spans="1:9" x14ac:dyDescent="0.15">
      <c r="A1152" s="9">
        <v>1151</v>
      </c>
      <c r="B1152" s="9" t="s">
        <v>9</v>
      </c>
      <c r="C1152" s="9">
        <v>1926</v>
      </c>
      <c r="D1152" s="10">
        <v>45722</v>
      </c>
      <c r="E1152" s="11" t="str">
        <f>+HYPERLINK("http://trademark.i-assist.jp/data/china/image_1926th/82262204.pdf","82262204")</f>
        <v>82262204</v>
      </c>
      <c r="F1152" s="9" t="s">
        <v>3252</v>
      </c>
      <c r="G1152" s="12" t="s">
        <v>3253</v>
      </c>
      <c r="H1152" s="9" t="s">
        <v>3254</v>
      </c>
      <c r="I1152" s="10">
        <v>45625</v>
      </c>
    </row>
    <row r="1153" spans="1:9" x14ac:dyDescent="0.15">
      <c r="A1153" s="9">
        <v>1152</v>
      </c>
      <c r="B1153" s="9" t="s">
        <v>9</v>
      </c>
      <c r="C1153" s="9">
        <v>1926</v>
      </c>
      <c r="D1153" s="10">
        <v>45722</v>
      </c>
      <c r="E1153" s="11" t="str">
        <f>+HYPERLINK("http://trademark.i-assist.jp/data/china/image_1926th/82262528.pdf","82262528")</f>
        <v>82262528</v>
      </c>
      <c r="F1153" s="9" t="s">
        <v>3255</v>
      </c>
      <c r="G1153" s="9" t="s">
        <v>3256</v>
      </c>
      <c r="H1153" s="12" t="s">
        <v>3257</v>
      </c>
      <c r="I1153" s="10">
        <v>45625</v>
      </c>
    </row>
    <row r="1154" spans="1:9" x14ac:dyDescent="0.15">
      <c r="A1154" s="9">
        <v>1153</v>
      </c>
      <c r="B1154" s="9" t="s">
        <v>9</v>
      </c>
      <c r="C1154" s="9">
        <v>1926</v>
      </c>
      <c r="D1154" s="10">
        <v>45722</v>
      </c>
      <c r="E1154" s="11" t="str">
        <f>+HYPERLINK("http://trademark.i-assist.jp/data/china/image_1926th/82262576.pdf","82262576")</f>
        <v>82262576</v>
      </c>
      <c r="F1154" s="12" t="s">
        <v>3258</v>
      </c>
      <c r="G1154" s="12" t="s">
        <v>3168</v>
      </c>
      <c r="H1154" s="12" t="s">
        <v>3259</v>
      </c>
      <c r="I1154" s="10">
        <v>45625</v>
      </c>
    </row>
    <row r="1155" spans="1:9" x14ac:dyDescent="0.15">
      <c r="A1155" s="9">
        <v>1154</v>
      </c>
      <c r="B1155" s="9" t="s">
        <v>9</v>
      </c>
      <c r="C1155" s="9">
        <v>1926</v>
      </c>
      <c r="D1155" s="10">
        <v>45722</v>
      </c>
      <c r="E1155" s="11" t="str">
        <f>+HYPERLINK("http://trademark.i-assist.jp/data/china/image_1926th/82262579.pdf","82262579")</f>
        <v>82262579</v>
      </c>
      <c r="F1155" s="12" t="s">
        <v>3260</v>
      </c>
      <c r="G1155" s="9" t="s">
        <v>3261</v>
      </c>
      <c r="H1155" s="9" t="s">
        <v>3262</v>
      </c>
      <c r="I1155" s="10">
        <v>45625</v>
      </c>
    </row>
    <row r="1156" spans="1:9" x14ac:dyDescent="0.15">
      <c r="A1156" s="9">
        <v>1155</v>
      </c>
      <c r="B1156" s="9" t="s">
        <v>9</v>
      </c>
      <c r="C1156" s="9">
        <v>1926</v>
      </c>
      <c r="D1156" s="10">
        <v>45722</v>
      </c>
      <c r="E1156" s="11" t="str">
        <f>+HYPERLINK("http://trademark.i-assist.jp/data/china/image_1926th/82262789.pdf","82262789")</f>
        <v>82262789</v>
      </c>
      <c r="F1156" s="9" t="s">
        <v>3263</v>
      </c>
      <c r="G1156" s="9" t="s">
        <v>3264</v>
      </c>
      <c r="H1156" s="9" t="s">
        <v>3265</v>
      </c>
      <c r="I1156" s="10">
        <v>45625</v>
      </c>
    </row>
    <row r="1157" spans="1:9" x14ac:dyDescent="0.15">
      <c r="A1157" s="9">
        <v>1156</v>
      </c>
      <c r="B1157" s="9" t="s">
        <v>9</v>
      </c>
      <c r="C1157" s="9">
        <v>1926</v>
      </c>
      <c r="D1157" s="10">
        <v>45722</v>
      </c>
      <c r="E1157" s="11" t="str">
        <f>+HYPERLINK("http://trademark.i-assist.jp/data/china/image_1926th/82262944.pdf","82262944")</f>
        <v>82262944</v>
      </c>
      <c r="F1157" s="9" t="s">
        <v>3266</v>
      </c>
      <c r="G1157" s="9" t="s">
        <v>141</v>
      </c>
      <c r="H1157" s="12" t="s">
        <v>3267</v>
      </c>
      <c r="I1157" s="10">
        <v>45625</v>
      </c>
    </row>
    <row r="1158" spans="1:9" x14ac:dyDescent="0.15">
      <c r="A1158" s="9">
        <v>1157</v>
      </c>
      <c r="B1158" s="9" t="s">
        <v>9</v>
      </c>
      <c r="C1158" s="9">
        <v>1926</v>
      </c>
      <c r="D1158" s="10">
        <v>45722</v>
      </c>
      <c r="E1158" s="11" t="str">
        <f>+HYPERLINK("http://trademark.i-assist.jp/data/china/image_1926th/82263718.pdf","82263718")</f>
        <v>82263718</v>
      </c>
      <c r="F1158" s="9" t="s">
        <v>3268</v>
      </c>
      <c r="G1158" s="12" t="s">
        <v>3269</v>
      </c>
      <c r="H1158" s="9" t="s">
        <v>3270</v>
      </c>
      <c r="I1158" s="10">
        <v>45625</v>
      </c>
    </row>
    <row r="1159" spans="1:9" x14ac:dyDescent="0.15">
      <c r="A1159" s="9">
        <v>1158</v>
      </c>
      <c r="B1159" s="9" t="s">
        <v>9</v>
      </c>
      <c r="C1159" s="9">
        <v>1926</v>
      </c>
      <c r="D1159" s="10">
        <v>45722</v>
      </c>
      <c r="E1159" s="11" t="str">
        <f>+HYPERLINK("http://trademark.i-assist.jp/data/china/image_1926th/82263821.pdf","82263821")</f>
        <v>82263821</v>
      </c>
      <c r="F1159" s="9" t="s">
        <v>3271</v>
      </c>
      <c r="G1159" s="9" t="s">
        <v>140</v>
      </c>
      <c r="H1159" s="9" t="s">
        <v>3272</v>
      </c>
      <c r="I1159" s="10">
        <v>45625</v>
      </c>
    </row>
    <row r="1160" spans="1:9" x14ac:dyDescent="0.15">
      <c r="A1160" s="9">
        <v>1159</v>
      </c>
      <c r="B1160" s="9" t="s">
        <v>9</v>
      </c>
      <c r="C1160" s="9">
        <v>1926</v>
      </c>
      <c r="D1160" s="10">
        <v>45722</v>
      </c>
      <c r="E1160" s="11" t="str">
        <f>+HYPERLINK("http://trademark.i-assist.jp/data/china/image_1926th/82263872.pdf","82263872")</f>
        <v>82263872</v>
      </c>
      <c r="F1160" s="9" t="s">
        <v>3273</v>
      </c>
      <c r="G1160" s="9" t="s">
        <v>3274</v>
      </c>
      <c r="H1160" s="9" t="s">
        <v>3275</v>
      </c>
      <c r="I1160" s="10">
        <v>45625</v>
      </c>
    </row>
    <row r="1161" spans="1:9" x14ac:dyDescent="0.15">
      <c r="A1161" s="9">
        <v>1160</v>
      </c>
      <c r="B1161" s="9" t="s">
        <v>9</v>
      </c>
      <c r="C1161" s="9">
        <v>1926</v>
      </c>
      <c r="D1161" s="10">
        <v>45722</v>
      </c>
      <c r="E1161" s="11" t="str">
        <f>+HYPERLINK("http://trademark.i-assist.jp/data/china/image_1926th/82264100.pdf","82264100")</f>
        <v>82264100</v>
      </c>
      <c r="F1161" s="9" t="s">
        <v>3276</v>
      </c>
      <c r="G1161" s="9" t="s">
        <v>154</v>
      </c>
      <c r="H1161" s="9" t="s">
        <v>3277</v>
      </c>
      <c r="I1161" s="10">
        <v>45625</v>
      </c>
    </row>
    <row r="1162" spans="1:9" x14ac:dyDescent="0.15">
      <c r="A1162" s="9">
        <v>1161</v>
      </c>
      <c r="B1162" s="9" t="s">
        <v>9</v>
      </c>
      <c r="C1162" s="9">
        <v>1926</v>
      </c>
      <c r="D1162" s="10">
        <v>45722</v>
      </c>
      <c r="E1162" s="11" t="str">
        <f>+HYPERLINK("http://trademark.i-assist.jp/data/china/image_1926th/82264168.pdf","82264168")</f>
        <v>82264168</v>
      </c>
      <c r="F1162" s="12" t="s">
        <v>3278</v>
      </c>
      <c r="G1162" s="12" t="s">
        <v>132</v>
      </c>
      <c r="H1162" s="9" t="s">
        <v>3279</v>
      </c>
      <c r="I1162" s="10">
        <v>45625</v>
      </c>
    </row>
    <row r="1163" spans="1:9" x14ac:dyDescent="0.15">
      <c r="A1163" s="9">
        <v>1162</v>
      </c>
      <c r="B1163" s="9" t="s">
        <v>9</v>
      </c>
      <c r="C1163" s="9">
        <v>1926</v>
      </c>
      <c r="D1163" s="10">
        <v>45722</v>
      </c>
      <c r="E1163" s="11" t="str">
        <f>+HYPERLINK("http://trademark.i-assist.jp/data/china/image_1926th/82264202.pdf","82264202")</f>
        <v>82264202</v>
      </c>
      <c r="F1163" s="9" t="s">
        <v>3280</v>
      </c>
      <c r="G1163" s="12" t="s">
        <v>40</v>
      </c>
      <c r="H1163" s="9" t="s">
        <v>3281</v>
      </c>
      <c r="I1163" s="10">
        <v>45625</v>
      </c>
    </row>
    <row r="1164" spans="1:9" x14ac:dyDescent="0.15">
      <c r="A1164" s="9">
        <v>1163</v>
      </c>
      <c r="B1164" s="9" t="s">
        <v>9</v>
      </c>
      <c r="C1164" s="9">
        <v>1926</v>
      </c>
      <c r="D1164" s="10">
        <v>45722</v>
      </c>
      <c r="E1164" s="11" t="str">
        <f>+HYPERLINK("http://trademark.i-assist.jp/data/china/image_1926th/82264256.pdf","82264256")</f>
        <v>82264256</v>
      </c>
      <c r="F1164" s="12" t="s">
        <v>20</v>
      </c>
      <c r="G1164" s="9" t="s">
        <v>3282</v>
      </c>
      <c r="H1164" s="9" t="s">
        <v>3283</v>
      </c>
      <c r="I1164" s="10">
        <v>45625</v>
      </c>
    </row>
    <row r="1165" spans="1:9" x14ac:dyDescent="0.15">
      <c r="A1165" s="9">
        <v>1164</v>
      </c>
      <c r="B1165" s="9" t="s">
        <v>9</v>
      </c>
      <c r="C1165" s="9">
        <v>1926</v>
      </c>
      <c r="D1165" s="10">
        <v>45722</v>
      </c>
      <c r="E1165" s="11" t="str">
        <f>+HYPERLINK("http://trademark.i-assist.jp/data/china/image_1926th/82264423.pdf","82264423")</f>
        <v>82264423</v>
      </c>
      <c r="F1165" s="9" t="s">
        <v>3284</v>
      </c>
      <c r="G1165" s="12" t="s">
        <v>3285</v>
      </c>
      <c r="H1165" s="9" t="s">
        <v>3286</v>
      </c>
      <c r="I1165" s="10">
        <v>45625</v>
      </c>
    </row>
    <row r="1166" spans="1:9" x14ac:dyDescent="0.15">
      <c r="A1166" s="9">
        <v>1165</v>
      </c>
      <c r="B1166" s="9" t="s">
        <v>9</v>
      </c>
      <c r="C1166" s="9">
        <v>1926</v>
      </c>
      <c r="D1166" s="10">
        <v>45722</v>
      </c>
      <c r="E1166" s="11" t="str">
        <f>+HYPERLINK("http://trademark.i-assist.jp/data/china/image_1926th/82264636.pdf","82264636")</f>
        <v>82264636</v>
      </c>
      <c r="F1166" s="9" t="s">
        <v>3287</v>
      </c>
      <c r="G1166" s="9" t="s">
        <v>3288</v>
      </c>
      <c r="H1166" s="9" t="s">
        <v>3289</v>
      </c>
      <c r="I1166" s="10">
        <v>45625</v>
      </c>
    </row>
    <row r="1167" spans="1:9" x14ac:dyDescent="0.15">
      <c r="A1167" s="9">
        <v>1166</v>
      </c>
      <c r="B1167" s="9" t="s">
        <v>9</v>
      </c>
      <c r="C1167" s="9">
        <v>1926</v>
      </c>
      <c r="D1167" s="10">
        <v>45722</v>
      </c>
      <c r="E1167" s="11" t="str">
        <f>+HYPERLINK("http://trademark.i-assist.jp/data/china/image_1926th/82264974.pdf","82264974")</f>
        <v>82264974</v>
      </c>
      <c r="F1167" s="9" t="s">
        <v>3290</v>
      </c>
      <c r="G1167" s="9" t="s">
        <v>3291</v>
      </c>
      <c r="H1167" s="9" t="s">
        <v>3292</v>
      </c>
      <c r="I1167" s="10">
        <v>45625</v>
      </c>
    </row>
    <row r="1168" spans="1:9" x14ac:dyDescent="0.15">
      <c r="A1168" s="9">
        <v>1167</v>
      </c>
      <c r="B1168" s="9" t="s">
        <v>9</v>
      </c>
      <c r="C1168" s="9">
        <v>1926</v>
      </c>
      <c r="D1168" s="10">
        <v>45722</v>
      </c>
      <c r="E1168" s="11" t="str">
        <f>+HYPERLINK("http://trademark.i-assist.jp/data/china/image_1926th/82265035.pdf","82265035")</f>
        <v>82265035</v>
      </c>
      <c r="F1168" s="13" t="s">
        <v>3293</v>
      </c>
      <c r="G1168" s="9" t="s">
        <v>3294</v>
      </c>
      <c r="H1168" s="9" t="s">
        <v>3295</v>
      </c>
      <c r="I1168" s="10">
        <v>45625</v>
      </c>
    </row>
    <row r="1169" spans="1:9" x14ac:dyDescent="0.15">
      <c r="A1169" s="9">
        <v>1168</v>
      </c>
      <c r="B1169" s="9" t="s">
        <v>9</v>
      </c>
      <c r="C1169" s="9">
        <v>1926</v>
      </c>
      <c r="D1169" s="10">
        <v>45722</v>
      </c>
      <c r="E1169" s="11" t="str">
        <f>+HYPERLINK("http://trademark.i-assist.jp/data/china/image_1926th/82265241.pdf","82265241")</f>
        <v>82265241</v>
      </c>
      <c r="F1169" s="12" t="s">
        <v>3296</v>
      </c>
      <c r="G1169" s="9" t="s">
        <v>140</v>
      </c>
      <c r="H1169" s="9" t="s">
        <v>3297</v>
      </c>
      <c r="I1169" s="10">
        <v>45625</v>
      </c>
    </row>
    <row r="1170" spans="1:9" x14ac:dyDescent="0.15">
      <c r="A1170" s="9">
        <v>1169</v>
      </c>
      <c r="B1170" s="9" t="s">
        <v>9</v>
      </c>
      <c r="C1170" s="9">
        <v>1926</v>
      </c>
      <c r="D1170" s="10">
        <v>45722</v>
      </c>
      <c r="E1170" s="11" t="str">
        <f>+HYPERLINK("http://trademark.i-assist.jp/data/china/image_1926th/82265287.pdf","82265287")</f>
        <v>82265287</v>
      </c>
      <c r="F1170" s="12" t="s">
        <v>3298</v>
      </c>
      <c r="G1170" s="9" t="s">
        <v>3299</v>
      </c>
      <c r="H1170" s="9" t="s">
        <v>3300</v>
      </c>
      <c r="I1170" s="10">
        <v>45625</v>
      </c>
    </row>
    <row r="1171" spans="1:9" x14ac:dyDescent="0.15">
      <c r="A1171" s="9">
        <v>1170</v>
      </c>
      <c r="B1171" s="9" t="s">
        <v>9</v>
      </c>
      <c r="C1171" s="9">
        <v>1926</v>
      </c>
      <c r="D1171" s="10">
        <v>45722</v>
      </c>
      <c r="E1171" s="11" t="str">
        <f>+HYPERLINK("http://trademark.i-assist.jp/data/china/image_1926th/82265968.pdf","82265968")</f>
        <v>82265968</v>
      </c>
      <c r="F1171" s="9" t="s">
        <v>3301</v>
      </c>
      <c r="G1171" s="9" t="s">
        <v>17</v>
      </c>
      <c r="H1171" s="9" t="s">
        <v>3302</v>
      </c>
      <c r="I1171" s="10">
        <v>45625</v>
      </c>
    </row>
    <row r="1172" spans="1:9" x14ac:dyDescent="0.15">
      <c r="A1172" s="9">
        <v>1171</v>
      </c>
      <c r="B1172" s="9" t="s">
        <v>9</v>
      </c>
      <c r="C1172" s="9">
        <v>1926</v>
      </c>
      <c r="D1172" s="10">
        <v>45722</v>
      </c>
      <c r="E1172" s="11" t="str">
        <f>+HYPERLINK("http://trademark.i-assist.jp/data/china/image_1926th/82265993.pdf","82265993")</f>
        <v>82265993</v>
      </c>
      <c r="F1172" s="9" t="s">
        <v>3303</v>
      </c>
      <c r="G1172" s="12" t="s">
        <v>3304</v>
      </c>
      <c r="H1172" s="9" t="s">
        <v>3305</v>
      </c>
      <c r="I1172" s="10">
        <v>45625</v>
      </c>
    </row>
    <row r="1173" spans="1:9" x14ac:dyDescent="0.15">
      <c r="A1173" s="9">
        <v>1172</v>
      </c>
      <c r="B1173" s="9" t="s">
        <v>9</v>
      </c>
      <c r="C1173" s="9">
        <v>1926</v>
      </c>
      <c r="D1173" s="10">
        <v>45722</v>
      </c>
      <c r="E1173" s="11" t="str">
        <f>+HYPERLINK("http://trademark.i-assist.jp/data/china/image_1926th/82266446.pdf","82266446")</f>
        <v>82266446</v>
      </c>
      <c r="F1173" s="9" t="s">
        <v>3306</v>
      </c>
      <c r="G1173" s="9" t="s">
        <v>145</v>
      </c>
      <c r="H1173" s="12" t="s">
        <v>3307</v>
      </c>
      <c r="I1173" s="10">
        <v>45625</v>
      </c>
    </row>
    <row r="1174" spans="1:9" x14ac:dyDescent="0.15">
      <c r="A1174" s="9">
        <v>1173</v>
      </c>
      <c r="B1174" s="9" t="s">
        <v>9</v>
      </c>
      <c r="C1174" s="9">
        <v>1926</v>
      </c>
      <c r="D1174" s="10">
        <v>45722</v>
      </c>
      <c r="E1174" s="11" t="str">
        <f>+HYPERLINK("http://trademark.i-assist.jp/data/china/image_1926th/82266624.pdf","82266624")</f>
        <v>82266624</v>
      </c>
      <c r="F1174" s="9" t="s">
        <v>3308</v>
      </c>
      <c r="G1174" s="9" t="s">
        <v>3309</v>
      </c>
      <c r="H1174" s="12" t="s">
        <v>3310</v>
      </c>
      <c r="I1174" s="10">
        <v>45625</v>
      </c>
    </row>
    <row r="1175" spans="1:9" x14ac:dyDescent="0.15">
      <c r="A1175" s="9">
        <v>1174</v>
      </c>
      <c r="B1175" s="9" t="s">
        <v>9</v>
      </c>
      <c r="C1175" s="9">
        <v>1926</v>
      </c>
      <c r="D1175" s="10">
        <v>45722</v>
      </c>
      <c r="E1175" s="11" t="str">
        <f>+HYPERLINK("http://trademark.i-assist.jp/data/china/image_1926th/82266727.pdf","82266727")</f>
        <v>82266727</v>
      </c>
      <c r="F1175" s="12" t="s">
        <v>3311</v>
      </c>
      <c r="G1175" s="9" t="s">
        <v>3312</v>
      </c>
      <c r="H1175" s="9" t="s">
        <v>3313</v>
      </c>
      <c r="I1175" s="10">
        <v>45625</v>
      </c>
    </row>
    <row r="1176" spans="1:9" x14ac:dyDescent="0.15">
      <c r="A1176" s="9">
        <v>1175</v>
      </c>
      <c r="B1176" s="9" t="s">
        <v>9</v>
      </c>
      <c r="C1176" s="9">
        <v>1926</v>
      </c>
      <c r="D1176" s="10">
        <v>45722</v>
      </c>
      <c r="E1176" s="11" t="str">
        <f>+HYPERLINK("http://trademark.i-assist.jp/data/china/image_1926th/82266755.pdf","82266755")</f>
        <v>82266755</v>
      </c>
      <c r="F1176" s="9" t="s">
        <v>3314</v>
      </c>
      <c r="G1176" s="9" t="s">
        <v>3315</v>
      </c>
      <c r="H1176" s="9" t="s">
        <v>3316</v>
      </c>
      <c r="I1176" s="10">
        <v>45625</v>
      </c>
    </row>
    <row r="1177" spans="1:9" x14ac:dyDescent="0.15">
      <c r="A1177" s="9">
        <v>1176</v>
      </c>
      <c r="B1177" s="9" t="s">
        <v>9</v>
      </c>
      <c r="C1177" s="9">
        <v>1926</v>
      </c>
      <c r="D1177" s="10">
        <v>45722</v>
      </c>
      <c r="E1177" s="11" t="str">
        <f>+HYPERLINK("http://trademark.i-assist.jp/data/china/image_1926th/82266851.pdf","82266851")</f>
        <v>82266851</v>
      </c>
      <c r="F1177" s="9" t="s">
        <v>3317</v>
      </c>
      <c r="G1177" s="9" t="s">
        <v>3318</v>
      </c>
      <c r="H1177" s="9" t="s">
        <v>3319</v>
      </c>
      <c r="I1177" s="10">
        <v>45625</v>
      </c>
    </row>
    <row r="1178" spans="1:9" x14ac:dyDescent="0.15">
      <c r="A1178" s="9">
        <v>1177</v>
      </c>
      <c r="B1178" s="9" t="s">
        <v>9</v>
      </c>
      <c r="C1178" s="9">
        <v>1926</v>
      </c>
      <c r="D1178" s="10">
        <v>45722</v>
      </c>
      <c r="E1178" s="11" t="str">
        <f>+HYPERLINK("http://trademark.i-assist.jp/data/china/image_1926th/82267305.pdf","82267305")</f>
        <v>82267305</v>
      </c>
      <c r="F1178" s="9" t="s">
        <v>3320</v>
      </c>
      <c r="G1178" s="12" t="s">
        <v>3321</v>
      </c>
      <c r="H1178" s="9" t="s">
        <v>3322</v>
      </c>
      <c r="I1178" s="10">
        <v>45625</v>
      </c>
    </row>
    <row r="1179" spans="1:9" x14ac:dyDescent="0.15">
      <c r="A1179" s="9">
        <v>1178</v>
      </c>
      <c r="B1179" s="9" t="s">
        <v>9</v>
      </c>
      <c r="C1179" s="9">
        <v>1926</v>
      </c>
      <c r="D1179" s="10">
        <v>45722</v>
      </c>
      <c r="E1179" s="11" t="str">
        <f>+HYPERLINK("http://trademark.i-assist.jp/data/china/image_1926th/82267773.pdf","82267773")</f>
        <v>82267773</v>
      </c>
      <c r="F1179" s="12" t="s">
        <v>3323</v>
      </c>
      <c r="G1179" s="9" t="s">
        <v>3151</v>
      </c>
      <c r="H1179" s="9" t="s">
        <v>3324</v>
      </c>
      <c r="I1179" s="10">
        <v>45625</v>
      </c>
    </row>
    <row r="1180" spans="1:9" x14ac:dyDescent="0.15">
      <c r="A1180" s="9">
        <v>1179</v>
      </c>
      <c r="B1180" s="9" t="s">
        <v>9</v>
      </c>
      <c r="C1180" s="9">
        <v>1926</v>
      </c>
      <c r="D1180" s="10">
        <v>45722</v>
      </c>
      <c r="E1180" s="11" t="str">
        <f>+HYPERLINK("http://trademark.i-assist.jp/data/china/image_1926th/82267824.pdf","82267824")</f>
        <v>82267824</v>
      </c>
      <c r="F1180" s="12" t="s">
        <v>3325</v>
      </c>
      <c r="G1180" s="9" t="s">
        <v>3326</v>
      </c>
      <c r="H1180" s="12" t="s">
        <v>3327</v>
      </c>
      <c r="I1180" s="10">
        <v>45625</v>
      </c>
    </row>
    <row r="1181" spans="1:9" x14ac:dyDescent="0.15">
      <c r="A1181" s="9">
        <v>1180</v>
      </c>
      <c r="B1181" s="9" t="s">
        <v>9</v>
      </c>
      <c r="C1181" s="9">
        <v>1926</v>
      </c>
      <c r="D1181" s="10">
        <v>45722</v>
      </c>
      <c r="E1181" s="11" t="str">
        <f>+HYPERLINK("http://trademark.i-assist.jp/data/china/image_1926th/82267850.pdf","82267850")</f>
        <v>82267850</v>
      </c>
      <c r="F1181" s="9" t="s">
        <v>3328</v>
      </c>
      <c r="G1181" s="12" t="s">
        <v>3329</v>
      </c>
      <c r="H1181" s="9" t="s">
        <v>3330</v>
      </c>
      <c r="I1181" s="10">
        <v>45625</v>
      </c>
    </row>
    <row r="1182" spans="1:9" x14ac:dyDescent="0.15">
      <c r="A1182" s="9">
        <v>1181</v>
      </c>
      <c r="B1182" s="9" t="s">
        <v>9</v>
      </c>
      <c r="C1182" s="9">
        <v>1926</v>
      </c>
      <c r="D1182" s="10">
        <v>45722</v>
      </c>
      <c r="E1182" s="11" t="str">
        <f>+HYPERLINK("http://trademark.i-assist.jp/data/china/image_1926th/82267942.pdf","82267942")</f>
        <v>82267942</v>
      </c>
      <c r="F1182" s="12" t="s">
        <v>3331</v>
      </c>
      <c r="G1182" s="12" t="s">
        <v>3269</v>
      </c>
      <c r="H1182" s="9" t="s">
        <v>3332</v>
      </c>
      <c r="I1182" s="10">
        <v>45625</v>
      </c>
    </row>
    <row r="1183" spans="1:9" x14ac:dyDescent="0.15">
      <c r="A1183" s="9">
        <v>1182</v>
      </c>
      <c r="B1183" s="9" t="s">
        <v>9</v>
      </c>
      <c r="C1183" s="9">
        <v>1926</v>
      </c>
      <c r="D1183" s="10">
        <v>45722</v>
      </c>
      <c r="E1183" s="11" t="str">
        <f>+HYPERLINK("http://trademark.i-assist.jp/data/china/image_1926th/82268052.pdf","82268052")</f>
        <v>82268052</v>
      </c>
      <c r="F1183" s="12" t="s">
        <v>3333</v>
      </c>
      <c r="G1183" s="9" t="s">
        <v>3334</v>
      </c>
      <c r="H1183" s="9" t="s">
        <v>3335</v>
      </c>
      <c r="I1183" s="10">
        <v>45625</v>
      </c>
    </row>
    <row r="1184" spans="1:9" x14ac:dyDescent="0.15">
      <c r="A1184" s="9">
        <v>1183</v>
      </c>
      <c r="B1184" s="9" t="s">
        <v>9</v>
      </c>
      <c r="C1184" s="9">
        <v>1926</v>
      </c>
      <c r="D1184" s="10">
        <v>45722</v>
      </c>
      <c r="E1184" s="11" t="str">
        <f>+HYPERLINK("http://trademark.i-assist.jp/data/china/image_1926th/82268095.pdf","82268095")</f>
        <v>82268095</v>
      </c>
      <c r="F1184" s="9" t="s">
        <v>3336</v>
      </c>
      <c r="G1184" s="9" t="s">
        <v>3337</v>
      </c>
      <c r="H1184" s="9" t="s">
        <v>3338</v>
      </c>
      <c r="I1184" s="10">
        <v>45625</v>
      </c>
    </row>
    <row r="1185" spans="1:9" x14ac:dyDescent="0.15">
      <c r="A1185" s="9">
        <v>1184</v>
      </c>
      <c r="B1185" s="9" t="s">
        <v>9</v>
      </c>
      <c r="C1185" s="9">
        <v>1926</v>
      </c>
      <c r="D1185" s="10">
        <v>45722</v>
      </c>
      <c r="E1185" s="11" t="str">
        <f>+HYPERLINK("http://trademark.i-assist.jp/data/china/image_1926th/82268212.pdf","82268212")</f>
        <v>82268212</v>
      </c>
      <c r="F1185" s="9" t="s">
        <v>3339</v>
      </c>
      <c r="G1185" s="9" t="s">
        <v>3340</v>
      </c>
      <c r="H1185" s="9" t="s">
        <v>3341</v>
      </c>
      <c r="I1185" s="10">
        <v>45625</v>
      </c>
    </row>
    <row r="1186" spans="1:9" x14ac:dyDescent="0.15">
      <c r="A1186" s="9">
        <v>1185</v>
      </c>
      <c r="B1186" s="9" t="s">
        <v>9</v>
      </c>
      <c r="C1186" s="9">
        <v>1926</v>
      </c>
      <c r="D1186" s="10">
        <v>45722</v>
      </c>
      <c r="E1186" s="11" t="str">
        <f>+HYPERLINK("http://trademark.i-assist.jp/data/china/image_1926th/82268297.pdf","82268297")</f>
        <v>82268297</v>
      </c>
      <c r="F1186" s="9" t="s">
        <v>3342</v>
      </c>
      <c r="G1186" s="9" t="s">
        <v>3343</v>
      </c>
      <c r="H1186" s="9" t="s">
        <v>3344</v>
      </c>
      <c r="I1186" s="10">
        <v>45625</v>
      </c>
    </row>
    <row r="1187" spans="1:9" x14ac:dyDescent="0.15">
      <c r="A1187" s="9">
        <v>1186</v>
      </c>
      <c r="B1187" s="9" t="s">
        <v>9</v>
      </c>
      <c r="C1187" s="9">
        <v>1926</v>
      </c>
      <c r="D1187" s="10">
        <v>45722</v>
      </c>
      <c r="E1187" s="11" t="str">
        <f>+HYPERLINK("http://trademark.i-assist.jp/data/china/image_1926th/82268487.pdf","82268487")</f>
        <v>82268487</v>
      </c>
      <c r="F1187" s="9" t="s">
        <v>3345</v>
      </c>
      <c r="G1187" s="9" t="s">
        <v>3346</v>
      </c>
      <c r="H1187" s="9" t="s">
        <v>3347</v>
      </c>
      <c r="I1187" s="10">
        <v>45625</v>
      </c>
    </row>
    <row r="1188" spans="1:9" x14ac:dyDescent="0.15">
      <c r="A1188" s="9">
        <v>1187</v>
      </c>
      <c r="B1188" s="9" t="s">
        <v>9</v>
      </c>
      <c r="C1188" s="9">
        <v>1926</v>
      </c>
      <c r="D1188" s="10">
        <v>45722</v>
      </c>
      <c r="E1188" s="11" t="str">
        <f>+HYPERLINK("http://trademark.i-assist.jp/data/china/image_1926th/82268599.pdf","82268599")</f>
        <v>82268599</v>
      </c>
      <c r="F1188" s="9" t="s">
        <v>3348</v>
      </c>
      <c r="G1188" s="9" t="s">
        <v>3002</v>
      </c>
      <c r="H1188" s="9" t="s">
        <v>3349</v>
      </c>
      <c r="I1188" s="10">
        <v>45625</v>
      </c>
    </row>
    <row r="1189" spans="1:9" x14ac:dyDescent="0.15">
      <c r="A1189" s="9">
        <v>1188</v>
      </c>
      <c r="B1189" s="9" t="s">
        <v>9</v>
      </c>
      <c r="C1189" s="9">
        <v>1926</v>
      </c>
      <c r="D1189" s="10">
        <v>45722</v>
      </c>
      <c r="E1189" s="11" t="str">
        <f>+HYPERLINK("http://trademark.i-assist.jp/data/china/image_1926th/82268664.pdf","82268664")</f>
        <v>82268664</v>
      </c>
      <c r="F1189" s="9" t="s">
        <v>3350</v>
      </c>
      <c r="G1189" s="12" t="s">
        <v>3351</v>
      </c>
      <c r="H1189" s="9" t="s">
        <v>3352</v>
      </c>
      <c r="I1189" s="10">
        <v>45625</v>
      </c>
    </row>
    <row r="1190" spans="1:9" x14ac:dyDescent="0.15">
      <c r="A1190" s="9">
        <v>1189</v>
      </c>
      <c r="B1190" s="9" t="s">
        <v>9</v>
      </c>
      <c r="C1190" s="9">
        <v>1926</v>
      </c>
      <c r="D1190" s="10">
        <v>45722</v>
      </c>
      <c r="E1190" s="11" t="str">
        <f>+HYPERLINK("http://trademark.i-assist.jp/data/china/image_1926th/82268783.pdf","82268783")</f>
        <v>82268783</v>
      </c>
      <c r="F1190" s="9" t="s">
        <v>3353</v>
      </c>
      <c r="G1190" s="9" t="s">
        <v>3173</v>
      </c>
      <c r="H1190" s="9" t="s">
        <v>3354</v>
      </c>
      <c r="I1190" s="10">
        <v>45625</v>
      </c>
    </row>
    <row r="1191" spans="1:9" x14ac:dyDescent="0.15">
      <c r="A1191" s="9">
        <v>1190</v>
      </c>
      <c r="B1191" s="9" t="s">
        <v>9</v>
      </c>
      <c r="C1191" s="9">
        <v>1926</v>
      </c>
      <c r="D1191" s="10">
        <v>45722</v>
      </c>
      <c r="E1191" s="11" t="str">
        <f>+HYPERLINK("http://trademark.i-assist.jp/data/china/image_1926th/82268898.pdf","82268898")</f>
        <v>82268898</v>
      </c>
      <c r="F1191" s="9" t="s">
        <v>3355</v>
      </c>
      <c r="G1191" s="9" t="s">
        <v>3356</v>
      </c>
      <c r="H1191" s="9" t="s">
        <v>3357</v>
      </c>
      <c r="I1191" s="10">
        <v>45625</v>
      </c>
    </row>
    <row r="1192" spans="1:9" x14ac:dyDescent="0.15">
      <c r="A1192" s="9">
        <v>1191</v>
      </c>
      <c r="B1192" s="9" t="s">
        <v>9</v>
      </c>
      <c r="C1192" s="9">
        <v>1926</v>
      </c>
      <c r="D1192" s="10">
        <v>45722</v>
      </c>
      <c r="E1192" s="11" t="str">
        <f>+HYPERLINK("http://trademark.i-assist.jp/data/china/image_1926th/82268942.pdf","82268942")</f>
        <v>82268942</v>
      </c>
      <c r="F1192" s="12" t="s">
        <v>3358</v>
      </c>
      <c r="G1192" s="9" t="s">
        <v>3234</v>
      </c>
      <c r="H1192" s="9" t="s">
        <v>3359</v>
      </c>
      <c r="I1192" s="10">
        <v>45625</v>
      </c>
    </row>
    <row r="1193" spans="1:9" x14ac:dyDescent="0.15">
      <c r="A1193" s="9">
        <v>1192</v>
      </c>
      <c r="B1193" s="9" t="s">
        <v>9</v>
      </c>
      <c r="C1193" s="9">
        <v>1926</v>
      </c>
      <c r="D1193" s="10">
        <v>45722</v>
      </c>
      <c r="E1193" s="11" t="str">
        <f>+HYPERLINK("http://trademark.i-assist.jp/data/china/image_1926th/82269163.pdf","82269163")</f>
        <v>82269163</v>
      </c>
      <c r="F1193" s="12" t="s">
        <v>3360</v>
      </c>
      <c r="G1193" s="9" t="s">
        <v>3361</v>
      </c>
      <c r="H1193" s="9" t="s">
        <v>3362</v>
      </c>
      <c r="I1193" s="10">
        <v>45625</v>
      </c>
    </row>
    <row r="1194" spans="1:9" x14ac:dyDescent="0.15">
      <c r="A1194" s="9">
        <v>1193</v>
      </c>
      <c r="B1194" s="9" t="s">
        <v>9</v>
      </c>
      <c r="C1194" s="9">
        <v>1926</v>
      </c>
      <c r="D1194" s="10">
        <v>45722</v>
      </c>
      <c r="E1194" s="11" t="str">
        <f>+HYPERLINK("http://trademark.i-assist.jp/data/china/image_1926th/82269228.pdf","82269228")</f>
        <v>82269228</v>
      </c>
      <c r="F1194" s="9" t="s">
        <v>3363</v>
      </c>
      <c r="G1194" s="9" t="s">
        <v>3364</v>
      </c>
      <c r="H1194" s="9" t="s">
        <v>3365</v>
      </c>
      <c r="I1194" s="10">
        <v>45625</v>
      </c>
    </row>
    <row r="1195" spans="1:9" x14ac:dyDescent="0.15">
      <c r="A1195" s="9">
        <v>1194</v>
      </c>
      <c r="B1195" s="9" t="s">
        <v>9</v>
      </c>
      <c r="C1195" s="9">
        <v>1926</v>
      </c>
      <c r="D1195" s="10">
        <v>45722</v>
      </c>
      <c r="E1195" s="11" t="str">
        <f>+HYPERLINK("http://trademark.i-assist.jp/data/china/image_1926th/82269473.pdf","82269473")</f>
        <v>82269473</v>
      </c>
      <c r="F1195" s="9" t="s">
        <v>3366</v>
      </c>
      <c r="G1195" s="9" t="s">
        <v>3367</v>
      </c>
      <c r="H1195" s="9" t="s">
        <v>3368</v>
      </c>
      <c r="I1195" s="10">
        <v>45625</v>
      </c>
    </row>
    <row r="1196" spans="1:9" x14ac:dyDescent="0.15">
      <c r="A1196" s="9">
        <v>1195</v>
      </c>
      <c r="B1196" s="9" t="s">
        <v>9</v>
      </c>
      <c r="C1196" s="9">
        <v>1926</v>
      </c>
      <c r="D1196" s="10">
        <v>45722</v>
      </c>
      <c r="E1196" s="11" t="str">
        <f>+HYPERLINK("http://trademark.i-assist.jp/data/china/image_1926th/82269552.pdf","82269552")</f>
        <v>82269552</v>
      </c>
      <c r="F1196" s="12" t="s">
        <v>3369</v>
      </c>
      <c r="G1196" s="12" t="s">
        <v>3370</v>
      </c>
      <c r="H1196" s="9" t="s">
        <v>3371</v>
      </c>
      <c r="I1196" s="10">
        <v>45625</v>
      </c>
    </row>
    <row r="1197" spans="1:9" x14ac:dyDescent="0.15">
      <c r="A1197" s="9">
        <v>1196</v>
      </c>
      <c r="B1197" s="9" t="s">
        <v>9</v>
      </c>
      <c r="C1197" s="9">
        <v>1926</v>
      </c>
      <c r="D1197" s="10">
        <v>45722</v>
      </c>
      <c r="E1197" s="11" t="str">
        <f>+HYPERLINK("http://trademark.i-assist.jp/data/china/image_1926th/82269718.pdf","82269718")</f>
        <v>82269718</v>
      </c>
      <c r="F1197" s="9" t="s">
        <v>3372</v>
      </c>
      <c r="G1197" s="12" t="s">
        <v>3373</v>
      </c>
      <c r="H1197" s="9" t="s">
        <v>3374</v>
      </c>
      <c r="I1197" s="10">
        <v>45625</v>
      </c>
    </row>
    <row r="1198" spans="1:9" x14ac:dyDescent="0.15">
      <c r="A1198" s="9">
        <v>1197</v>
      </c>
      <c r="B1198" s="9" t="s">
        <v>9</v>
      </c>
      <c r="C1198" s="9">
        <v>1926</v>
      </c>
      <c r="D1198" s="10">
        <v>45722</v>
      </c>
      <c r="E1198" s="11" t="str">
        <f>+HYPERLINK("http://trademark.i-assist.jp/data/china/image_1926th/82269789.pdf","82269789")</f>
        <v>82269789</v>
      </c>
      <c r="F1198" s="12" t="s">
        <v>3375</v>
      </c>
      <c r="G1198" s="9" t="s">
        <v>3376</v>
      </c>
      <c r="H1198" s="9" t="s">
        <v>3377</v>
      </c>
      <c r="I1198" s="10">
        <v>45625</v>
      </c>
    </row>
    <row r="1199" spans="1:9" x14ac:dyDescent="0.15">
      <c r="A1199" s="9">
        <v>1198</v>
      </c>
      <c r="B1199" s="9" t="s">
        <v>9</v>
      </c>
      <c r="C1199" s="9">
        <v>1926</v>
      </c>
      <c r="D1199" s="10">
        <v>45722</v>
      </c>
      <c r="E1199" s="11" t="str">
        <f>+HYPERLINK("http://trademark.i-assist.jp/data/china/image_1926th/82269812.pdf","82269812")</f>
        <v>82269812</v>
      </c>
      <c r="F1199" s="9" t="s">
        <v>3378</v>
      </c>
      <c r="G1199" s="9" t="s">
        <v>3379</v>
      </c>
      <c r="H1199" s="9" t="s">
        <v>3380</v>
      </c>
      <c r="I1199" s="10">
        <v>45625</v>
      </c>
    </row>
    <row r="1200" spans="1:9" x14ac:dyDescent="0.15">
      <c r="A1200" s="9">
        <v>1199</v>
      </c>
      <c r="B1200" s="9" t="s">
        <v>9</v>
      </c>
      <c r="C1200" s="9">
        <v>1926</v>
      </c>
      <c r="D1200" s="10">
        <v>45722</v>
      </c>
      <c r="E1200" s="11" t="str">
        <f>+HYPERLINK("http://trademark.i-assist.jp/data/china/image_1926th/82269840.pdf","82269840")</f>
        <v>82269840</v>
      </c>
      <c r="F1200" s="9" t="s">
        <v>3381</v>
      </c>
      <c r="G1200" s="9" t="s">
        <v>3185</v>
      </c>
      <c r="H1200" s="9" t="s">
        <v>3382</v>
      </c>
      <c r="I1200" s="10">
        <v>45625</v>
      </c>
    </row>
    <row r="1201" spans="1:9" x14ac:dyDescent="0.15">
      <c r="A1201" s="9">
        <v>1200</v>
      </c>
      <c r="B1201" s="9" t="s">
        <v>9</v>
      </c>
      <c r="C1201" s="9">
        <v>1926</v>
      </c>
      <c r="D1201" s="10">
        <v>45722</v>
      </c>
      <c r="E1201" s="11" t="str">
        <f>+HYPERLINK("http://trademark.i-assist.jp/data/china/image_1926th/82269841.pdf","82269841")</f>
        <v>82269841</v>
      </c>
      <c r="F1201" s="9" t="s">
        <v>3383</v>
      </c>
      <c r="G1201" s="12" t="s">
        <v>3168</v>
      </c>
      <c r="H1201" s="9" t="s">
        <v>3384</v>
      </c>
      <c r="I1201" s="10">
        <v>45625</v>
      </c>
    </row>
    <row r="1202" spans="1:9" x14ac:dyDescent="0.15">
      <c r="A1202" s="9">
        <v>1201</v>
      </c>
      <c r="B1202" s="9" t="s">
        <v>9</v>
      </c>
      <c r="C1202" s="9">
        <v>1926</v>
      </c>
      <c r="D1202" s="10">
        <v>45722</v>
      </c>
      <c r="E1202" s="11" t="str">
        <f>+HYPERLINK("http://trademark.i-assist.jp/data/china/image_1926th/82270279.pdf","82270279")</f>
        <v>82270279</v>
      </c>
      <c r="F1202" s="9" t="s">
        <v>3385</v>
      </c>
      <c r="G1202" s="9" t="s">
        <v>3386</v>
      </c>
      <c r="H1202" s="9" t="s">
        <v>3387</v>
      </c>
      <c r="I1202" s="10">
        <v>45625</v>
      </c>
    </row>
    <row r="1203" spans="1:9" x14ac:dyDescent="0.15">
      <c r="A1203" s="9">
        <v>1202</v>
      </c>
      <c r="B1203" s="9" t="s">
        <v>9</v>
      </c>
      <c r="C1203" s="9">
        <v>1926</v>
      </c>
      <c r="D1203" s="10">
        <v>45722</v>
      </c>
      <c r="E1203" s="11" t="str">
        <f>+HYPERLINK("http://trademark.i-assist.jp/data/china/image_1926th/82270621.pdf","82270621")</f>
        <v>82270621</v>
      </c>
      <c r="F1203" s="12" t="s">
        <v>3388</v>
      </c>
      <c r="G1203" s="9" t="s">
        <v>3389</v>
      </c>
      <c r="H1203" s="9" t="s">
        <v>3390</v>
      </c>
      <c r="I1203" s="10">
        <v>45625</v>
      </c>
    </row>
    <row r="1204" spans="1:9" x14ac:dyDescent="0.15">
      <c r="A1204" s="9">
        <v>1203</v>
      </c>
      <c r="B1204" s="9" t="s">
        <v>9</v>
      </c>
      <c r="C1204" s="9">
        <v>1926</v>
      </c>
      <c r="D1204" s="10">
        <v>45722</v>
      </c>
      <c r="E1204" s="11" t="str">
        <f>+HYPERLINK("http://trademark.i-assist.jp/data/china/image_1926th/82270656.pdf","82270656")</f>
        <v>82270656</v>
      </c>
      <c r="F1204" s="9" t="s">
        <v>3391</v>
      </c>
      <c r="G1204" s="12" t="s">
        <v>149</v>
      </c>
      <c r="H1204" s="9" t="s">
        <v>3392</v>
      </c>
      <c r="I1204" s="10">
        <v>45625</v>
      </c>
    </row>
    <row r="1205" spans="1:9" x14ac:dyDescent="0.15">
      <c r="A1205" s="9">
        <v>1204</v>
      </c>
      <c r="B1205" s="9" t="s">
        <v>9</v>
      </c>
      <c r="C1205" s="9">
        <v>1926</v>
      </c>
      <c r="D1205" s="10">
        <v>45722</v>
      </c>
      <c r="E1205" s="11" t="str">
        <f>+HYPERLINK("http://trademark.i-assist.jp/data/china/image_1926th/82270698.pdf","82270698")</f>
        <v>82270698</v>
      </c>
      <c r="F1205" s="9" t="s">
        <v>3393</v>
      </c>
      <c r="G1205" s="9" t="s">
        <v>3394</v>
      </c>
      <c r="H1205" s="12" t="s">
        <v>3395</v>
      </c>
      <c r="I1205" s="10">
        <v>45625</v>
      </c>
    </row>
    <row r="1206" spans="1:9" x14ac:dyDescent="0.15">
      <c r="A1206" s="9">
        <v>1205</v>
      </c>
      <c r="B1206" s="9" t="s">
        <v>9</v>
      </c>
      <c r="C1206" s="9">
        <v>1926</v>
      </c>
      <c r="D1206" s="10">
        <v>45722</v>
      </c>
      <c r="E1206" s="11" t="str">
        <f>+HYPERLINK("http://trademark.i-assist.jp/data/china/image_1926th/82270702.pdf","82270702")</f>
        <v>82270702</v>
      </c>
      <c r="F1206" s="12" t="s">
        <v>3396</v>
      </c>
      <c r="G1206" s="9" t="s">
        <v>3261</v>
      </c>
      <c r="H1206" s="9" t="s">
        <v>3397</v>
      </c>
      <c r="I1206" s="10">
        <v>45625</v>
      </c>
    </row>
    <row r="1207" spans="1:9" x14ac:dyDescent="0.15">
      <c r="A1207" s="9">
        <v>1206</v>
      </c>
      <c r="B1207" s="9" t="s">
        <v>9</v>
      </c>
      <c r="C1207" s="9">
        <v>1926</v>
      </c>
      <c r="D1207" s="10">
        <v>45722</v>
      </c>
      <c r="E1207" s="11" t="str">
        <f>+HYPERLINK("http://trademark.i-assist.jp/data/china/image_1926th/82271089.pdf","82271089")</f>
        <v>82271089</v>
      </c>
      <c r="F1207" s="9" t="s">
        <v>3398</v>
      </c>
      <c r="G1207" s="9" t="s">
        <v>3399</v>
      </c>
      <c r="H1207" s="9" t="s">
        <v>3400</v>
      </c>
      <c r="I1207" s="10">
        <v>45625</v>
      </c>
    </row>
    <row r="1208" spans="1:9" x14ac:dyDescent="0.15">
      <c r="A1208" s="9">
        <v>1207</v>
      </c>
      <c r="B1208" s="9" t="s">
        <v>9</v>
      </c>
      <c r="C1208" s="9">
        <v>1926</v>
      </c>
      <c r="D1208" s="10">
        <v>45722</v>
      </c>
      <c r="E1208" s="11" t="str">
        <f>+HYPERLINK("http://trademark.i-assist.jp/data/china/image_1926th/82271230.pdf","82271230")</f>
        <v>82271230</v>
      </c>
      <c r="F1208" s="9" t="s">
        <v>3401</v>
      </c>
      <c r="G1208" s="12" t="s">
        <v>3402</v>
      </c>
      <c r="H1208" s="9" t="s">
        <v>3403</v>
      </c>
      <c r="I1208" s="10">
        <v>45625</v>
      </c>
    </row>
    <row r="1209" spans="1:9" x14ac:dyDescent="0.15">
      <c r="A1209" s="9">
        <v>1208</v>
      </c>
      <c r="B1209" s="9" t="s">
        <v>9</v>
      </c>
      <c r="C1209" s="9">
        <v>1926</v>
      </c>
      <c r="D1209" s="10">
        <v>45722</v>
      </c>
      <c r="E1209" s="11" t="str">
        <f>+HYPERLINK("http://trademark.i-assist.jp/data/china/image_1926th/82271332.pdf","82271332")</f>
        <v>82271332</v>
      </c>
      <c r="F1209" s="9" t="s">
        <v>3404</v>
      </c>
      <c r="G1209" s="9" t="s">
        <v>3196</v>
      </c>
      <c r="H1209" s="9" t="s">
        <v>3405</v>
      </c>
      <c r="I1209" s="10">
        <v>45625</v>
      </c>
    </row>
    <row r="1210" spans="1:9" x14ac:dyDescent="0.15">
      <c r="A1210" s="9">
        <v>1209</v>
      </c>
      <c r="B1210" s="9" t="s">
        <v>9</v>
      </c>
      <c r="C1210" s="9">
        <v>1926</v>
      </c>
      <c r="D1210" s="10">
        <v>45722</v>
      </c>
      <c r="E1210" s="11" t="str">
        <f>+HYPERLINK("http://trademark.i-assist.jp/data/china/image_1926th/82271692.pdf","82271692")</f>
        <v>82271692</v>
      </c>
      <c r="F1210" s="9" t="s">
        <v>3406</v>
      </c>
      <c r="G1210" s="9" t="s">
        <v>90</v>
      </c>
      <c r="H1210" s="9" t="s">
        <v>3407</v>
      </c>
      <c r="I1210" s="10">
        <v>45625</v>
      </c>
    </row>
    <row r="1211" spans="1:9" x14ac:dyDescent="0.15">
      <c r="A1211" s="9">
        <v>1210</v>
      </c>
      <c r="B1211" s="9" t="s">
        <v>9</v>
      </c>
      <c r="C1211" s="9">
        <v>1926</v>
      </c>
      <c r="D1211" s="10">
        <v>45722</v>
      </c>
      <c r="E1211" s="11" t="str">
        <f>+HYPERLINK("http://trademark.i-assist.jp/data/china/image_1926th/82271787.pdf","82271787")</f>
        <v>82271787</v>
      </c>
      <c r="F1211" s="9" t="s">
        <v>3408</v>
      </c>
      <c r="G1211" s="12" t="s">
        <v>144</v>
      </c>
      <c r="H1211" s="9" t="s">
        <v>3409</v>
      </c>
      <c r="I1211" s="10">
        <v>45625</v>
      </c>
    </row>
    <row r="1212" spans="1:9" x14ac:dyDescent="0.15">
      <c r="A1212" s="9">
        <v>1211</v>
      </c>
      <c r="B1212" s="9" t="s">
        <v>9</v>
      </c>
      <c r="C1212" s="9">
        <v>1926</v>
      </c>
      <c r="D1212" s="10">
        <v>45722</v>
      </c>
      <c r="E1212" s="11" t="str">
        <f>+HYPERLINK("http://trademark.i-assist.jp/data/china/image_1926th/82271899.pdf","82271899")</f>
        <v>82271899</v>
      </c>
      <c r="F1212" s="12" t="s">
        <v>3410</v>
      </c>
      <c r="G1212" s="9" t="s">
        <v>3411</v>
      </c>
      <c r="H1212" s="9" t="s">
        <v>3412</v>
      </c>
      <c r="I1212" s="10">
        <v>45625</v>
      </c>
    </row>
    <row r="1213" spans="1:9" x14ac:dyDescent="0.15">
      <c r="A1213" s="9">
        <v>1212</v>
      </c>
      <c r="B1213" s="9" t="s">
        <v>9</v>
      </c>
      <c r="C1213" s="9">
        <v>1926</v>
      </c>
      <c r="D1213" s="10">
        <v>45722</v>
      </c>
      <c r="E1213" s="11" t="str">
        <f>+HYPERLINK("http://trademark.i-assist.jp/data/china/image_1926th/82271956.pdf","82271956")</f>
        <v>82271956</v>
      </c>
      <c r="F1213" s="9" t="s">
        <v>3413</v>
      </c>
      <c r="G1213" s="9" t="s">
        <v>3414</v>
      </c>
      <c r="H1213" s="9" t="s">
        <v>3415</v>
      </c>
      <c r="I1213" s="10">
        <v>45625</v>
      </c>
    </row>
    <row r="1214" spans="1:9" x14ac:dyDescent="0.15">
      <c r="A1214" s="9">
        <v>1213</v>
      </c>
      <c r="B1214" s="9" t="s">
        <v>9</v>
      </c>
      <c r="C1214" s="9">
        <v>1926</v>
      </c>
      <c r="D1214" s="10">
        <v>45722</v>
      </c>
      <c r="E1214" s="11" t="str">
        <f>+HYPERLINK("http://trademark.i-assist.jp/data/china/image_1926th/82271970.pdf","82271970")</f>
        <v>82271970</v>
      </c>
      <c r="F1214" s="9" t="s">
        <v>3416</v>
      </c>
      <c r="G1214" s="9" t="s">
        <v>3417</v>
      </c>
      <c r="H1214" s="9" t="s">
        <v>3418</v>
      </c>
      <c r="I1214" s="10">
        <v>45625</v>
      </c>
    </row>
    <row r="1215" spans="1:9" x14ac:dyDescent="0.15">
      <c r="A1215" s="9">
        <v>1214</v>
      </c>
      <c r="B1215" s="9" t="s">
        <v>9</v>
      </c>
      <c r="C1215" s="9">
        <v>1926</v>
      </c>
      <c r="D1215" s="10">
        <v>45722</v>
      </c>
      <c r="E1215" s="11" t="str">
        <f>+HYPERLINK("http://trademark.i-assist.jp/data/china/image_1926th/82272459.pdf","82272459")</f>
        <v>82272459</v>
      </c>
      <c r="F1215" s="9" t="s">
        <v>3419</v>
      </c>
      <c r="G1215" s="12" t="s">
        <v>3420</v>
      </c>
      <c r="H1215" s="9" t="s">
        <v>3421</v>
      </c>
      <c r="I1215" s="10">
        <v>45625</v>
      </c>
    </row>
    <row r="1216" spans="1:9" x14ac:dyDescent="0.15">
      <c r="A1216" s="9">
        <v>1215</v>
      </c>
      <c r="B1216" s="9" t="s">
        <v>9</v>
      </c>
      <c r="C1216" s="9">
        <v>1926</v>
      </c>
      <c r="D1216" s="10">
        <v>45722</v>
      </c>
      <c r="E1216" s="11" t="str">
        <f>+HYPERLINK("http://trademark.i-assist.jp/data/china/image_1926th/82272525.pdf","82272525")</f>
        <v>82272525</v>
      </c>
      <c r="F1216" s="9" t="s">
        <v>3422</v>
      </c>
      <c r="G1216" s="9" t="s">
        <v>3209</v>
      </c>
      <c r="H1216" s="9" t="s">
        <v>3423</v>
      </c>
      <c r="I1216" s="10">
        <v>45625</v>
      </c>
    </row>
    <row r="1217" spans="1:9" x14ac:dyDescent="0.15">
      <c r="A1217" s="9">
        <v>1216</v>
      </c>
      <c r="B1217" s="9" t="s">
        <v>9</v>
      </c>
      <c r="C1217" s="9">
        <v>1926</v>
      </c>
      <c r="D1217" s="10">
        <v>45722</v>
      </c>
      <c r="E1217" s="11" t="str">
        <f>+HYPERLINK("http://trademark.i-assist.jp/data/china/image_1926th/82272740.pdf","82272740")</f>
        <v>82272740</v>
      </c>
      <c r="F1217" s="12" t="s">
        <v>3424</v>
      </c>
      <c r="G1217" s="9" t="s">
        <v>3425</v>
      </c>
      <c r="H1217" s="9" t="s">
        <v>3426</v>
      </c>
      <c r="I1217" s="10">
        <v>45625</v>
      </c>
    </row>
    <row r="1218" spans="1:9" x14ac:dyDescent="0.15">
      <c r="A1218" s="9">
        <v>1217</v>
      </c>
      <c r="B1218" s="9" t="s">
        <v>9</v>
      </c>
      <c r="C1218" s="9">
        <v>1926</v>
      </c>
      <c r="D1218" s="10">
        <v>45722</v>
      </c>
      <c r="E1218" s="11" t="str">
        <f>+HYPERLINK("http://trademark.i-assist.jp/data/china/image_1926th/82272850.pdf","82272850")</f>
        <v>82272850</v>
      </c>
      <c r="F1218" s="9" t="s">
        <v>3427</v>
      </c>
      <c r="G1218" s="9" t="s">
        <v>3428</v>
      </c>
      <c r="H1218" s="9" t="s">
        <v>3429</v>
      </c>
      <c r="I1218" s="10">
        <v>45625</v>
      </c>
    </row>
    <row r="1219" spans="1:9" x14ac:dyDescent="0.15">
      <c r="A1219" s="9">
        <v>1218</v>
      </c>
      <c r="B1219" s="9" t="s">
        <v>9</v>
      </c>
      <c r="C1219" s="9">
        <v>1926</v>
      </c>
      <c r="D1219" s="10">
        <v>45722</v>
      </c>
      <c r="E1219" s="11" t="str">
        <f>+HYPERLINK("http://trademark.i-assist.jp/data/china/image_1926th/82273024.pdf","82273024")</f>
        <v>82273024</v>
      </c>
      <c r="F1219" s="9" t="s">
        <v>3430</v>
      </c>
      <c r="G1219" s="9" t="s">
        <v>3431</v>
      </c>
      <c r="H1219" s="12" t="s">
        <v>3432</v>
      </c>
      <c r="I1219" s="10">
        <v>45625</v>
      </c>
    </row>
    <row r="1220" spans="1:9" x14ac:dyDescent="0.15">
      <c r="A1220" s="9">
        <v>1219</v>
      </c>
      <c r="B1220" s="9" t="s">
        <v>9</v>
      </c>
      <c r="C1220" s="9">
        <v>1926</v>
      </c>
      <c r="D1220" s="10">
        <v>45722</v>
      </c>
      <c r="E1220" s="11" t="str">
        <f>+HYPERLINK("http://trademark.i-assist.jp/data/china/image_1926th/82273052.pdf","82273052")</f>
        <v>82273052</v>
      </c>
      <c r="F1220" s="12" t="s">
        <v>3433</v>
      </c>
      <c r="G1220" s="9" t="s">
        <v>3434</v>
      </c>
      <c r="H1220" s="9" t="s">
        <v>3435</v>
      </c>
      <c r="I1220" s="10">
        <v>45625</v>
      </c>
    </row>
    <row r="1221" spans="1:9" x14ac:dyDescent="0.15">
      <c r="A1221" s="9">
        <v>1220</v>
      </c>
      <c r="B1221" s="9" t="s">
        <v>9</v>
      </c>
      <c r="C1221" s="9">
        <v>1926</v>
      </c>
      <c r="D1221" s="10">
        <v>45722</v>
      </c>
      <c r="E1221" s="11" t="str">
        <f>+HYPERLINK("http://trademark.i-assist.jp/data/china/image_1926th/82273053.pdf","82273053")</f>
        <v>82273053</v>
      </c>
      <c r="F1221" s="9" t="s">
        <v>3436</v>
      </c>
      <c r="G1221" s="12" t="s">
        <v>3437</v>
      </c>
      <c r="H1221" s="9" t="s">
        <v>3438</v>
      </c>
      <c r="I1221" s="10">
        <v>45625</v>
      </c>
    </row>
    <row r="1222" spans="1:9" x14ac:dyDescent="0.15">
      <c r="A1222" s="9">
        <v>1221</v>
      </c>
      <c r="B1222" s="9" t="s">
        <v>9</v>
      </c>
      <c r="C1222" s="9">
        <v>1926</v>
      </c>
      <c r="D1222" s="10">
        <v>45722</v>
      </c>
      <c r="E1222" s="11" t="str">
        <f>+HYPERLINK("http://trademark.i-assist.jp/data/china/image_1926th/82273076.pdf","82273076")</f>
        <v>82273076</v>
      </c>
      <c r="F1222" s="9" t="s">
        <v>3439</v>
      </c>
      <c r="G1222" s="9" t="s">
        <v>3440</v>
      </c>
      <c r="H1222" s="9" t="s">
        <v>3441</v>
      </c>
      <c r="I1222" s="10">
        <v>45625</v>
      </c>
    </row>
    <row r="1223" spans="1:9" x14ac:dyDescent="0.15">
      <c r="A1223" s="9">
        <v>1222</v>
      </c>
      <c r="B1223" s="9" t="s">
        <v>9</v>
      </c>
      <c r="C1223" s="9">
        <v>1926</v>
      </c>
      <c r="D1223" s="10">
        <v>45722</v>
      </c>
      <c r="E1223" s="11" t="str">
        <f>+HYPERLINK("http://trademark.i-assist.jp/data/china/image_1926th/82273514.pdf","82273514")</f>
        <v>82273514</v>
      </c>
      <c r="F1223" s="9" t="s">
        <v>3442</v>
      </c>
      <c r="G1223" s="9" t="s">
        <v>3443</v>
      </c>
      <c r="H1223" s="9" t="s">
        <v>3444</v>
      </c>
      <c r="I1223" s="10">
        <v>45625</v>
      </c>
    </row>
    <row r="1224" spans="1:9" x14ac:dyDescent="0.15">
      <c r="A1224" s="9">
        <v>1223</v>
      </c>
      <c r="B1224" s="9" t="s">
        <v>9</v>
      </c>
      <c r="C1224" s="9">
        <v>1926</v>
      </c>
      <c r="D1224" s="10">
        <v>45722</v>
      </c>
      <c r="E1224" s="11" t="str">
        <f>+HYPERLINK("http://trademark.i-assist.jp/data/china/image_1926th/82273753.pdf","82273753")</f>
        <v>82273753</v>
      </c>
      <c r="F1224" s="12" t="s">
        <v>3445</v>
      </c>
      <c r="G1224" s="12" t="s">
        <v>3216</v>
      </c>
      <c r="H1224" s="9" t="s">
        <v>3446</v>
      </c>
      <c r="I1224" s="10">
        <v>45625</v>
      </c>
    </row>
    <row r="1225" spans="1:9" x14ac:dyDescent="0.15">
      <c r="A1225" s="9">
        <v>1224</v>
      </c>
      <c r="B1225" s="9" t="s">
        <v>9</v>
      </c>
      <c r="C1225" s="9">
        <v>1926</v>
      </c>
      <c r="D1225" s="10">
        <v>45722</v>
      </c>
      <c r="E1225" s="11" t="str">
        <f>+HYPERLINK("http://trademark.i-assist.jp/data/china/image_1926th/82273887.pdf","82273887")</f>
        <v>82273887</v>
      </c>
      <c r="F1225" s="12" t="s">
        <v>3447</v>
      </c>
      <c r="G1225" s="9" t="s">
        <v>3448</v>
      </c>
      <c r="H1225" s="9" t="s">
        <v>3449</v>
      </c>
      <c r="I1225" s="10">
        <v>45625</v>
      </c>
    </row>
    <row r="1226" spans="1:9" x14ac:dyDescent="0.15">
      <c r="A1226" s="9">
        <v>1225</v>
      </c>
      <c r="B1226" s="9" t="s">
        <v>9</v>
      </c>
      <c r="C1226" s="9">
        <v>1926</v>
      </c>
      <c r="D1226" s="10">
        <v>45722</v>
      </c>
      <c r="E1226" s="11" t="str">
        <f>+HYPERLINK("http://trademark.i-assist.jp/data/china/image_1926th/82274048.pdf","82274048")</f>
        <v>82274048</v>
      </c>
      <c r="F1226" s="9" t="s">
        <v>3450</v>
      </c>
      <c r="G1226" s="12" t="s">
        <v>3451</v>
      </c>
      <c r="H1226" s="9" t="s">
        <v>3452</v>
      </c>
      <c r="I1226" s="10">
        <v>45625</v>
      </c>
    </row>
    <row r="1227" spans="1:9" x14ac:dyDescent="0.15">
      <c r="A1227" s="9">
        <v>1226</v>
      </c>
      <c r="B1227" s="9" t="s">
        <v>9</v>
      </c>
      <c r="C1227" s="9">
        <v>1926</v>
      </c>
      <c r="D1227" s="10">
        <v>45722</v>
      </c>
      <c r="E1227" s="11" t="str">
        <f>+HYPERLINK("http://trademark.i-assist.jp/data/china/image_1926th/82274142.pdf","82274142")</f>
        <v>82274142</v>
      </c>
      <c r="F1227" s="9" t="s">
        <v>3453</v>
      </c>
      <c r="G1227" s="9" t="s">
        <v>3209</v>
      </c>
      <c r="H1227" s="9" t="s">
        <v>3454</v>
      </c>
      <c r="I1227" s="10">
        <v>45625</v>
      </c>
    </row>
    <row r="1228" spans="1:9" x14ac:dyDescent="0.15">
      <c r="A1228" s="9">
        <v>1227</v>
      </c>
      <c r="B1228" s="9" t="s">
        <v>9</v>
      </c>
      <c r="C1228" s="9">
        <v>1926</v>
      </c>
      <c r="D1228" s="10">
        <v>45722</v>
      </c>
      <c r="E1228" s="11" t="str">
        <f>+HYPERLINK("http://trademark.i-assist.jp/data/china/image_1926th/82274260.pdf","82274260")</f>
        <v>82274260</v>
      </c>
      <c r="F1228" s="9" t="s">
        <v>3455</v>
      </c>
      <c r="G1228" s="12" t="s">
        <v>1508</v>
      </c>
      <c r="H1228" s="9" t="s">
        <v>3456</v>
      </c>
      <c r="I1228" s="10">
        <v>45625</v>
      </c>
    </row>
    <row r="1229" spans="1:9" x14ac:dyDescent="0.15">
      <c r="A1229" s="9">
        <v>1228</v>
      </c>
      <c r="B1229" s="9" t="s">
        <v>9</v>
      </c>
      <c r="C1229" s="9">
        <v>1926</v>
      </c>
      <c r="D1229" s="10">
        <v>45722</v>
      </c>
      <c r="E1229" s="11" t="str">
        <f>+HYPERLINK("http://trademark.i-assist.jp/data/china/image_1926th/82274401.pdf","82274401")</f>
        <v>82274401</v>
      </c>
      <c r="F1229" s="12" t="s">
        <v>20</v>
      </c>
      <c r="G1229" s="9" t="s">
        <v>127</v>
      </c>
      <c r="H1229" s="9" t="s">
        <v>3457</v>
      </c>
      <c r="I1229" s="10">
        <v>45625</v>
      </c>
    </row>
    <row r="1230" spans="1:9" x14ac:dyDescent="0.15">
      <c r="A1230" s="9">
        <v>1229</v>
      </c>
      <c r="B1230" s="9" t="s">
        <v>9</v>
      </c>
      <c r="C1230" s="9">
        <v>1926</v>
      </c>
      <c r="D1230" s="10">
        <v>45722</v>
      </c>
      <c r="E1230" s="11" t="str">
        <f>+HYPERLINK("http://trademark.i-assist.jp/data/china/image_1926th/82274576.pdf","82274576")</f>
        <v>82274576</v>
      </c>
      <c r="F1230" s="9" t="s">
        <v>3458</v>
      </c>
      <c r="G1230" s="12" t="s">
        <v>3459</v>
      </c>
      <c r="H1230" s="9" t="s">
        <v>3460</v>
      </c>
      <c r="I1230" s="10">
        <v>45625</v>
      </c>
    </row>
    <row r="1231" spans="1:9" x14ac:dyDescent="0.15">
      <c r="A1231" s="9">
        <v>1230</v>
      </c>
      <c r="B1231" s="9" t="s">
        <v>9</v>
      </c>
      <c r="C1231" s="9">
        <v>1926</v>
      </c>
      <c r="D1231" s="10">
        <v>45722</v>
      </c>
      <c r="E1231" s="11" t="str">
        <f>+HYPERLINK("http://trademark.i-assist.jp/data/china/image_1926th/82274697.pdf","82274697")</f>
        <v>82274697</v>
      </c>
      <c r="F1231" s="9" t="s">
        <v>3461</v>
      </c>
      <c r="G1231" s="9" t="s">
        <v>3462</v>
      </c>
      <c r="H1231" s="9" t="s">
        <v>3463</v>
      </c>
      <c r="I1231" s="10">
        <v>45625</v>
      </c>
    </row>
    <row r="1232" spans="1:9" x14ac:dyDescent="0.15">
      <c r="A1232" s="9">
        <v>1231</v>
      </c>
      <c r="B1232" s="9" t="s">
        <v>9</v>
      </c>
      <c r="C1232" s="9">
        <v>1926</v>
      </c>
      <c r="D1232" s="10">
        <v>45722</v>
      </c>
      <c r="E1232" s="11" t="str">
        <f>+HYPERLINK("http://trademark.i-assist.jp/data/china/image_1926th/82274719.pdf","82274719")</f>
        <v>82274719</v>
      </c>
      <c r="F1232" s="9" t="s">
        <v>3464</v>
      </c>
      <c r="G1232" s="9" t="s">
        <v>3465</v>
      </c>
      <c r="H1232" s="9" t="s">
        <v>3466</v>
      </c>
      <c r="I1232" s="10">
        <v>45625</v>
      </c>
    </row>
    <row r="1233" spans="1:9" x14ac:dyDescent="0.15">
      <c r="A1233" s="9">
        <v>1232</v>
      </c>
      <c r="B1233" s="9" t="s">
        <v>9</v>
      </c>
      <c r="C1233" s="9">
        <v>1926</v>
      </c>
      <c r="D1233" s="10">
        <v>45722</v>
      </c>
      <c r="E1233" s="11" t="str">
        <f>+HYPERLINK("http://trademark.i-assist.jp/data/china/image_1926th/82274741.pdf","82274741")</f>
        <v>82274741</v>
      </c>
      <c r="F1233" s="12" t="s">
        <v>3467</v>
      </c>
      <c r="G1233" s="9" t="s">
        <v>3261</v>
      </c>
      <c r="H1233" s="9" t="s">
        <v>3468</v>
      </c>
      <c r="I1233" s="10">
        <v>45625</v>
      </c>
    </row>
    <row r="1234" spans="1:9" x14ac:dyDescent="0.15">
      <c r="A1234" s="9">
        <v>1233</v>
      </c>
      <c r="B1234" s="9" t="s">
        <v>9</v>
      </c>
      <c r="C1234" s="9">
        <v>1926</v>
      </c>
      <c r="D1234" s="10">
        <v>45722</v>
      </c>
      <c r="E1234" s="11" t="str">
        <f>+HYPERLINK("http://trademark.i-assist.jp/data/china/image_1926th/82274752.pdf","82274752")</f>
        <v>82274752</v>
      </c>
      <c r="F1234" s="9" t="s">
        <v>3469</v>
      </c>
      <c r="G1234" s="12" t="s">
        <v>3470</v>
      </c>
      <c r="H1234" s="9" t="s">
        <v>3471</v>
      </c>
      <c r="I1234" s="10">
        <v>45625</v>
      </c>
    </row>
    <row r="1235" spans="1:9" x14ac:dyDescent="0.15">
      <c r="A1235" s="9">
        <v>1234</v>
      </c>
      <c r="B1235" s="9" t="s">
        <v>9</v>
      </c>
      <c r="C1235" s="9">
        <v>1926</v>
      </c>
      <c r="D1235" s="10">
        <v>45722</v>
      </c>
      <c r="E1235" s="11" t="str">
        <f>+HYPERLINK("http://trademark.i-assist.jp/data/china/image_1926th/82274828.pdf","82274828")</f>
        <v>82274828</v>
      </c>
      <c r="F1235" s="9" t="s">
        <v>3472</v>
      </c>
      <c r="G1235" s="9" t="s">
        <v>3203</v>
      </c>
      <c r="H1235" s="9" t="s">
        <v>3473</v>
      </c>
      <c r="I1235" s="10">
        <v>45625</v>
      </c>
    </row>
    <row r="1236" spans="1:9" x14ac:dyDescent="0.15">
      <c r="A1236" s="9">
        <v>1235</v>
      </c>
      <c r="B1236" s="9" t="s">
        <v>9</v>
      </c>
      <c r="C1236" s="9">
        <v>1926</v>
      </c>
      <c r="D1236" s="10">
        <v>45722</v>
      </c>
      <c r="E1236" s="11" t="str">
        <f>+HYPERLINK("http://trademark.i-assist.jp/data/china/image_1926th/82274936.pdf","82274936")</f>
        <v>82274936</v>
      </c>
      <c r="F1236" s="9" t="s">
        <v>3474</v>
      </c>
      <c r="G1236" s="9" t="s">
        <v>3475</v>
      </c>
      <c r="H1236" s="12" t="s">
        <v>3476</v>
      </c>
      <c r="I1236" s="10">
        <v>45625</v>
      </c>
    </row>
    <row r="1237" spans="1:9" x14ac:dyDescent="0.15">
      <c r="A1237" s="9">
        <v>1236</v>
      </c>
      <c r="B1237" s="9" t="s">
        <v>9</v>
      </c>
      <c r="C1237" s="9">
        <v>1926</v>
      </c>
      <c r="D1237" s="10">
        <v>45722</v>
      </c>
      <c r="E1237" s="11" t="str">
        <f>+HYPERLINK("http://trademark.i-assist.jp/data/china/image_1926th/82275105.pdf","82275105")</f>
        <v>82275105</v>
      </c>
      <c r="F1237" s="9" t="s">
        <v>3477</v>
      </c>
      <c r="G1237" s="9" t="s">
        <v>3478</v>
      </c>
      <c r="H1237" s="9" t="s">
        <v>3479</v>
      </c>
      <c r="I1237" s="10">
        <v>45625</v>
      </c>
    </row>
    <row r="1238" spans="1:9" x14ac:dyDescent="0.15">
      <c r="A1238" s="9">
        <v>1237</v>
      </c>
      <c r="B1238" s="9" t="s">
        <v>9</v>
      </c>
      <c r="C1238" s="9">
        <v>1926</v>
      </c>
      <c r="D1238" s="10">
        <v>45722</v>
      </c>
      <c r="E1238" s="11" t="str">
        <f>+HYPERLINK("http://trademark.i-assist.jp/data/china/image_1926th/82275189.pdf","82275189")</f>
        <v>82275189</v>
      </c>
      <c r="F1238" s="9" t="s">
        <v>3480</v>
      </c>
      <c r="G1238" s="12" t="s">
        <v>3481</v>
      </c>
      <c r="H1238" s="9" t="s">
        <v>3482</v>
      </c>
      <c r="I1238" s="10">
        <v>45625</v>
      </c>
    </row>
    <row r="1239" spans="1:9" x14ac:dyDescent="0.15">
      <c r="A1239" s="9">
        <v>1238</v>
      </c>
      <c r="B1239" s="9" t="s">
        <v>9</v>
      </c>
      <c r="C1239" s="9">
        <v>1926</v>
      </c>
      <c r="D1239" s="10">
        <v>45722</v>
      </c>
      <c r="E1239" s="11" t="str">
        <f>+HYPERLINK("http://trademark.i-assist.jp/data/china/image_1926th/82275281.pdf","82275281")</f>
        <v>82275281</v>
      </c>
      <c r="F1239" s="9" t="s">
        <v>3483</v>
      </c>
      <c r="G1239" s="9" t="s">
        <v>3484</v>
      </c>
      <c r="H1239" s="9" t="s">
        <v>3485</v>
      </c>
      <c r="I1239" s="10">
        <v>45625</v>
      </c>
    </row>
    <row r="1240" spans="1:9" x14ac:dyDescent="0.15">
      <c r="A1240" s="9">
        <v>1239</v>
      </c>
      <c r="B1240" s="9" t="s">
        <v>9</v>
      </c>
      <c r="C1240" s="9">
        <v>1926</v>
      </c>
      <c r="D1240" s="10">
        <v>45722</v>
      </c>
      <c r="E1240" s="11" t="str">
        <f>+HYPERLINK("http://trademark.i-assist.jp/data/china/image_1926th/82275343.pdf","82275343")</f>
        <v>82275343</v>
      </c>
      <c r="F1240" s="9" t="s">
        <v>3486</v>
      </c>
      <c r="G1240" s="12" t="s">
        <v>3487</v>
      </c>
      <c r="H1240" s="9" t="s">
        <v>3488</v>
      </c>
      <c r="I1240" s="10">
        <v>45625</v>
      </c>
    </row>
    <row r="1241" spans="1:9" x14ac:dyDescent="0.15">
      <c r="A1241" s="9">
        <v>1240</v>
      </c>
      <c r="B1241" s="9" t="s">
        <v>9</v>
      </c>
      <c r="C1241" s="9">
        <v>1926</v>
      </c>
      <c r="D1241" s="10">
        <v>45722</v>
      </c>
      <c r="E1241" s="11" t="str">
        <f>+HYPERLINK("http://trademark.i-assist.jp/data/china/image_1926th/82275386.pdf","82275386")</f>
        <v>82275386</v>
      </c>
      <c r="F1241" s="9" t="s">
        <v>3489</v>
      </c>
      <c r="G1241" s="9" t="s">
        <v>3490</v>
      </c>
      <c r="H1241" s="9" t="s">
        <v>3491</v>
      </c>
      <c r="I1241" s="10">
        <v>45625</v>
      </c>
    </row>
    <row r="1242" spans="1:9" x14ac:dyDescent="0.15">
      <c r="A1242" s="9">
        <v>1241</v>
      </c>
      <c r="B1242" s="9" t="s">
        <v>9</v>
      </c>
      <c r="C1242" s="9">
        <v>1926</v>
      </c>
      <c r="D1242" s="10">
        <v>45722</v>
      </c>
      <c r="E1242" s="11" t="str">
        <f>+HYPERLINK("http://trademark.i-assist.jp/data/china/image_1926th/82275489.pdf","82275489")</f>
        <v>82275489</v>
      </c>
      <c r="F1242" s="12" t="s">
        <v>3492</v>
      </c>
      <c r="G1242" s="12" t="s">
        <v>3493</v>
      </c>
      <c r="H1242" s="9" t="s">
        <v>3494</v>
      </c>
      <c r="I1242" s="10">
        <v>45625</v>
      </c>
    </row>
    <row r="1243" spans="1:9" x14ac:dyDescent="0.15">
      <c r="A1243" s="9">
        <v>1242</v>
      </c>
      <c r="B1243" s="9" t="s">
        <v>9</v>
      </c>
      <c r="C1243" s="9">
        <v>1926</v>
      </c>
      <c r="D1243" s="10">
        <v>45722</v>
      </c>
      <c r="E1243" s="11" t="str">
        <f>+HYPERLINK("http://trademark.i-assist.jp/data/china/image_1926th/82276135.pdf","82276135")</f>
        <v>82276135</v>
      </c>
      <c r="F1243" s="12" t="s">
        <v>3495</v>
      </c>
      <c r="G1243" s="9" t="s">
        <v>145</v>
      </c>
      <c r="H1243" s="12" t="s">
        <v>3496</v>
      </c>
      <c r="I1243" s="10">
        <v>45625</v>
      </c>
    </row>
    <row r="1244" spans="1:9" x14ac:dyDescent="0.15">
      <c r="A1244" s="9">
        <v>1243</v>
      </c>
      <c r="B1244" s="9" t="s">
        <v>9</v>
      </c>
      <c r="C1244" s="9">
        <v>1926</v>
      </c>
      <c r="D1244" s="10">
        <v>45722</v>
      </c>
      <c r="E1244" s="11" t="str">
        <f>+HYPERLINK("http://trademark.i-assist.jp/data/china/image_1926th/82276305.pdf","82276305")</f>
        <v>82276305</v>
      </c>
      <c r="F1244" s="12" t="s">
        <v>3497</v>
      </c>
      <c r="G1244" s="9" t="s">
        <v>3498</v>
      </c>
      <c r="H1244" s="9" t="s">
        <v>3499</v>
      </c>
      <c r="I1244" s="10">
        <v>45625</v>
      </c>
    </row>
    <row r="1245" spans="1:9" x14ac:dyDescent="0.15">
      <c r="A1245" s="9">
        <v>1244</v>
      </c>
      <c r="B1245" s="9" t="s">
        <v>9</v>
      </c>
      <c r="C1245" s="9">
        <v>1926</v>
      </c>
      <c r="D1245" s="10">
        <v>45722</v>
      </c>
      <c r="E1245" s="11" t="str">
        <f>+HYPERLINK("http://trademark.i-assist.jp/data/china/image_1926th/82276444.pdf","82276444")</f>
        <v>82276444</v>
      </c>
      <c r="F1245" s="12" t="s">
        <v>3500</v>
      </c>
      <c r="G1245" s="12" t="s">
        <v>3501</v>
      </c>
      <c r="H1245" s="9" t="s">
        <v>3502</v>
      </c>
      <c r="I1245" s="10">
        <v>45625</v>
      </c>
    </row>
    <row r="1246" spans="1:9" x14ac:dyDescent="0.15">
      <c r="A1246" s="9">
        <v>1245</v>
      </c>
      <c r="B1246" s="9" t="s">
        <v>9</v>
      </c>
      <c r="C1246" s="9">
        <v>1926</v>
      </c>
      <c r="D1246" s="10">
        <v>45722</v>
      </c>
      <c r="E1246" s="11" t="str">
        <f>+HYPERLINK("http://trademark.i-assist.jp/data/china/image_1926th/82277048.pdf","82277048")</f>
        <v>82277048</v>
      </c>
      <c r="F1246" s="9" t="s">
        <v>3503</v>
      </c>
      <c r="G1246" s="9" t="s">
        <v>3504</v>
      </c>
      <c r="H1246" s="12" t="s">
        <v>3505</v>
      </c>
      <c r="I1246" s="10">
        <v>45625</v>
      </c>
    </row>
    <row r="1247" spans="1:9" x14ac:dyDescent="0.15">
      <c r="A1247" s="9">
        <v>1246</v>
      </c>
      <c r="B1247" s="9" t="s">
        <v>9</v>
      </c>
      <c r="C1247" s="9">
        <v>1926</v>
      </c>
      <c r="D1247" s="10">
        <v>45722</v>
      </c>
      <c r="E1247" s="11" t="str">
        <f>+HYPERLINK("http://trademark.i-assist.jp/data/china/image_1926th/82277077.pdf","82277077")</f>
        <v>82277077</v>
      </c>
      <c r="F1247" s="12" t="s">
        <v>3506</v>
      </c>
      <c r="G1247" s="12" t="s">
        <v>3269</v>
      </c>
      <c r="H1247" s="9" t="s">
        <v>3507</v>
      </c>
      <c r="I1247" s="10">
        <v>45625</v>
      </c>
    </row>
    <row r="1248" spans="1:9" x14ac:dyDescent="0.15">
      <c r="A1248" s="9">
        <v>1247</v>
      </c>
      <c r="B1248" s="9" t="s">
        <v>9</v>
      </c>
      <c r="C1248" s="9">
        <v>1926</v>
      </c>
      <c r="D1248" s="10">
        <v>45722</v>
      </c>
      <c r="E1248" s="11" t="str">
        <f>+HYPERLINK("http://trademark.i-assist.jp/data/china/image_1926th/82277116.pdf","82277116")</f>
        <v>82277116</v>
      </c>
      <c r="F1248" s="9" t="s">
        <v>3508</v>
      </c>
      <c r="G1248" s="9" t="s">
        <v>3509</v>
      </c>
      <c r="H1248" s="9" t="s">
        <v>3510</v>
      </c>
      <c r="I1248" s="10">
        <v>45625</v>
      </c>
    </row>
    <row r="1249" spans="1:9" x14ac:dyDescent="0.15">
      <c r="A1249" s="9">
        <v>1248</v>
      </c>
      <c r="B1249" s="9" t="s">
        <v>9</v>
      </c>
      <c r="C1249" s="9">
        <v>1926</v>
      </c>
      <c r="D1249" s="10">
        <v>45722</v>
      </c>
      <c r="E1249" s="11" t="str">
        <f>+HYPERLINK("http://trademark.i-assist.jp/data/china/image_1926th/82277391.pdf","82277391")</f>
        <v>82277391</v>
      </c>
      <c r="F1249" s="9" t="s">
        <v>3511</v>
      </c>
      <c r="G1249" s="12" t="s">
        <v>3512</v>
      </c>
      <c r="H1249" s="9" t="s">
        <v>3513</v>
      </c>
      <c r="I1249" s="10">
        <v>45625</v>
      </c>
    </row>
    <row r="1250" spans="1:9" x14ac:dyDescent="0.15">
      <c r="A1250" s="9">
        <v>1249</v>
      </c>
      <c r="B1250" s="9" t="s">
        <v>9</v>
      </c>
      <c r="C1250" s="9">
        <v>1926</v>
      </c>
      <c r="D1250" s="10">
        <v>45722</v>
      </c>
      <c r="E1250" s="11" t="str">
        <f>+HYPERLINK("http://trademark.i-assist.jp/data/china/image_1926th/82277522.pdf","82277522")</f>
        <v>82277522</v>
      </c>
      <c r="F1250" s="9" t="s">
        <v>3514</v>
      </c>
      <c r="G1250" s="12" t="s">
        <v>3168</v>
      </c>
      <c r="H1250" s="9" t="s">
        <v>3515</v>
      </c>
      <c r="I1250" s="10">
        <v>45625</v>
      </c>
    </row>
    <row r="1251" spans="1:9" x14ac:dyDescent="0.15">
      <c r="A1251" s="9">
        <v>1250</v>
      </c>
      <c r="B1251" s="9" t="s">
        <v>9</v>
      </c>
      <c r="C1251" s="9">
        <v>1926</v>
      </c>
      <c r="D1251" s="10">
        <v>45722</v>
      </c>
      <c r="E1251" s="11" t="str">
        <f>+HYPERLINK("http://trademark.i-assist.jp/data/china/image_1926th/82277574.pdf","82277574")</f>
        <v>82277574</v>
      </c>
      <c r="F1251" s="9" t="s">
        <v>3516</v>
      </c>
      <c r="G1251" s="12" t="s">
        <v>3517</v>
      </c>
      <c r="H1251" s="9" t="s">
        <v>3518</v>
      </c>
      <c r="I1251" s="10">
        <v>45625</v>
      </c>
    </row>
    <row r="1252" spans="1:9" x14ac:dyDescent="0.15">
      <c r="A1252" s="9">
        <v>1251</v>
      </c>
      <c r="B1252" s="9" t="s">
        <v>9</v>
      </c>
      <c r="C1252" s="9">
        <v>1926</v>
      </c>
      <c r="D1252" s="10">
        <v>45722</v>
      </c>
      <c r="E1252" s="11" t="str">
        <f>+HYPERLINK("http://trademark.i-assist.jp/data/china/image_1926th/82277980.pdf","82277980")</f>
        <v>82277980</v>
      </c>
      <c r="F1252" s="12" t="s">
        <v>3519</v>
      </c>
      <c r="G1252" s="9" t="s">
        <v>3234</v>
      </c>
      <c r="H1252" s="9" t="s">
        <v>3520</v>
      </c>
      <c r="I1252" s="10">
        <v>45625</v>
      </c>
    </row>
    <row r="1253" spans="1:9" x14ac:dyDescent="0.15">
      <c r="A1253" s="9">
        <v>1252</v>
      </c>
      <c r="B1253" s="9" t="s">
        <v>9</v>
      </c>
      <c r="C1253" s="9">
        <v>1926</v>
      </c>
      <c r="D1253" s="10">
        <v>45722</v>
      </c>
      <c r="E1253" s="11" t="str">
        <f>+HYPERLINK("http://trademark.i-assist.jp/data/china/image_1926th/82278439.pdf","82278439")</f>
        <v>82278439</v>
      </c>
      <c r="F1253" s="9" t="s">
        <v>3521</v>
      </c>
      <c r="G1253" s="12" t="s">
        <v>3522</v>
      </c>
      <c r="H1253" s="9" t="s">
        <v>3523</v>
      </c>
      <c r="I1253" s="10">
        <v>45626</v>
      </c>
    </row>
    <row r="1254" spans="1:9" x14ac:dyDescent="0.15">
      <c r="A1254" s="9">
        <v>1253</v>
      </c>
      <c r="B1254" s="9" t="s">
        <v>9</v>
      </c>
      <c r="C1254" s="9">
        <v>1926</v>
      </c>
      <c r="D1254" s="10">
        <v>45722</v>
      </c>
      <c r="E1254" s="11" t="str">
        <f>+HYPERLINK("http://trademark.i-assist.jp/data/china/image_1926th/82278931.pdf","82278931")</f>
        <v>82278931</v>
      </c>
      <c r="F1254" s="9" t="s">
        <v>3524</v>
      </c>
      <c r="G1254" s="9" t="s">
        <v>3525</v>
      </c>
      <c r="H1254" s="9" t="s">
        <v>3526</v>
      </c>
      <c r="I1254" s="10">
        <v>45626</v>
      </c>
    </row>
    <row r="1255" spans="1:9" x14ac:dyDescent="0.15">
      <c r="A1255" s="9">
        <v>1254</v>
      </c>
      <c r="B1255" s="9" t="s">
        <v>9</v>
      </c>
      <c r="C1255" s="9">
        <v>1926</v>
      </c>
      <c r="D1255" s="10">
        <v>45722</v>
      </c>
      <c r="E1255" s="11" t="str">
        <f>+HYPERLINK("http://trademark.i-assist.jp/data/china/image_1926th/82278959.pdf","82278959")</f>
        <v>82278959</v>
      </c>
      <c r="F1255" s="9" t="s">
        <v>3527</v>
      </c>
      <c r="G1255" s="9" t="s">
        <v>155</v>
      </c>
      <c r="H1255" s="9" t="s">
        <v>3528</v>
      </c>
      <c r="I1255" s="10">
        <v>45626</v>
      </c>
    </row>
    <row r="1256" spans="1:9" x14ac:dyDescent="0.15">
      <c r="A1256" s="9">
        <v>1255</v>
      </c>
      <c r="B1256" s="9" t="s">
        <v>9</v>
      </c>
      <c r="C1256" s="9">
        <v>1926</v>
      </c>
      <c r="D1256" s="10">
        <v>45722</v>
      </c>
      <c r="E1256" s="11" t="str">
        <f>+HYPERLINK("http://trademark.i-assist.jp/data/china/image_1926th/82279372.pdf","82279372")</f>
        <v>82279372</v>
      </c>
      <c r="F1256" s="9" t="s">
        <v>3529</v>
      </c>
      <c r="G1256" s="12" t="s">
        <v>3530</v>
      </c>
      <c r="H1256" s="9" t="s">
        <v>3531</v>
      </c>
      <c r="I1256" s="10">
        <v>45626</v>
      </c>
    </row>
    <row r="1257" spans="1:9" x14ac:dyDescent="0.15">
      <c r="A1257" s="9">
        <v>1256</v>
      </c>
      <c r="B1257" s="9" t="s">
        <v>9</v>
      </c>
      <c r="C1257" s="9">
        <v>1926</v>
      </c>
      <c r="D1257" s="10">
        <v>45722</v>
      </c>
      <c r="E1257" s="11" t="str">
        <f>+HYPERLINK("http://trademark.i-assist.jp/data/china/image_1926th/82279623.pdf","82279623")</f>
        <v>82279623</v>
      </c>
      <c r="F1257" s="12" t="s">
        <v>3532</v>
      </c>
      <c r="G1257" s="9" t="s">
        <v>3533</v>
      </c>
      <c r="H1257" s="9" t="s">
        <v>10</v>
      </c>
      <c r="I1257" s="10">
        <v>45626</v>
      </c>
    </row>
    <row r="1258" spans="1:9" x14ac:dyDescent="0.15">
      <c r="A1258" s="9">
        <v>1257</v>
      </c>
      <c r="B1258" s="9" t="s">
        <v>9</v>
      </c>
      <c r="C1258" s="9">
        <v>1926</v>
      </c>
      <c r="D1258" s="10">
        <v>45722</v>
      </c>
      <c r="E1258" s="11" t="str">
        <f>+HYPERLINK("http://trademark.i-assist.jp/data/china/image_1926th/82279757.pdf","82279757")</f>
        <v>82279757</v>
      </c>
      <c r="F1258" s="9" t="s">
        <v>3534</v>
      </c>
      <c r="G1258" s="9" t="s">
        <v>3535</v>
      </c>
      <c r="H1258" s="12" t="s">
        <v>3536</v>
      </c>
      <c r="I1258" s="10">
        <v>45626</v>
      </c>
    </row>
    <row r="1259" spans="1:9" x14ac:dyDescent="0.15">
      <c r="A1259" s="9">
        <v>1258</v>
      </c>
      <c r="B1259" s="9" t="s">
        <v>9</v>
      </c>
      <c r="C1259" s="9">
        <v>1926</v>
      </c>
      <c r="D1259" s="10">
        <v>45722</v>
      </c>
      <c r="E1259" s="11" t="str">
        <f>+HYPERLINK("http://trademark.i-assist.jp/data/china/image_1926th/82280483.pdf","82280483")</f>
        <v>82280483</v>
      </c>
      <c r="F1259" s="9" t="s">
        <v>3537</v>
      </c>
      <c r="G1259" s="9" t="s">
        <v>3525</v>
      </c>
      <c r="H1259" s="9" t="s">
        <v>3538</v>
      </c>
      <c r="I1259" s="10">
        <v>45626</v>
      </c>
    </row>
    <row r="1260" spans="1:9" x14ac:dyDescent="0.15">
      <c r="A1260" s="9">
        <v>1259</v>
      </c>
      <c r="B1260" s="9" t="s">
        <v>9</v>
      </c>
      <c r="C1260" s="9">
        <v>1926</v>
      </c>
      <c r="D1260" s="10">
        <v>45722</v>
      </c>
      <c r="E1260" s="11" t="str">
        <f>+HYPERLINK("http://trademark.i-assist.jp/data/china/image_1926th/82280487.pdf","82280487")</f>
        <v>82280487</v>
      </c>
      <c r="F1260" s="9" t="s">
        <v>3539</v>
      </c>
      <c r="G1260" s="9" t="s">
        <v>15</v>
      </c>
      <c r="H1260" s="9" t="s">
        <v>3540</v>
      </c>
      <c r="I1260" s="10">
        <v>45626</v>
      </c>
    </row>
    <row r="1261" spans="1:9" x14ac:dyDescent="0.15">
      <c r="A1261" s="9">
        <v>1260</v>
      </c>
      <c r="B1261" s="9" t="s">
        <v>9</v>
      </c>
      <c r="C1261" s="9">
        <v>1926</v>
      </c>
      <c r="D1261" s="10">
        <v>45722</v>
      </c>
      <c r="E1261" s="11" t="str">
        <f>+HYPERLINK("http://trademark.i-assist.jp/data/china/image_1926th/82280682.pdf","82280682")</f>
        <v>82280682</v>
      </c>
      <c r="F1261" s="9" t="s">
        <v>3541</v>
      </c>
      <c r="G1261" s="9" t="s">
        <v>3542</v>
      </c>
      <c r="H1261" s="9" t="s">
        <v>3543</v>
      </c>
      <c r="I1261" s="10">
        <v>45626</v>
      </c>
    </row>
    <row r="1262" spans="1:9" x14ac:dyDescent="0.15">
      <c r="A1262" s="9">
        <v>1261</v>
      </c>
      <c r="B1262" s="9" t="s">
        <v>9</v>
      </c>
      <c r="C1262" s="9">
        <v>1926</v>
      </c>
      <c r="D1262" s="10">
        <v>45722</v>
      </c>
      <c r="E1262" s="11" t="str">
        <f>+HYPERLINK("http://trademark.i-assist.jp/data/china/image_1926th/82281234.pdf","82281234")</f>
        <v>82281234</v>
      </c>
      <c r="F1262" s="12" t="s">
        <v>3544</v>
      </c>
      <c r="G1262" s="9" t="s">
        <v>3525</v>
      </c>
      <c r="H1262" s="9" t="s">
        <v>3545</v>
      </c>
      <c r="I1262" s="10">
        <v>45626</v>
      </c>
    </row>
    <row r="1263" spans="1:9" x14ac:dyDescent="0.15">
      <c r="A1263" s="9">
        <v>1262</v>
      </c>
      <c r="B1263" s="9" t="s">
        <v>9</v>
      </c>
      <c r="C1263" s="9">
        <v>1926</v>
      </c>
      <c r="D1263" s="10">
        <v>45722</v>
      </c>
      <c r="E1263" s="11" t="str">
        <f>+HYPERLINK("http://trademark.i-assist.jp/data/china/image_1926th/82281560.pdf","82281560")</f>
        <v>82281560</v>
      </c>
      <c r="F1263" s="9" t="s">
        <v>3546</v>
      </c>
      <c r="G1263" s="12" t="s">
        <v>3067</v>
      </c>
      <c r="H1263" s="9" t="s">
        <v>3547</v>
      </c>
      <c r="I1263" s="10">
        <v>45626</v>
      </c>
    </row>
    <row r="1264" spans="1:9" x14ac:dyDescent="0.15">
      <c r="A1264" s="9">
        <v>1263</v>
      </c>
      <c r="B1264" s="9" t="s">
        <v>9</v>
      </c>
      <c r="C1264" s="9">
        <v>1926</v>
      </c>
      <c r="D1264" s="10">
        <v>45722</v>
      </c>
      <c r="E1264" s="11" t="str">
        <f>+HYPERLINK("http://trademark.i-assist.jp/data/china/image_1926th/82281717.pdf","82281717")</f>
        <v>82281717</v>
      </c>
      <c r="F1264" s="12" t="s">
        <v>3548</v>
      </c>
      <c r="G1264" s="9" t="s">
        <v>3549</v>
      </c>
      <c r="H1264" s="9" t="s">
        <v>3550</v>
      </c>
      <c r="I1264" s="10">
        <v>45626</v>
      </c>
    </row>
    <row r="1265" spans="1:9" x14ac:dyDescent="0.15">
      <c r="A1265" s="9">
        <v>1264</v>
      </c>
      <c r="B1265" s="9" t="s">
        <v>9</v>
      </c>
      <c r="C1265" s="9">
        <v>1926</v>
      </c>
      <c r="D1265" s="10">
        <v>45722</v>
      </c>
      <c r="E1265" s="11" t="str">
        <f>+HYPERLINK("http://trademark.i-assist.jp/data/china/image_1926th/82281938.pdf","82281938")</f>
        <v>82281938</v>
      </c>
      <c r="F1265" s="9" t="s">
        <v>3551</v>
      </c>
      <c r="G1265" s="9" t="s">
        <v>3552</v>
      </c>
      <c r="H1265" s="9" t="s">
        <v>3553</v>
      </c>
      <c r="I1265" s="10">
        <v>45626</v>
      </c>
    </row>
    <row r="1266" spans="1:9" x14ac:dyDescent="0.15">
      <c r="A1266" s="9">
        <v>1265</v>
      </c>
      <c r="B1266" s="9" t="s">
        <v>9</v>
      </c>
      <c r="C1266" s="9">
        <v>1926</v>
      </c>
      <c r="D1266" s="10">
        <v>45722</v>
      </c>
      <c r="E1266" s="11" t="str">
        <f>+HYPERLINK("http://trademark.i-assist.jp/data/china/image_1926th/82282343.pdf","82282343")</f>
        <v>82282343</v>
      </c>
      <c r="F1266" s="9" t="s">
        <v>3554</v>
      </c>
      <c r="G1266" s="9" t="s">
        <v>3555</v>
      </c>
      <c r="H1266" s="9" t="s">
        <v>3556</v>
      </c>
      <c r="I1266" s="10">
        <v>45626</v>
      </c>
    </row>
    <row r="1267" spans="1:9" x14ac:dyDescent="0.15">
      <c r="A1267" s="9">
        <v>1266</v>
      </c>
      <c r="B1267" s="9" t="s">
        <v>9</v>
      </c>
      <c r="C1267" s="9">
        <v>1926</v>
      </c>
      <c r="D1267" s="10">
        <v>45722</v>
      </c>
      <c r="E1267" s="11" t="str">
        <f>+HYPERLINK("http://trademark.i-assist.jp/data/china/image_1926th/82282493.pdf","82282493")</f>
        <v>82282493</v>
      </c>
      <c r="F1267" s="12" t="s">
        <v>20</v>
      </c>
      <c r="G1267" s="9" t="s">
        <v>3557</v>
      </c>
      <c r="H1267" s="9" t="s">
        <v>3558</v>
      </c>
      <c r="I1267" s="10">
        <v>45626</v>
      </c>
    </row>
    <row r="1268" spans="1:9" x14ac:dyDescent="0.15">
      <c r="A1268" s="9">
        <v>1267</v>
      </c>
      <c r="B1268" s="9" t="s">
        <v>9</v>
      </c>
      <c r="C1268" s="9">
        <v>1926</v>
      </c>
      <c r="D1268" s="10">
        <v>45722</v>
      </c>
      <c r="E1268" s="11" t="str">
        <f>+HYPERLINK("http://trademark.i-assist.jp/data/china/image_1926th/82282666.pdf","82282666")</f>
        <v>82282666</v>
      </c>
      <c r="F1268" s="9" t="s">
        <v>3559</v>
      </c>
      <c r="G1268" s="12" t="s">
        <v>3560</v>
      </c>
      <c r="H1268" s="9" t="s">
        <v>3561</v>
      </c>
      <c r="I1268" s="10">
        <v>45626</v>
      </c>
    </row>
    <row r="1269" spans="1:9" x14ac:dyDescent="0.15">
      <c r="A1269" s="9">
        <v>1268</v>
      </c>
      <c r="B1269" s="9" t="s">
        <v>9</v>
      </c>
      <c r="C1269" s="9">
        <v>1926</v>
      </c>
      <c r="D1269" s="10">
        <v>45722</v>
      </c>
      <c r="E1269" s="11" t="str">
        <f>+HYPERLINK("http://trademark.i-assist.jp/data/china/image_1926th/82282676.pdf","82282676")</f>
        <v>82282676</v>
      </c>
      <c r="F1269" s="12" t="s">
        <v>3562</v>
      </c>
      <c r="G1269" s="9" t="s">
        <v>3563</v>
      </c>
      <c r="H1269" s="9" t="s">
        <v>3564</v>
      </c>
      <c r="I1269" s="10">
        <v>45626</v>
      </c>
    </row>
    <row r="1270" spans="1:9" x14ac:dyDescent="0.15">
      <c r="A1270" s="9">
        <v>1269</v>
      </c>
      <c r="B1270" s="9" t="s">
        <v>9</v>
      </c>
      <c r="C1270" s="9">
        <v>1926</v>
      </c>
      <c r="D1270" s="10">
        <v>45722</v>
      </c>
      <c r="E1270" s="11" t="str">
        <f>+HYPERLINK("http://trademark.i-assist.jp/data/china/image_1926th/82282721.pdf","82282721")</f>
        <v>82282721</v>
      </c>
      <c r="F1270" s="9" t="s">
        <v>3565</v>
      </c>
      <c r="G1270" s="12" t="s">
        <v>3566</v>
      </c>
      <c r="H1270" s="9" t="s">
        <v>3567</v>
      </c>
      <c r="I1270" s="10">
        <v>45626</v>
      </c>
    </row>
    <row r="1271" spans="1:9" x14ac:dyDescent="0.15">
      <c r="A1271" s="9">
        <v>1270</v>
      </c>
      <c r="B1271" s="9" t="s">
        <v>9</v>
      </c>
      <c r="C1271" s="9">
        <v>1926</v>
      </c>
      <c r="D1271" s="10">
        <v>45722</v>
      </c>
      <c r="E1271" s="11" t="str">
        <f>+HYPERLINK("http://trademark.i-assist.jp/data/china/image_1926th/82282989.pdf","82282989")</f>
        <v>82282989</v>
      </c>
      <c r="F1271" s="9" t="s">
        <v>3568</v>
      </c>
      <c r="G1271" s="12" t="s">
        <v>3569</v>
      </c>
      <c r="H1271" s="9" t="s">
        <v>3570</v>
      </c>
      <c r="I1271" s="10">
        <v>45626</v>
      </c>
    </row>
    <row r="1272" spans="1:9" x14ac:dyDescent="0.15">
      <c r="A1272" s="9">
        <v>1271</v>
      </c>
      <c r="B1272" s="9" t="s">
        <v>9</v>
      </c>
      <c r="C1272" s="9">
        <v>1926</v>
      </c>
      <c r="D1272" s="10">
        <v>45722</v>
      </c>
      <c r="E1272" s="11" t="str">
        <f>+HYPERLINK("http://trademark.i-assist.jp/data/china/image_1926th/82283236.pdf","82283236")</f>
        <v>82283236</v>
      </c>
      <c r="F1272" s="9" t="s">
        <v>3571</v>
      </c>
      <c r="G1272" s="9" t="s">
        <v>3572</v>
      </c>
      <c r="H1272" s="9" t="s">
        <v>3573</v>
      </c>
      <c r="I1272" s="10">
        <v>45626</v>
      </c>
    </row>
    <row r="1273" spans="1:9" x14ac:dyDescent="0.15">
      <c r="A1273" s="9">
        <v>1272</v>
      </c>
      <c r="B1273" s="9" t="s">
        <v>9</v>
      </c>
      <c r="C1273" s="9">
        <v>1926</v>
      </c>
      <c r="D1273" s="10">
        <v>45722</v>
      </c>
      <c r="E1273" s="11" t="str">
        <f>+HYPERLINK("http://trademark.i-assist.jp/data/china/image_1926th/82283290.pdf","82283290")</f>
        <v>82283290</v>
      </c>
      <c r="F1273" s="9" t="s">
        <v>3574</v>
      </c>
      <c r="G1273" s="9" t="s">
        <v>3525</v>
      </c>
      <c r="H1273" s="9" t="s">
        <v>3575</v>
      </c>
      <c r="I1273" s="10">
        <v>45626</v>
      </c>
    </row>
    <row r="1274" spans="1:9" x14ac:dyDescent="0.15">
      <c r="A1274" s="9">
        <v>1273</v>
      </c>
      <c r="B1274" s="9" t="s">
        <v>9</v>
      </c>
      <c r="C1274" s="9">
        <v>1926</v>
      </c>
      <c r="D1274" s="10">
        <v>45722</v>
      </c>
      <c r="E1274" s="11" t="str">
        <f>+HYPERLINK("http://trademark.i-assist.jp/data/china/image_1926th/82283865.pdf","82283865")</f>
        <v>82283865</v>
      </c>
      <c r="F1274" s="9" t="s">
        <v>3576</v>
      </c>
      <c r="G1274" s="9" t="s">
        <v>3577</v>
      </c>
      <c r="H1274" s="9" t="s">
        <v>3578</v>
      </c>
      <c r="I1274" s="10">
        <v>45626</v>
      </c>
    </row>
    <row r="1275" spans="1:9" x14ac:dyDescent="0.15">
      <c r="A1275" s="9">
        <v>1274</v>
      </c>
      <c r="B1275" s="9" t="s">
        <v>9</v>
      </c>
      <c r="C1275" s="9">
        <v>1926</v>
      </c>
      <c r="D1275" s="10">
        <v>45722</v>
      </c>
      <c r="E1275" s="11" t="str">
        <f>+HYPERLINK("http://trademark.i-assist.jp/data/china/image_1926th/82283932.pdf","82283932")</f>
        <v>82283932</v>
      </c>
      <c r="F1275" s="13" t="s">
        <v>3579</v>
      </c>
      <c r="G1275" s="12" t="s">
        <v>3580</v>
      </c>
      <c r="H1275" s="9" t="s">
        <v>3581</v>
      </c>
      <c r="I1275" s="10">
        <v>45626</v>
      </c>
    </row>
    <row r="1276" spans="1:9" x14ac:dyDescent="0.15">
      <c r="A1276" s="9">
        <v>1275</v>
      </c>
      <c r="B1276" s="9" t="s">
        <v>9</v>
      </c>
      <c r="C1276" s="9">
        <v>1926</v>
      </c>
      <c r="D1276" s="10">
        <v>45722</v>
      </c>
      <c r="E1276" s="11" t="str">
        <f>+HYPERLINK("http://trademark.i-assist.jp/data/china/image_1926th/82284490.pdf","82284490")</f>
        <v>82284490</v>
      </c>
      <c r="F1276" s="9" t="s">
        <v>3582</v>
      </c>
      <c r="G1276" s="9" t="s">
        <v>3583</v>
      </c>
      <c r="H1276" s="9" t="s">
        <v>3584</v>
      </c>
      <c r="I1276" s="10">
        <v>45626</v>
      </c>
    </row>
    <row r="1277" spans="1:9" x14ac:dyDescent="0.15">
      <c r="A1277" s="9">
        <v>1276</v>
      </c>
      <c r="B1277" s="9" t="s">
        <v>9</v>
      </c>
      <c r="C1277" s="9">
        <v>1926</v>
      </c>
      <c r="D1277" s="10">
        <v>45722</v>
      </c>
      <c r="E1277" s="11" t="str">
        <f>+HYPERLINK("http://trademark.i-assist.jp/data/china/image_1926th/82284676.pdf","82284676")</f>
        <v>82284676</v>
      </c>
      <c r="F1277" s="9" t="s">
        <v>3585</v>
      </c>
      <c r="G1277" s="9" t="s">
        <v>3525</v>
      </c>
      <c r="H1277" s="9" t="s">
        <v>3586</v>
      </c>
      <c r="I1277" s="10">
        <v>45626</v>
      </c>
    </row>
    <row r="1278" spans="1:9" x14ac:dyDescent="0.15">
      <c r="A1278" s="9">
        <v>1277</v>
      </c>
      <c r="B1278" s="9" t="s">
        <v>9</v>
      </c>
      <c r="C1278" s="9">
        <v>1926</v>
      </c>
      <c r="D1278" s="10">
        <v>45722</v>
      </c>
      <c r="E1278" s="11" t="str">
        <f>+HYPERLINK("http://trademark.i-assist.jp/data/china/image_1926th/82284700.pdf","82284700")</f>
        <v>82284700</v>
      </c>
      <c r="F1278" s="9" t="s">
        <v>3587</v>
      </c>
      <c r="G1278" s="9" t="s">
        <v>3588</v>
      </c>
      <c r="H1278" s="9" t="s">
        <v>3589</v>
      </c>
      <c r="I1278" s="10">
        <v>45626</v>
      </c>
    </row>
    <row r="1279" spans="1:9" x14ac:dyDescent="0.15">
      <c r="A1279" s="9">
        <v>1278</v>
      </c>
      <c r="B1279" s="9" t="s">
        <v>9</v>
      </c>
      <c r="C1279" s="9">
        <v>1926</v>
      </c>
      <c r="D1279" s="10">
        <v>45722</v>
      </c>
      <c r="E1279" s="11" t="str">
        <f>+HYPERLINK("http://trademark.i-assist.jp/data/china/image_1926th/82284909.pdf","82284909")</f>
        <v>82284909</v>
      </c>
      <c r="F1279" s="9" t="s">
        <v>3590</v>
      </c>
      <c r="G1279" s="9" t="s">
        <v>3591</v>
      </c>
      <c r="H1279" s="12" t="s">
        <v>3592</v>
      </c>
      <c r="I1279" s="10">
        <v>45626</v>
      </c>
    </row>
    <row r="1280" spans="1:9" x14ac:dyDescent="0.15">
      <c r="A1280" s="9">
        <v>1279</v>
      </c>
      <c r="B1280" s="9" t="s">
        <v>9</v>
      </c>
      <c r="C1280" s="9">
        <v>1926</v>
      </c>
      <c r="D1280" s="10">
        <v>45722</v>
      </c>
      <c r="E1280" s="11" t="str">
        <f>+HYPERLINK("http://trademark.i-assist.jp/data/china/image_1926th/82284920.pdf","82284920")</f>
        <v>82284920</v>
      </c>
      <c r="F1280" s="9" t="s">
        <v>3593</v>
      </c>
      <c r="G1280" s="9" t="s">
        <v>2328</v>
      </c>
      <c r="H1280" s="9" t="s">
        <v>3594</v>
      </c>
      <c r="I1280" s="10">
        <v>45626</v>
      </c>
    </row>
    <row r="1281" spans="1:9" x14ac:dyDescent="0.15">
      <c r="A1281" s="9">
        <v>1280</v>
      </c>
      <c r="B1281" s="9" t="s">
        <v>9</v>
      </c>
      <c r="C1281" s="9">
        <v>1926</v>
      </c>
      <c r="D1281" s="10">
        <v>45722</v>
      </c>
      <c r="E1281" s="11" t="str">
        <f>+HYPERLINK("http://trademark.i-assist.jp/data/china/image_1926th/82284984.pdf","82284984")</f>
        <v>82284984</v>
      </c>
      <c r="F1281" s="12" t="s">
        <v>3595</v>
      </c>
      <c r="G1281" s="9" t="s">
        <v>3596</v>
      </c>
      <c r="H1281" s="9" t="s">
        <v>3597</v>
      </c>
      <c r="I1281" s="10">
        <v>45626</v>
      </c>
    </row>
    <row r="1282" spans="1:9" x14ac:dyDescent="0.15">
      <c r="A1282" s="9">
        <v>1281</v>
      </c>
      <c r="B1282" s="9" t="s">
        <v>9</v>
      </c>
      <c r="C1282" s="9">
        <v>1926</v>
      </c>
      <c r="D1282" s="10">
        <v>45722</v>
      </c>
      <c r="E1282" s="11" t="str">
        <f>+HYPERLINK("http://trademark.i-assist.jp/data/china/image_1926th/82285012.pdf","82285012")</f>
        <v>82285012</v>
      </c>
      <c r="F1282" s="9" t="s">
        <v>3598</v>
      </c>
      <c r="G1282" s="9" t="s">
        <v>3599</v>
      </c>
      <c r="H1282" s="9" t="s">
        <v>3600</v>
      </c>
      <c r="I1282" s="10">
        <v>45626</v>
      </c>
    </row>
    <row r="1283" spans="1:9" x14ac:dyDescent="0.15">
      <c r="A1283" s="9">
        <v>1282</v>
      </c>
      <c r="B1283" s="9" t="s">
        <v>9</v>
      </c>
      <c r="C1283" s="9">
        <v>1926</v>
      </c>
      <c r="D1283" s="10">
        <v>45722</v>
      </c>
      <c r="E1283" s="11" t="str">
        <f>+HYPERLINK("http://trademark.i-assist.jp/data/china/image_1926th/82285014.pdf","82285014")</f>
        <v>82285014</v>
      </c>
      <c r="F1283" s="9" t="s">
        <v>3601</v>
      </c>
      <c r="G1283" s="9" t="s">
        <v>3602</v>
      </c>
      <c r="H1283" s="9" t="s">
        <v>3603</v>
      </c>
      <c r="I1283" s="10">
        <v>45626</v>
      </c>
    </row>
    <row r="1284" spans="1:9" x14ac:dyDescent="0.15">
      <c r="A1284" s="9">
        <v>1283</v>
      </c>
      <c r="B1284" s="9" t="s">
        <v>9</v>
      </c>
      <c r="C1284" s="9">
        <v>1926</v>
      </c>
      <c r="D1284" s="10">
        <v>45722</v>
      </c>
      <c r="E1284" s="11" t="str">
        <f>+HYPERLINK("http://trademark.i-assist.jp/data/china/image_1926th/82285254.pdf","82285254")</f>
        <v>82285254</v>
      </c>
      <c r="F1284" s="12" t="s">
        <v>3604</v>
      </c>
      <c r="G1284" s="9" t="s">
        <v>3605</v>
      </c>
      <c r="H1284" s="9" t="s">
        <v>3606</v>
      </c>
      <c r="I1284" s="10">
        <v>45627</v>
      </c>
    </row>
    <row r="1285" spans="1:9" x14ac:dyDescent="0.15">
      <c r="A1285" s="9">
        <v>1284</v>
      </c>
      <c r="B1285" s="9" t="s">
        <v>9</v>
      </c>
      <c r="C1285" s="9">
        <v>1926</v>
      </c>
      <c r="D1285" s="10">
        <v>45722</v>
      </c>
      <c r="E1285" s="11" t="str">
        <f>+HYPERLINK("http://trademark.i-assist.jp/data/china/image_1926th/82285302.pdf","82285302")</f>
        <v>82285302</v>
      </c>
      <c r="F1285" s="9" t="s">
        <v>3607</v>
      </c>
      <c r="G1285" s="12" t="s">
        <v>3608</v>
      </c>
      <c r="H1285" s="12" t="s">
        <v>3609</v>
      </c>
      <c r="I1285" s="10">
        <v>45627</v>
      </c>
    </row>
    <row r="1286" spans="1:9" x14ac:dyDescent="0.15">
      <c r="A1286" s="9">
        <v>1285</v>
      </c>
      <c r="B1286" s="9" t="s">
        <v>9</v>
      </c>
      <c r="C1286" s="9">
        <v>1926</v>
      </c>
      <c r="D1286" s="10">
        <v>45722</v>
      </c>
      <c r="E1286" s="11" t="str">
        <f>+HYPERLINK("http://trademark.i-assist.jp/data/china/image_1926th/82285377.pdf","82285377")</f>
        <v>82285377</v>
      </c>
      <c r="F1286" s="9" t="s">
        <v>3610</v>
      </c>
      <c r="G1286" s="12" t="s">
        <v>3611</v>
      </c>
      <c r="H1286" s="9" t="s">
        <v>3612</v>
      </c>
      <c r="I1286" s="10">
        <v>45627</v>
      </c>
    </row>
    <row r="1287" spans="1:9" x14ac:dyDescent="0.15">
      <c r="A1287" s="9">
        <v>1286</v>
      </c>
      <c r="B1287" s="9" t="s">
        <v>9</v>
      </c>
      <c r="C1287" s="9">
        <v>1926</v>
      </c>
      <c r="D1287" s="10">
        <v>45722</v>
      </c>
      <c r="E1287" s="11" t="str">
        <f>+HYPERLINK("http://trademark.i-assist.jp/data/china/image_1926th/82285697.pdf","82285697")</f>
        <v>82285697</v>
      </c>
      <c r="F1287" s="12" t="s">
        <v>3613</v>
      </c>
      <c r="G1287" s="9" t="s">
        <v>3614</v>
      </c>
      <c r="H1287" s="9" t="s">
        <v>3615</v>
      </c>
      <c r="I1287" s="10">
        <v>45627</v>
      </c>
    </row>
    <row r="1288" spans="1:9" x14ac:dyDescent="0.15">
      <c r="A1288" s="9">
        <v>1287</v>
      </c>
      <c r="B1288" s="9" t="s">
        <v>9</v>
      </c>
      <c r="C1288" s="9">
        <v>1926</v>
      </c>
      <c r="D1288" s="10">
        <v>45722</v>
      </c>
      <c r="E1288" s="11" t="str">
        <f>+HYPERLINK("http://trademark.i-assist.jp/data/china/image_1926th/82286154.pdf","82286154")</f>
        <v>82286154</v>
      </c>
      <c r="F1288" s="12" t="s">
        <v>3616</v>
      </c>
      <c r="G1288" s="9" t="s">
        <v>3617</v>
      </c>
      <c r="H1288" s="9" t="s">
        <v>3618</v>
      </c>
      <c r="I1288" s="10">
        <v>45627</v>
      </c>
    </row>
    <row r="1289" spans="1:9" x14ac:dyDescent="0.15">
      <c r="A1289" s="9">
        <v>1288</v>
      </c>
      <c r="B1289" s="9" t="s">
        <v>9</v>
      </c>
      <c r="C1289" s="9">
        <v>1926</v>
      </c>
      <c r="D1289" s="10">
        <v>45722</v>
      </c>
      <c r="E1289" s="11" t="str">
        <f>+HYPERLINK("http://trademark.i-assist.jp/data/china/image_1926th/82286414.pdf","82286414")</f>
        <v>82286414</v>
      </c>
      <c r="F1289" s="9" t="s">
        <v>3619</v>
      </c>
      <c r="G1289" s="12" t="s">
        <v>3608</v>
      </c>
      <c r="H1289" s="9" t="s">
        <v>3620</v>
      </c>
      <c r="I1289" s="10">
        <v>45627</v>
      </c>
    </row>
    <row r="1290" spans="1:9" x14ac:dyDescent="0.15">
      <c r="A1290" s="9">
        <v>1289</v>
      </c>
      <c r="B1290" s="9" t="s">
        <v>9</v>
      </c>
      <c r="C1290" s="9">
        <v>1926</v>
      </c>
      <c r="D1290" s="10">
        <v>45722</v>
      </c>
      <c r="E1290" s="11" t="str">
        <f>+HYPERLINK("http://trademark.i-assist.jp/data/china/image_1926th/82286739.pdf","82286739")</f>
        <v>82286739</v>
      </c>
      <c r="F1290" s="12" t="s">
        <v>3621</v>
      </c>
      <c r="G1290" s="9" t="s">
        <v>70</v>
      </c>
      <c r="H1290" s="9" t="s">
        <v>3622</v>
      </c>
      <c r="I1290" s="10">
        <v>45627</v>
      </c>
    </row>
    <row r="1291" spans="1:9" x14ac:dyDescent="0.15">
      <c r="A1291" s="9">
        <v>1290</v>
      </c>
      <c r="B1291" s="9" t="s">
        <v>9</v>
      </c>
      <c r="C1291" s="9">
        <v>1926</v>
      </c>
      <c r="D1291" s="10">
        <v>45722</v>
      </c>
      <c r="E1291" s="11" t="str">
        <f>+HYPERLINK("http://trademark.i-assist.jp/data/china/image_1926th/82286779.pdf","82286779")</f>
        <v>82286779</v>
      </c>
      <c r="F1291" s="9" t="s">
        <v>3623</v>
      </c>
      <c r="G1291" s="12" t="s">
        <v>811</v>
      </c>
      <c r="H1291" s="9" t="s">
        <v>3624</v>
      </c>
      <c r="I1291" s="10">
        <v>45627</v>
      </c>
    </row>
    <row r="1292" spans="1:9" x14ac:dyDescent="0.15">
      <c r="A1292" s="9">
        <v>1291</v>
      </c>
      <c r="B1292" s="9" t="s">
        <v>9</v>
      </c>
      <c r="C1292" s="9">
        <v>1926</v>
      </c>
      <c r="D1292" s="10">
        <v>45722</v>
      </c>
      <c r="E1292" s="11" t="str">
        <f>+HYPERLINK("http://trademark.i-assist.jp/data/china/image_1926th/82286953.pdf","82286953")</f>
        <v>82286953</v>
      </c>
      <c r="F1292" s="9" t="s">
        <v>3625</v>
      </c>
      <c r="G1292" s="9" t="s">
        <v>3626</v>
      </c>
      <c r="H1292" s="9" t="s">
        <v>3627</v>
      </c>
      <c r="I1292" s="10">
        <v>45627</v>
      </c>
    </row>
    <row r="1293" spans="1:9" x14ac:dyDescent="0.15">
      <c r="A1293" s="9">
        <v>1292</v>
      </c>
      <c r="B1293" s="9" t="s">
        <v>9</v>
      </c>
      <c r="C1293" s="9">
        <v>1926</v>
      </c>
      <c r="D1293" s="10">
        <v>45722</v>
      </c>
      <c r="E1293" s="11" t="str">
        <f>+HYPERLINK("http://trademark.i-assist.jp/data/china/image_1926th/82287628.pdf","82287628")</f>
        <v>82287628</v>
      </c>
      <c r="F1293" s="9" t="s">
        <v>3628</v>
      </c>
      <c r="G1293" s="9" t="s">
        <v>3629</v>
      </c>
      <c r="H1293" s="9" t="s">
        <v>3630</v>
      </c>
      <c r="I1293" s="10">
        <v>45627</v>
      </c>
    </row>
    <row r="1294" spans="1:9" x14ac:dyDescent="0.15">
      <c r="A1294" s="9">
        <v>1293</v>
      </c>
      <c r="B1294" s="9" t="s">
        <v>9</v>
      </c>
      <c r="C1294" s="9">
        <v>1926</v>
      </c>
      <c r="D1294" s="10">
        <v>45722</v>
      </c>
      <c r="E1294" s="11" t="str">
        <f>+HYPERLINK("http://trademark.i-assist.jp/data/china/image_1926th/82287656.pdf","82287656")</f>
        <v>82287656</v>
      </c>
      <c r="F1294" s="12" t="s">
        <v>3631</v>
      </c>
      <c r="G1294" s="12" t="s">
        <v>3632</v>
      </c>
      <c r="H1294" s="9" t="s">
        <v>3633</v>
      </c>
      <c r="I1294" s="10">
        <v>45627</v>
      </c>
    </row>
    <row r="1295" spans="1:9" x14ac:dyDescent="0.15">
      <c r="A1295" s="9">
        <v>1294</v>
      </c>
      <c r="B1295" s="9" t="s">
        <v>9</v>
      </c>
      <c r="C1295" s="9">
        <v>1926</v>
      </c>
      <c r="D1295" s="10">
        <v>45722</v>
      </c>
      <c r="E1295" s="11" t="str">
        <f>+HYPERLINK("http://trademark.i-assist.jp/data/china/image_1926th/82287903.pdf","82287903")</f>
        <v>82287903</v>
      </c>
      <c r="F1295" s="9" t="s">
        <v>3634</v>
      </c>
      <c r="G1295" s="9" t="s">
        <v>160</v>
      </c>
      <c r="H1295" s="9" t="s">
        <v>3635</v>
      </c>
      <c r="I1295" s="10">
        <v>45628</v>
      </c>
    </row>
    <row r="1296" spans="1:9" x14ac:dyDescent="0.15">
      <c r="A1296" s="9">
        <v>1295</v>
      </c>
      <c r="B1296" s="9" t="s">
        <v>9</v>
      </c>
      <c r="C1296" s="9">
        <v>1926</v>
      </c>
      <c r="D1296" s="10">
        <v>45722</v>
      </c>
      <c r="E1296" s="11" t="str">
        <f>+HYPERLINK("http://trademark.i-assist.jp/data/china/image_1926th/82287995.pdf","82287995")</f>
        <v>82287995</v>
      </c>
      <c r="F1296" s="9" t="s">
        <v>3636</v>
      </c>
      <c r="G1296" s="9" t="s">
        <v>67</v>
      </c>
      <c r="H1296" s="9" t="s">
        <v>3637</v>
      </c>
      <c r="I1296" s="10">
        <v>45628</v>
      </c>
    </row>
    <row r="1297" spans="1:9" x14ac:dyDescent="0.15">
      <c r="A1297" s="9">
        <v>1296</v>
      </c>
      <c r="B1297" s="9" t="s">
        <v>9</v>
      </c>
      <c r="C1297" s="9">
        <v>1926</v>
      </c>
      <c r="D1297" s="10">
        <v>45722</v>
      </c>
      <c r="E1297" s="11" t="str">
        <f>+HYPERLINK("http://trademark.i-assist.jp/data/china/image_1926th/82288030.pdf","82288030")</f>
        <v>82288030</v>
      </c>
      <c r="F1297" s="9" t="s">
        <v>3638</v>
      </c>
      <c r="G1297" s="9" t="s">
        <v>3639</v>
      </c>
      <c r="H1297" s="9" t="s">
        <v>3640</v>
      </c>
      <c r="I1297" s="10">
        <v>45628</v>
      </c>
    </row>
    <row r="1298" spans="1:9" x14ac:dyDescent="0.15">
      <c r="A1298" s="9">
        <v>1297</v>
      </c>
      <c r="B1298" s="9" t="s">
        <v>9</v>
      </c>
      <c r="C1298" s="9">
        <v>1926</v>
      </c>
      <c r="D1298" s="10">
        <v>45722</v>
      </c>
      <c r="E1298" s="11" t="str">
        <f>+HYPERLINK("http://trademark.i-assist.jp/data/china/image_1926th/82288311.pdf","82288311")</f>
        <v>82288311</v>
      </c>
      <c r="F1298" s="12" t="s">
        <v>20</v>
      </c>
      <c r="G1298" s="9" t="s">
        <v>3641</v>
      </c>
      <c r="H1298" s="12" t="s">
        <v>3642</v>
      </c>
      <c r="I1298" s="10">
        <v>45628</v>
      </c>
    </row>
    <row r="1299" spans="1:9" x14ac:dyDescent="0.15">
      <c r="A1299" s="9">
        <v>1298</v>
      </c>
      <c r="B1299" s="9" t="s">
        <v>9</v>
      </c>
      <c r="C1299" s="9">
        <v>1926</v>
      </c>
      <c r="D1299" s="10">
        <v>45722</v>
      </c>
      <c r="E1299" s="11" t="str">
        <f>+HYPERLINK("http://trademark.i-assist.jp/data/china/image_1926th/82288538.pdf","82288538")</f>
        <v>82288538</v>
      </c>
      <c r="F1299" s="12" t="s">
        <v>3643</v>
      </c>
      <c r="G1299" s="9" t="s">
        <v>3644</v>
      </c>
      <c r="H1299" s="9" t="s">
        <v>3645</v>
      </c>
      <c r="I1299" s="10">
        <v>45628</v>
      </c>
    </row>
    <row r="1300" spans="1:9" x14ac:dyDescent="0.15">
      <c r="A1300" s="9">
        <v>1299</v>
      </c>
      <c r="B1300" s="9" t="s">
        <v>9</v>
      </c>
      <c r="C1300" s="9">
        <v>1926</v>
      </c>
      <c r="D1300" s="10">
        <v>45722</v>
      </c>
      <c r="E1300" s="11" t="str">
        <f>+HYPERLINK("http://trademark.i-assist.jp/data/china/image_1926th/82288664.pdf","82288664")</f>
        <v>82288664</v>
      </c>
      <c r="F1300" s="9" t="s">
        <v>3646</v>
      </c>
      <c r="G1300" s="9" t="s">
        <v>3647</v>
      </c>
      <c r="H1300" s="9" t="s">
        <v>3648</v>
      </c>
      <c r="I1300" s="10">
        <v>45628</v>
      </c>
    </row>
    <row r="1301" spans="1:9" x14ac:dyDescent="0.15">
      <c r="A1301" s="9">
        <v>1300</v>
      </c>
      <c r="B1301" s="9" t="s">
        <v>9</v>
      </c>
      <c r="C1301" s="9">
        <v>1926</v>
      </c>
      <c r="D1301" s="10">
        <v>45722</v>
      </c>
      <c r="E1301" s="11" t="str">
        <f>+HYPERLINK("http://trademark.i-assist.jp/data/china/image_1926th/82288837.pdf","82288837")</f>
        <v>82288837</v>
      </c>
      <c r="F1301" s="9" t="s">
        <v>3649</v>
      </c>
      <c r="G1301" s="9" t="s">
        <v>3650</v>
      </c>
      <c r="H1301" s="9" t="s">
        <v>3651</v>
      </c>
      <c r="I1301" s="10">
        <v>45628</v>
      </c>
    </row>
    <row r="1302" spans="1:9" x14ac:dyDescent="0.15">
      <c r="A1302" s="9">
        <v>1301</v>
      </c>
      <c r="B1302" s="9" t="s">
        <v>9</v>
      </c>
      <c r="C1302" s="9">
        <v>1926</v>
      </c>
      <c r="D1302" s="10">
        <v>45722</v>
      </c>
      <c r="E1302" s="11" t="str">
        <f>+HYPERLINK("http://trademark.i-assist.jp/data/china/image_1926th/82289017.pdf","82289017")</f>
        <v>82289017</v>
      </c>
      <c r="F1302" s="9" t="s">
        <v>3652</v>
      </c>
      <c r="G1302" s="9" t="s">
        <v>3653</v>
      </c>
      <c r="H1302" s="9" t="s">
        <v>3654</v>
      </c>
      <c r="I1302" s="10">
        <v>45628</v>
      </c>
    </row>
    <row r="1303" spans="1:9" x14ac:dyDescent="0.15">
      <c r="A1303" s="9">
        <v>1302</v>
      </c>
      <c r="B1303" s="9" t="s">
        <v>9</v>
      </c>
      <c r="C1303" s="9">
        <v>1926</v>
      </c>
      <c r="D1303" s="10">
        <v>45722</v>
      </c>
      <c r="E1303" s="11" t="str">
        <f>+HYPERLINK("http://trademark.i-assist.jp/data/china/image_1926th/82289216.pdf","82289216")</f>
        <v>82289216</v>
      </c>
      <c r="F1303" s="12" t="s">
        <v>3655</v>
      </c>
      <c r="G1303" s="12" t="s">
        <v>3656</v>
      </c>
      <c r="H1303" s="9" t="s">
        <v>3657</v>
      </c>
      <c r="I1303" s="10">
        <v>45628</v>
      </c>
    </row>
    <row r="1304" spans="1:9" x14ac:dyDescent="0.15">
      <c r="A1304" s="9">
        <v>1303</v>
      </c>
      <c r="B1304" s="9" t="s">
        <v>9</v>
      </c>
      <c r="C1304" s="9">
        <v>1926</v>
      </c>
      <c r="D1304" s="10">
        <v>45722</v>
      </c>
      <c r="E1304" s="11" t="str">
        <f>+HYPERLINK("http://trademark.i-assist.jp/data/china/image_1926th/82289634.pdf","82289634")</f>
        <v>82289634</v>
      </c>
      <c r="F1304" s="12" t="s">
        <v>3658</v>
      </c>
      <c r="G1304" s="9" t="s">
        <v>3659</v>
      </c>
      <c r="H1304" s="9" t="s">
        <v>3660</v>
      </c>
      <c r="I1304" s="10">
        <v>45628</v>
      </c>
    </row>
    <row r="1305" spans="1:9" x14ac:dyDescent="0.15">
      <c r="A1305" s="9">
        <v>1304</v>
      </c>
      <c r="B1305" s="9" t="s">
        <v>9</v>
      </c>
      <c r="C1305" s="9">
        <v>1926</v>
      </c>
      <c r="D1305" s="10">
        <v>45722</v>
      </c>
      <c r="E1305" s="11" t="str">
        <f>+HYPERLINK("http://trademark.i-assist.jp/data/china/image_1926th/82289917.pdf","82289917")</f>
        <v>82289917</v>
      </c>
      <c r="F1305" s="9" t="s">
        <v>3661</v>
      </c>
      <c r="G1305" s="9" t="s">
        <v>3662</v>
      </c>
      <c r="H1305" s="9" t="s">
        <v>3663</v>
      </c>
      <c r="I1305" s="10">
        <v>45628</v>
      </c>
    </row>
    <row r="1306" spans="1:9" x14ac:dyDescent="0.15">
      <c r="A1306" s="9">
        <v>1305</v>
      </c>
      <c r="B1306" s="9" t="s">
        <v>9</v>
      </c>
      <c r="C1306" s="9">
        <v>1926</v>
      </c>
      <c r="D1306" s="10">
        <v>45722</v>
      </c>
      <c r="E1306" s="11" t="str">
        <f>+HYPERLINK("http://trademark.i-assist.jp/data/china/image_1926th/82289977.pdf","82289977")</f>
        <v>82289977</v>
      </c>
      <c r="F1306" s="9" t="s">
        <v>3664</v>
      </c>
      <c r="G1306" s="9" t="s">
        <v>3665</v>
      </c>
      <c r="H1306" s="9" t="s">
        <v>3666</v>
      </c>
      <c r="I1306" s="10">
        <v>45628</v>
      </c>
    </row>
    <row r="1307" spans="1:9" x14ac:dyDescent="0.15">
      <c r="A1307" s="9">
        <v>1306</v>
      </c>
      <c r="B1307" s="9" t="s">
        <v>9</v>
      </c>
      <c r="C1307" s="9">
        <v>1926</v>
      </c>
      <c r="D1307" s="10">
        <v>45722</v>
      </c>
      <c r="E1307" s="11" t="str">
        <f>+HYPERLINK("http://trademark.i-assist.jp/data/china/image_1926th/82290251.pdf","82290251")</f>
        <v>82290251</v>
      </c>
      <c r="F1307" s="9" t="s">
        <v>3667</v>
      </c>
      <c r="G1307" s="12" t="s">
        <v>3668</v>
      </c>
      <c r="H1307" s="9" t="s">
        <v>3669</v>
      </c>
      <c r="I1307" s="10">
        <v>45628</v>
      </c>
    </row>
    <row r="1308" spans="1:9" x14ac:dyDescent="0.15">
      <c r="A1308" s="9">
        <v>1307</v>
      </c>
      <c r="B1308" s="9" t="s">
        <v>9</v>
      </c>
      <c r="C1308" s="9">
        <v>1926</v>
      </c>
      <c r="D1308" s="10">
        <v>45722</v>
      </c>
      <c r="E1308" s="11" t="str">
        <f>+HYPERLINK("http://trademark.i-assist.jp/data/china/image_1926th/82290398.pdf","82290398")</f>
        <v>82290398</v>
      </c>
      <c r="F1308" s="9" t="s">
        <v>3670</v>
      </c>
      <c r="G1308" s="9" t="s">
        <v>3671</v>
      </c>
      <c r="H1308" s="9" t="s">
        <v>3672</v>
      </c>
      <c r="I1308" s="10">
        <v>45628</v>
      </c>
    </row>
    <row r="1309" spans="1:9" x14ac:dyDescent="0.15">
      <c r="A1309" s="9">
        <v>1308</v>
      </c>
      <c r="B1309" s="9" t="s">
        <v>9</v>
      </c>
      <c r="C1309" s="9">
        <v>1926</v>
      </c>
      <c r="D1309" s="10">
        <v>45722</v>
      </c>
      <c r="E1309" s="11" t="str">
        <f>+HYPERLINK("http://trademark.i-assist.jp/data/china/image_1926th/82290402.pdf","82290402")</f>
        <v>82290402</v>
      </c>
      <c r="F1309" s="9" t="s">
        <v>3670</v>
      </c>
      <c r="G1309" s="9" t="s">
        <v>3671</v>
      </c>
      <c r="H1309" s="9" t="s">
        <v>3673</v>
      </c>
      <c r="I1309" s="10">
        <v>45628</v>
      </c>
    </row>
    <row r="1310" spans="1:9" x14ac:dyDescent="0.15">
      <c r="A1310" s="9">
        <v>1309</v>
      </c>
      <c r="B1310" s="9" t="s">
        <v>9</v>
      </c>
      <c r="C1310" s="9">
        <v>1926</v>
      </c>
      <c r="D1310" s="10">
        <v>45722</v>
      </c>
      <c r="E1310" s="11" t="str">
        <f>+HYPERLINK("http://trademark.i-assist.jp/data/china/image_1926th/82290506.pdf","82290506")</f>
        <v>82290506</v>
      </c>
      <c r="F1310" s="9" t="s">
        <v>3674</v>
      </c>
      <c r="G1310" s="9" t="s">
        <v>3675</v>
      </c>
      <c r="H1310" s="9" t="s">
        <v>3676</v>
      </c>
      <c r="I1310" s="10">
        <v>45628</v>
      </c>
    </row>
    <row r="1311" spans="1:9" x14ac:dyDescent="0.15">
      <c r="A1311" s="9">
        <v>1310</v>
      </c>
      <c r="B1311" s="9" t="s">
        <v>9</v>
      </c>
      <c r="C1311" s="9">
        <v>1926</v>
      </c>
      <c r="D1311" s="10">
        <v>45722</v>
      </c>
      <c r="E1311" s="11" t="str">
        <f>+HYPERLINK("http://trademark.i-assist.jp/data/china/image_1926th/82290561.pdf","82290561")</f>
        <v>82290561</v>
      </c>
      <c r="F1311" s="9" t="s">
        <v>3677</v>
      </c>
      <c r="G1311" s="9" t="s">
        <v>3678</v>
      </c>
      <c r="H1311" s="9" t="s">
        <v>3679</v>
      </c>
      <c r="I1311" s="10">
        <v>45628</v>
      </c>
    </row>
    <row r="1312" spans="1:9" x14ac:dyDescent="0.15">
      <c r="A1312" s="9">
        <v>1311</v>
      </c>
      <c r="B1312" s="9" t="s">
        <v>9</v>
      </c>
      <c r="C1312" s="9">
        <v>1926</v>
      </c>
      <c r="D1312" s="10">
        <v>45722</v>
      </c>
      <c r="E1312" s="11" t="str">
        <f>+HYPERLINK("http://trademark.i-assist.jp/data/china/image_1926th/82291004.pdf","82291004")</f>
        <v>82291004</v>
      </c>
      <c r="F1312" s="9" t="s">
        <v>3680</v>
      </c>
      <c r="G1312" s="12" t="s">
        <v>3681</v>
      </c>
      <c r="H1312" s="9" t="s">
        <v>3682</v>
      </c>
      <c r="I1312" s="10">
        <v>45628</v>
      </c>
    </row>
    <row r="1313" spans="1:9" x14ac:dyDescent="0.15">
      <c r="A1313" s="9">
        <v>1312</v>
      </c>
      <c r="B1313" s="9" t="s">
        <v>9</v>
      </c>
      <c r="C1313" s="9">
        <v>1926</v>
      </c>
      <c r="D1313" s="10">
        <v>45722</v>
      </c>
      <c r="E1313" s="11" t="str">
        <f>+HYPERLINK("http://trademark.i-assist.jp/data/china/image_1926th/82291238.pdf","82291238")</f>
        <v>82291238</v>
      </c>
      <c r="F1313" s="12" t="s">
        <v>3683</v>
      </c>
      <c r="G1313" s="9" t="s">
        <v>3684</v>
      </c>
      <c r="H1313" s="9" t="s">
        <v>3685</v>
      </c>
      <c r="I1313" s="10">
        <v>45628</v>
      </c>
    </row>
    <row r="1314" spans="1:9" x14ac:dyDescent="0.15">
      <c r="A1314" s="9">
        <v>1313</v>
      </c>
      <c r="B1314" s="9" t="s">
        <v>9</v>
      </c>
      <c r="C1314" s="9">
        <v>1926</v>
      </c>
      <c r="D1314" s="10">
        <v>45722</v>
      </c>
      <c r="E1314" s="11" t="str">
        <f>+HYPERLINK("http://trademark.i-assist.jp/data/china/image_1926th/82291539.pdf","82291539")</f>
        <v>82291539</v>
      </c>
      <c r="F1314" s="9" t="s">
        <v>3686</v>
      </c>
      <c r="G1314" s="9" t="s">
        <v>3687</v>
      </c>
      <c r="H1314" s="9" t="s">
        <v>3688</v>
      </c>
      <c r="I1314" s="10">
        <v>45628</v>
      </c>
    </row>
    <row r="1315" spans="1:9" x14ac:dyDescent="0.15">
      <c r="A1315" s="9">
        <v>1314</v>
      </c>
      <c r="B1315" s="9" t="s">
        <v>9</v>
      </c>
      <c r="C1315" s="9">
        <v>1926</v>
      </c>
      <c r="D1315" s="10">
        <v>45722</v>
      </c>
      <c r="E1315" s="11" t="str">
        <f>+HYPERLINK("http://trademark.i-assist.jp/data/china/image_1926th/82291561.pdf","82291561")</f>
        <v>82291561</v>
      </c>
      <c r="F1315" s="9" t="s">
        <v>3689</v>
      </c>
      <c r="G1315" s="9" t="s">
        <v>3650</v>
      </c>
      <c r="H1315" s="9" t="s">
        <v>3690</v>
      </c>
      <c r="I1315" s="10">
        <v>45628</v>
      </c>
    </row>
    <row r="1316" spans="1:9" x14ac:dyDescent="0.15">
      <c r="A1316" s="9">
        <v>1315</v>
      </c>
      <c r="B1316" s="9" t="s">
        <v>9</v>
      </c>
      <c r="C1316" s="9">
        <v>1926</v>
      </c>
      <c r="D1316" s="10">
        <v>45722</v>
      </c>
      <c r="E1316" s="11" t="str">
        <f>+HYPERLINK("http://trademark.i-assist.jp/data/china/image_1926th/82291562.pdf","82291562")</f>
        <v>82291562</v>
      </c>
      <c r="F1316" s="9" t="s">
        <v>3691</v>
      </c>
      <c r="G1316" s="9" t="s">
        <v>3650</v>
      </c>
      <c r="H1316" s="9" t="s">
        <v>3692</v>
      </c>
      <c r="I1316" s="10">
        <v>45628</v>
      </c>
    </row>
    <row r="1317" spans="1:9" x14ac:dyDescent="0.15">
      <c r="A1317" s="9">
        <v>1316</v>
      </c>
      <c r="B1317" s="9" t="s">
        <v>9</v>
      </c>
      <c r="C1317" s="9">
        <v>1926</v>
      </c>
      <c r="D1317" s="10">
        <v>45722</v>
      </c>
      <c r="E1317" s="11" t="str">
        <f>+HYPERLINK("http://trademark.i-assist.jp/data/china/image_1926th/82291605.pdf","82291605")</f>
        <v>82291605</v>
      </c>
      <c r="F1317" s="9" t="s">
        <v>3693</v>
      </c>
      <c r="G1317" s="9" t="s">
        <v>94</v>
      </c>
      <c r="H1317" s="9" t="s">
        <v>3694</v>
      </c>
      <c r="I1317" s="10">
        <v>45628</v>
      </c>
    </row>
    <row r="1318" spans="1:9" x14ac:dyDescent="0.15">
      <c r="A1318" s="9">
        <v>1317</v>
      </c>
      <c r="B1318" s="9" t="s">
        <v>9</v>
      </c>
      <c r="C1318" s="9">
        <v>1926</v>
      </c>
      <c r="D1318" s="10">
        <v>45722</v>
      </c>
      <c r="E1318" s="11" t="str">
        <f>+HYPERLINK("http://trademark.i-assist.jp/data/china/image_1926th/82291741.pdf","82291741")</f>
        <v>82291741</v>
      </c>
      <c r="F1318" s="9" t="s">
        <v>3695</v>
      </c>
      <c r="G1318" s="12" t="s">
        <v>3696</v>
      </c>
      <c r="H1318" s="9" t="s">
        <v>3697</v>
      </c>
      <c r="I1318" s="10">
        <v>45628</v>
      </c>
    </row>
    <row r="1319" spans="1:9" x14ac:dyDescent="0.15">
      <c r="A1319" s="9">
        <v>1318</v>
      </c>
      <c r="B1319" s="9" t="s">
        <v>9</v>
      </c>
      <c r="C1319" s="9">
        <v>1926</v>
      </c>
      <c r="D1319" s="10">
        <v>45722</v>
      </c>
      <c r="E1319" s="11" t="str">
        <f>+HYPERLINK("http://trademark.i-assist.jp/data/china/image_1926th/82292464.pdf","82292464")</f>
        <v>82292464</v>
      </c>
      <c r="F1319" s="9" t="s">
        <v>3698</v>
      </c>
      <c r="G1319" s="9" t="s">
        <v>3699</v>
      </c>
      <c r="H1319" s="12" t="s">
        <v>3700</v>
      </c>
      <c r="I1319" s="10">
        <v>45628</v>
      </c>
    </row>
    <row r="1320" spans="1:9" x14ac:dyDescent="0.15">
      <c r="A1320" s="9">
        <v>1319</v>
      </c>
      <c r="B1320" s="9" t="s">
        <v>9</v>
      </c>
      <c r="C1320" s="9">
        <v>1926</v>
      </c>
      <c r="D1320" s="10">
        <v>45722</v>
      </c>
      <c r="E1320" s="11" t="str">
        <f>+HYPERLINK("http://trademark.i-assist.jp/data/china/image_1926th/82292690.pdf","82292690")</f>
        <v>82292690</v>
      </c>
      <c r="F1320" s="9" t="s">
        <v>3701</v>
      </c>
      <c r="G1320" s="9" t="s">
        <v>3702</v>
      </c>
      <c r="H1320" s="9" t="s">
        <v>3703</v>
      </c>
      <c r="I1320" s="10">
        <v>45628</v>
      </c>
    </row>
    <row r="1321" spans="1:9" x14ac:dyDescent="0.15">
      <c r="A1321" s="9">
        <v>1320</v>
      </c>
      <c r="B1321" s="9" t="s">
        <v>9</v>
      </c>
      <c r="C1321" s="9">
        <v>1926</v>
      </c>
      <c r="D1321" s="10">
        <v>45722</v>
      </c>
      <c r="E1321" s="11" t="str">
        <f>+HYPERLINK("http://trademark.i-assist.jp/data/china/image_1926th/82293111.pdf","82293111")</f>
        <v>82293111</v>
      </c>
      <c r="F1321" s="9" t="s">
        <v>3704</v>
      </c>
      <c r="G1321" s="9" t="s">
        <v>3705</v>
      </c>
      <c r="H1321" s="9" t="s">
        <v>3706</v>
      </c>
      <c r="I1321" s="10">
        <v>45628</v>
      </c>
    </row>
    <row r="1322" spans="1:9" x14ac:dyDescent="0.15">
      <c r="A1322" s="9">
        <v>1321</v>
      </c>
      <c r="B1322" s="9" t="s">
        <v>9</v>
      </c>
      <c r="C1322" s="9">
        <v>1926</v>
      </c>
      <c r="D1322" s="10">
        <v>45722</v>
      </c>
      <c r="E1322" s="11" t="str">
        <f>+HYPERLINK("http://trademark.i-assist.jp/data/china/image_1926th/82293162.pdf","82293162")</f>
        <v>82293162</v>
      </c>
      <c r="F1322" s="12" t="s">
        <v>3707</v>
      </c>
      <c r="G1322" s="12" t="s">
        <v>3708</v>
      </c>
      <c r="H1322" s="9" t="s">
        <v>3709</v>
      </c>
      <c r="I1322" s="10">
        <v>45628</v>
      </c>
    </row>
    <row r="1323" spans="1:9" x14ac:dyDescent="0.15">
      <c r="A1323" s="9">
        <v>1322</v>
      </c>
      <c r="B1323" s="9" t="s">
        <v>9</v>
      </c>
      <c r="C1323" s="9">
        <v>1926</v>
      </c>
      <c r="D1323" s="10">
        <v>45722</v>
      </c>
      <c r="E1323" s="11" t="str">
        <f>+HYPERLINK("http://trademark.i-assist.jp/data/china/image_1926th/82293207.pdf","82293207")</f>
        <v>82293207</v>
      </c>
      <c r="F1323" s="12" t="s">
        <v>3710</v>
      </c>
      <c r="G1323" s="9" t="s">
        <v>3711</v>
      </c>
      <c r="H1323" s="9" t="s">
        <v>3712</v>
      </c>
      <c r="I1323" s="10">
        <v>45628</v>
      </c>
    </row>
    <row r="1324" spans="1:9" x14ac:dyDescent="0.15">
      <c r="A1324" s="9">
        <v>1323</v>
      </c>
      <c r="B1324" s="9" t="s">
        <v>9</v>
      </c>
      <c r="C1324" s="9">
        <v>1926</v>
      </c>
      <c r="D1324" s="10">
        <v>45722</v>
      </c>
      <c r="E1324" s="11" t="str">
        <f>+HYPERLINK("http://trademark.i-assist.jp/data/china/image_1926th/82293222.pdf","82293222")</f>
        <v>82293222</v>
      </c>
      <c r="F1324" s="9" t="s">
        <v>3713</v>
      </c>
      <c r="G1324" s="9" t="s">
        <v>3714</v>
      </c>
      <c r="H1324" s="9" t="s">
        <v>3715</v>
      </c>
      <c r="I1324" s="10">
        <v>45628</v>
      </c>
    </row>
    <row r="1325" spans="1:9" x14ac:dyDescent="0.15">
      <c r="A1325" s="9">
        <v>1324</v>
      </c>
      <c r="B1325" s="9" t="s">
        <v>9</v>
      </c>
      <c r="C1325" s="9">
        <v>1926</v>
      </c>
      <c r="D1325" s="10">
        <v>45722</v>
      </c>
      <c r="E1325" s="11" t="str">
        <f>+HYPERLINK("http://trademark.i-assist.jp/data/china/image_1926th/82293313.pdf","82293313")</f>
        <v>82293313</v>
      </c>
      <c r="F1325" s="9" t="s">
        <v>3716</v>
      </c>
      <c r="G1325" s="9" t="s">
        <v>3717</v>
      </c>
      <c r="H1325" s="9" t="s">
        <v>3718</v>
      </c>
      <c r="I1325" s="10">
        <v>45628</v>
      </c>
    </row>
    <row r="1326" spans="1:9" x14ac:dyDescent="0.15">
      <c r="A1326" s="9">
        <v>1325</v>
      </c>
      <c r="B1326" s="9" t="s">
        <v>9</v>
      </c>
      <c r="C1326" s="9">
        <v>1926</v>
      </c>
      <c r="D1326" s="10">
        <v>45722</v>
      </c>
      <c r="E1326" s="11" t="str">
        <f>+HYPERLINK("http://trademark.i-assist.jp/data/china/image_1926th/82293342.pdf","82293342")</f>
        <v>82293342</v>
      </c>
      <c r="F1326" s="12" t="s">
        <v>3719</v>
      </c>
      <c r="G1326" s="9" t="s">
        <v>3720</v>
      </c>
      <c r="H1326" s="9" t="s">
        <v>3721</v>
      </c>
      <c r="I1326" s="10">
        <v>45628</v>
      </c>
    </row>
    <row r="1327" spans="1:9" x14ac:dyDescent="0.15">
      <c r="A1327" s="9">
        <v>1326</v>
      </c>
      <c r="B1327" s="9" t="s">
        <v>9</v>
      </c>
      <c r="C1327" s="9">
        <v>1926</v>
      </c>
      <c r="D1327" s="10">
        <v>45722</v>
      </c>
      <c r="E1327" s="11" t="str">
        <f>+HYPERLINK("http://trademark.i-assist.jp/data/china/image_1926th/82293380.pdf","82293380")</f>
        <v>82293380</v>
      </c>
      <c r="F1327" s="9" t="s">
        <v>3722</v>
      </c>
      <c r="G1327" s="9" t="s">
        <v>3723</v>
      </c>
      <c r="H1327" s="9" t="s">
        <v>3724</v>
      </c>
      <c r="I1327" s="10">
        <v>45628</v>
      </c>
    </row>
    <row r="1328" spans="1:9" x14ac:dyDescent="0.15">
      <c r="A1328" s="9">
        <v>1327</v>
      </c>
      <c r="B1328" s="9" t="s">
        <v>9</v>
      </c>
      <c r="C1328" s="9">
        <v>1926</v>
      </c>
      <c r="D1328" s="10">
        <v>45722</v>
      </c>
      <c r="E1328" s="11" t="str">
        <f>+HYPERLINK("http://trademark.i-assist.jp/data/china/image_1926th/82293410.pdf","82293410")</f>
        <v>82293410</v>
      </c>
      <c r="F1328" s="9" t="s">
        <v>3725</v>
      </c>
      <c r="G1328" s="9" t="s">
        <v>3726</v>
      </c>
      <c r="H1328" s="12" t="s">
        <v>3727</v>
      </c>
      <c r="I1328" s="10">
        <v>45628</v>
      </c>
    </row>
    <row r="1329" spans="1:9" x14ac:dyDescent="0.15">
      <c r="A1329" s="9">
        <v>1328</v>
      </c>
      <c r="B1329" s="9" t="s">
        <v>9</v>
      </c>
      <c r="C1329" s="9">
        <v>1926</v>
      </c>
      <c r="D1329" s="10">
        <v>45722</v>
      </c>
      <c r="E1329" s="11" t="str">
        <f>+HYPERLINK("http://trademark.i-assist.jp/data/china/image_1926th/82293482.pdf","82293482")</f>
        <v>82293482</v>
      </c>
      <c r="F1329" s="9" t="s">
        <v>3728</v>
      </c>
      <c r="G1329" s="9" t="s">
        <v>83</v>
      </c>
      <c r="H1329" s="9" t="s">
        <v>3729</v>
      </c>
      <c r="I1329" s="10">
        <v>45628</v>
      </c>
    </row>
    <row r="1330" spans="1:9" x14ac:dyDescent="0.15">
      <c r="A1330" s="9">
        <v>1329</v>
      </c>
      <c r="B1330" s="9" t="s">
        <v>9</v>
      </c>
      <c r="C1330" s="9">
        <v>1926</v>
      </c>
      <c r="D1330" s="10">
        <v>45722</v>
      </c>
      <c r="E1330" s="11" t="str">
        <f>+HYPERLINK("http://trademark.i-assist.jp/data/china/image_1926th/82293562.pdf","82293562")</f>
        <v>82293562</v>
      </c>
      <c r="F1330" s="9" t="s">
        <v>3730</v>
      </c>
      <c r="G1330" s="9" t="s">
        <v>261</v>
      </c>
      <c r="H1330" s="9" t="s">
        <v>3731</v>
      </c>
      <c r="I1330" s="10">
        <v>45628</v>
      </c>
    </row>
    <row r="1331" spans="1:9" x14ac:dyDescent="0.15">
      <c r="A1331" s="9">
        <v>1330</v>
      </c>
      <c r="B1331" s="9" t="s">
        <v>9</v>
      </c>
      <c r="C1331" s="9">
        <v>1926</v>
      </c>
      <c r="D1331" s="10">
        <v>45722</v>
      </c>
      <c r="E1331" s="11" t="str">
        <f>+HYPERLINK("http://trademark.i-assist.jp/data/china/image_1926th/82293565.pdf","82293565")</f>
        <v>82293565</v>
      </c>
      <c r="F1331" s="9" t="s">
        <v>3732</v>
      </c>
      <c r="G1331" s="9" t="s">
        <v>3733</v>
      </c>
      <c r="H1331" s="9" t="s">
        <v>3734</v>
      </c>
      <c r="I1331" s="10">
        <v>45628</v>
      </c>
    </row>
    <row r="1332" spans="1:9" x14ac:dyDescent="0.15">
      <c r="A1332" s="9">
        <v>1331</v>
      </c>
      <c r="B1332" s="9" t="s">
        <v>9</v>
      </c>
      <c r="C1332" s="9">
        <v>1926</v>
      </c>
      <c r="D1332" s="10">
        <v>45722</v>
      </c>
      <c r="E1332" s="11" t="str">
        <f>+HYPERLINK("http://trademark.i-assist.jp/data/china/image_1926th/82293771.pdf","82293771")</f>
        <v>82293771</v>
      </c>
      <c r="F1332" s="9" t="s">
        <v>3735</v>
      </c>
      <c r="G1332" s="9" t="s">
        <v>3736</v>
      </c>
      <c r="H1332" s="9" t="s">
        <v>3737</v>
      </c>
      <c r="I1332" s="10">
        <v>45628</v>
      </c>
    </row>
    <row r="1333" spans="1:9" x14ac:dyDescent="0.15">
      <c r="A1333" s="9">
        <v>1332</v>
      </c>
      <c r="B1333" s="9" t="s">
        <v>9</v>
      </c>
      <c r="C1333" s="9">
        <v>1926</v>
      </c>
      <c r="D1333" s="10">
        <v>45722</v>
      </c>
      <c r="E1333" s="11" t="str">
        <f>+HYPERLINK("http://trademark.i-assist.jp/data/china/image_1926th/82293978.pdf","82293978")</f>
        <v>82293978</v>
      </c>
      <c r="F1333" s="9" t="s">
        <v>3738</v>
      </c>
      <c r="G1333" s="12" t="s">
        <v>3739</v>
      </c>
      <c r="H1333" s="9" t="s">
        <v>3740</v>
      </c>
      <c r="I1333" s="10">
        <v>45628</v>
      </c>
    </row>
    <row r="1334" spans="1:9" x14ac:dyDescent="0.15">
      <c r="A1334" s="9">
        <v>1333</v>
      </c>
      <c r="B1334" s="9" t="s">
        <v>9</v>
      </c>
      <c r="C1334" s="9">
        <v>1926</v>
      </c>
      <c r="D1334" s="10">
        <v>45722</v>
      </c>
      <c r="E1334" s="11" t="str">
        <f>+HYPERLINK("http://trademark.i-assist.jp/data/china/image_1926th/82294006.pdf","82294006")</f>
        <v>82294006</v>
      </c>
      <c r="F1334" s="9" t="s">
        <v>3741</v>
      </c>
      <c r="G1334" s="9" t="s">
        <v>160</v>
      </c>
      <c r="H1334" s="9" t="s">
        <v>3742</v>
      </c>
      <c r="I1334" s="10">
        <v>45628</v>
      </c>
    </row>
    <row r="1335" spans="1:9" x14ac:dyDescent="0.15">
      <c r="A1335" s="9">
        <v>1334</v>
      </c>
      <c r="B1335" s="9" t="s">
        <v>9</v>
      </c>
      <c r="C1335" s="9">
        <v>1926</v>
      </c>
      <c r="D1335" s="10">
        <v>45722</v>
      </c>
      <c r="E1335" s="11" t="str">
        <f>+HYPERLINK("http://trademark.i-assist.jp/data/china/image_1926th/82294065.pdf","82294065")</f>
        <v>82294065</v>
      </c>
      <c r="F1335" s="9" t="s">
        <v>3743</v>
      </c>
      <c r="G1335" s="9" t="s">
        <v>3744</v>
      </c>
      <c r="H1335" s="9" t="s">
        <v>3745</v>
      </c>
      <c r="I1335" s="10">
        <v>45628</v>
      </c>
    </row>
    <row r="1336" spans="1:9" x14ac:dyDescent="0.15">
      <c r="A1336" s="9">
        <v>1335</v>
      </c>
      <c r="B1336" s="9" t="s">
        <v>9</v>
      </c>
      <c r="C1336" s="9">
        <v>1926</v>
      </c>
      <c r="D1336" s="10">
        <v>45722</v>
      </c>
      <c r="E1336" s="11" t="str">
        <f>+HYPERLINK("http://trademark.i-assist.jp/data/china/image_1926th/82294239.pdf","82294239")</f>
        <v>82294239</v>
      </c>
      <c r="F1336" s="9" t="s">
        <v>3746</v>
      </c>
      <c r="G1336" s="9" t="s">
        <v>3747</v>
      </c>
      <c r="H1336" s="9" t="s">
        <v>3748</v>
      </c>
      <c r="I1336" s="10">
        <v>45628</v>
      </c>
    </row>
    <row r="1337" spans="1:9" x14ac:dyDescent="0.15">
      <c r="A1337" s="9">
        <v>1336</v>
      </c>
      <c r="B1337" s="9" t="s">
        <v>9</v>
      </c>
      <c r="C1337" s="9">
        <v>1926</v>
      </c>
      <c r="D1337" s="10">
        <v>45722</v>
      </c>
      <c r="E1337" s="11" t="str">
        <f>+HYPERLINK("http://trademark.i-assist.jp/data/china/image_1926th/82294401.pdf","82294401")</f>
        <v>82294401</v>
      </c>
      <c r="F1337" s="9" t="s">
        <v>3749</v>
      </c>
      <c r="G1337" s="9" t="s">
        <v>3750</v>
      </c>
      <c r="H1337" s="9" t="s">
        <v>3751</v>
      </c>
      <c r="I1337" s="10">
        <v>45628</v>
      </c>
    </row>
    <row r="1338" spans="1:9" x14ac:dyDescent="0.15">
      <c r="A1338" s="9">
        <v>1337</v>
      </c>
      <c r="B1338" s="9" t="s">
        <v>9</v>
      </c>
      <c r="C1338" s="9">
        <v>1926</v>
      </c>
      <c r="D1338" s="10">
        <v>45722</v>
      </c>
      <c r="E1338" s="11" t="str">
        <f>+HYPERLINK("http://trademark.i-assist.jp/data/china/image_1926th/82294420.pdf","82294420")</f>
        <v>82294420</v>
      </c>
      <c r="F1338" s="9" t="s">
        <v>3752</v>
      </c>
      <c r="G1338" s="9" t="s">
        <v>3753</v>
      </c>
      <c r="H1338" s="9" t="s">
        <v>3754</v>
      </c>
      <c r="I1338" s="10">
        <v>45628</v>
      </c>
    </row>
    <row r="1339" spans="1:9" x14ac:dyDescent="0.15">
      <c r="A1339" s="9">
        <v>1338</v>
      </c>
      <c r="B1339" s="9" t="s">
        <v>9</v>
      </c>
      <c r="C1339" s="9">
        <v>1926</v>
      </c>
      <c r="D1339" s="10">
        <v>45722</v>
      </c>
      <c r="E1339" s="11" t="str">
        <f>+HYPERLINK("http://trademark.i-assist.jp/data/china/image_1926th/82294421.pdf","82294421")</f>
        <v>82294421</v>
      </c>
      <c r="F1339" s="9" t="s">
        <v>3755</v>
      </c>
      <c r="G1339" s="9" t="s">
        <v>3750</v>
      </c>
      <c r="H1339" s="9" t="s">
        <v>3756</v>
      </c>
      <c r="I1339" s="10">
        <v>45628</v>
      </c>
    </row>
    <row r="1340" spans="1:9" x14ac:dyDescent="0.15">
      <c r="A1340" s="9">
        <v>1339</v>
      </c>
      <c r="B1340" s="9" t="s">
        <v>9</v>
      </c>
      <c r="C1340" s="9">
        <v>1926</v>
      </c>
      <c r="D1340" s="10">
        <v>45722</v>
      </c>
      <c r="E1340" s="11" t="str">
        <f>+HYPERLINK("http://trademark.i-assist.jp/data/china/image_1926th/82294975.pdf","82294975")</f>
        <v>82294975</v>
      </c>
      <c r="F1340" s="12" t="s">
        <v>3757</v>
      </c>
      <c r="G1340" s="12" t="s">
        <v>3758</v>
      </c>
      <c r="H1340" s="9" t="s">
        <v>3759</v>
      </c>
      <c r="I1340" s="10">
        <v>45628</v>
      </c>
    </row>
    <row r="1341" spans="1:9" x14ac:dyDescent="0.15">
      <c r="A1341" s="9">
        <v>1340</v>
      </c>
      <c r="B1341" s="9" t="s">
        <v>9</v>
      </c>
      <c r="C1341" s="9">
        <v>1926</v>
      </c>
      <c r="D1341" s="10">
        <v>45722</v>
      </c>
      <c r="E1341" s="11" t="str">
        <f>+HYPERLINK("http://trademark.i-assist.jp/data/china/image_1926th/82295170.pdf","82295170")</f>
        <v>82295170</v>
      </c>
      <c r="F1341" s="9" t="s">
        <v>3760</v>
      </c>
      <c r="G1341" s="9" t="s">
        <v>3744</v>
      </c>
      <c r="H1341" s="9" t="s">
        <v>3761</v>
      </c>
      <c r="I1341" s="10">
        <v>45628</v>
      </c>
    </row>
    <row r="1342" spans="1:9" x14ac:dyDescent="0.15">
      <c r="A1342" s="9">
        <v>1341</v>
      </c>
      <c r="B1342" s="9" t="s">
        <v>9</v>
      </c>
      <c r="C1342" s="9">
        <v>1926</v>
      </c>
      <c r="D1342" s="10">
        <v>45722</v>
      </c>
      <c r="E1342" s="11" t="str">
        <f>+HYPERLINK("http://trademark.i-assist.jp/data/china/image_1926th/82295322.pdf","82295322")</f>
        <v>82295322</v>
      </c>
      <c r="F1342" s="9" t="s">
        <v>3762</v>
      </c>
      <c r="G1342" s="9" t="s">
        <v>163</v>
      </c>
      <c r="H1342" s="9" t="s">
        <v>3763</v>
      </c>
      <c r="I1342" s="10">
        <v>45628</v>
      </c>
    </row>
    <row r="1343" spans="1:9" x14ac:dyDescent="0.15">
      <c r="A1343" s="9">
        <v>1342</v>
      </c>
      <c r="B1343" s="9" t="s">
        <v>9</v>
      </c>
      <c r="C1343" s="9">
        <v>1926</v>
      </c>
      <c r="D1343" s="10">
        <v>45722</v>
      </c>
      <c r="E1343" s="11" t="str">
        <f>+HYPERLINK("http://trademark.i-assist.jp/data/china/image_1926th/82295564.pdf","82295564")</f>
        <v>82295564</v>
      </c>
      <c r="F1343" s="12" t="s">
        <v>3764</v>
      </c>
      <c r="G1343" s="9" t="s">
        <v>162</v>
      </c>
      <c r="H1343" s="12" t="s">
        <v>3765</v>
      </c>
      <c r="I1343" s="10">
        <v>45628</v>
      </c>
    </row>
    <row r="1344" spans="1:9" x14ac:dyDescent="0.15">
      <c r="A1344" s="9">
        <v>1343</v>
      </c>
      <c r="B1344" s="9" t="s">
        <v>9</v>
      </c>
      <c r="C1344" s="9">
        <v>1926</v>
      </c>
      <c r="D1344" s="10">
        <v>45722</v>
      </c>
      <c r="E1344" s="11" t="str">
        <f>+HYPERLINK("http://trademark.i-assist.jp/data/china/image_1926th/82295674.pdf","82295674")</f>
        <v>82295674</v>
      </c>
      <c r="F1344" s="9" t="s">
        <v>3766</v>
      </c>
      <c r="G1344" s="9" t="s">
        <v>160</v>
      </c>
      <c r="H1344" s="9" t="s">
        <v>3767</v>
      </c>
      <c r="I1344" s="10">
        <v>45628</v>
      </c>
    </row>
    <row r="1345" spans="1:9" x14ac:dyDescent="0.15">
      <c r="A1345" s="9">
        <v>1344</v>
      </c>
      <c r="B1345" s="9" t="s">
        <v>9</v>
      </c>
      <c r="C1345" s="9">
        <v>1926</v>
      </c>
      <c r="D1345" s="10">
        <v>45722</v>
      </c>
      <c r="E1345" s="11" t="str">
        <f>+HYPERLINK("http://trademark.i-assist.jp/data/china/image_1926th/82295931.pdf","82295931")</f>
        <v>82295931</v>
      </c>
      <c r="F1345" s="12" t="s">
        <v>3768</v>
      </c>
      <c r="G1345" s="9" t="s">
        <v>3647</v>
      </c>
      <c r="H1345" s="9" t="s">
        <v>3769</v>
      </c>
      <c r="I1345" s="10">
        <v>45628</v>
      </c>
    </row>
    <row r="1346" spans="1:9" x14ac:dyDescent="0.15">
      <c r="A1346" s="9">
        <v>1345</v>
      </c>
      <c r="B1346" s="9" t="s">
        <v>9</v>
      </c>
      <c r="C1346" s="9">
        <v>1926</v>
      </c>
      <c r="D1346" s="10">
        <v>45722</v>
      </c>
      <c r="E1346" s="11" t="str">
        <f>+HYPERLINK("http://trademark.i-assist.jp/data/china/image_1926th/82296465.pdf","82296465")</f>
        <v>82296465</v>
      </c>
      <c r="F1346" s="9" t="s">
        <v>3770</v>
      </c>
      <c r="G1346" s="9" t="s">
        <v>3720</v>
      </c>
      <c r="H1346" s="9" t="s">
        <v>3771</v>
      </c>
      <c r="I1346" s="10">
        <v>45628</v>
      </c>
    </row>
    <row r="1347" spans="1:9" x14ac:dyDescent="0.15">
      <c r="A1347" s="9">
        <v>1346</v>
      </c>
      <c r="B1347" s="9" t="s">
        <v>9</v>
      </c>
      <c r="C1347" s="9">
        <v>1926</v>
      </c>
      <c r="D1347" s="10">
        <v>45722</v>
      </c>
      <c r="E1347" s="11" t="str">
        <f>+HYPERLINK("http://trademark.i-assist.jp/data/china/image_1926th/82296577.pdf","82296577")</f>
        <v>82296577</v>
      </c>
      <c r="F1347" s="9" t="s">
        <v>3772</v>
      </c>
      <c r="G1347" s="9" t="s">
        <v>3717</v>
      </c>
      <c r="H1347" s="9" t="s">
        <v>3773</v>
      </c>
      <c r="I1347" s="10">
        <v>45628</v>
      </c>
    </row>
    <row r="1348" spans="1:9" x14ac:dyDescent="0.15">
      <c r="A1348" s="9">
        <v>1347</v>
      </c>
      <c r="B1348" s="9" t="s">
        <v>9</v>
      </c>
      <c r="C1348" s="9">
        <v>1926</v>
      </c>
      <c r="D1348" s="10">
        <v>45722</v>
      </c>
      <c r="E1348" s="11" t="str">
        <f>+HYPERLINK("http://trademark.i-assist.jp/data/china/image_1926th/82297039.pdf","82297039")</f>
        <v>82297039</v>
      </c>
      <c r="F1348" s="9" t="s">
        <v>3774</v>
      </c>
      <c r="G1348" s="9" t="s">
        <v>3775</v>
      </c>
      <c r="H1348" s="9" t="s">
        <v>3776</v>
      </c>
      <c r="I1348" s="10">
        <v>45628</v>
      </c>
    </row>
    <row r="1349" spans="1:9" x14ac:dyDescent="0.15">
      <c r="A1349" s="9">
        <v>1348</v>
      </c>
      <c r="B1349" s="9" t="s">
        <v>9</v>
      </c>
      <c r="C1349" s="9">
        <v>1926</v>
      </c>
      <c r="D1349" s="10">
        <v>45722</v>
      </c>
      <c r="E1349" s="11" t="str">
        <f>+HYPERLINK("http://trademark.i-assist.jp/data/china/image_1926th/82297270.pdf","82297270")</f>
        <v>82297270</v>
      </c>
      <c r="F1349" s="9" t="s">
        <v>3777</v>
      </c>
      <c r="G1349" s="9" t="s">
        <v>3778</v>
      </c>
      <c r="H1349" s="9" t="s">
        <v>3779</v>
      </c>
      <c r="I1349" s="10">
        <v>45628</v>
      </c>
    </row>
    <row r="1350" spans="1:9" x14ac:dyDescent="0.15">
      <c r="A1350" s="9">
        <v>1349</v>
      </c>
      <c r="B1350" s="9" t="s">
        <v>9</v>
      </c>
      <c r="C1350" s="9">
        <v>1926</v>
      </c>
      <c r="D1350" s="10">
        <v>45722</v>
      </c>
      <c r="E1350" s="11" t="str">
        <f>+HYPERLINK("http://trademark.i-assist.jp/data/china/image_1926th/82297415.pdf","82297415")</f>
        <v>82297415</v>
      </c>
      <c r="F1350" s="9" t="s">
        <v>3780</v>
      </c>
      <c r="G1350" s="9" t="s">
        <v>3781</v>
      </c>
      <c r="H1350" s="9" t="s">
        <v>3782</v>
      </c>
      <c r="I1350" s="10">
        <v>45628</v>
      </c>
    </row>
    <row r="1351" spans="1:9" x14ac:dyDescent="0.15">
      <c r="A1351" s="9">
        <v>1350</v>
      </c>
      <c r="B1351" s="9" t="s">
        <v>9</v>
      </c>
      <c r="C1351" s="9">
        <v>1926</v>
      </c>
      <c r="D1351" s="10">
        <v>45722</v>
      </c>
      <c r="E1351" s="11" t="str">
        <f>+HYPERLINK("http://trademark.i-assist.jp/data/china/image_1926th/82297458.pdf","82297458")</f>
        <v>82297458</v>
      </c>
      <c r="F1351" s="9" t="s">
        <v>3783</v>
      </c>
      <c r="G1351" s="9" t="s">
        <v>3784</v>
      </c>
      <c r="H1351" s="9" t="s">
        <v>3785</v>
      </c>
      <c r="I1351" s="10">
        <v>45628</v>
      </c>
    </row>
    <row r="1352" spans="1:9" x14ac:dyDescent="0.15">
      <c r="A1352" s="9">
        <v>1351</v>
      </c>
      <c r="B1352" s="9" t="s">
        <v>9</v>
      </c>
      <c r="C1352" s="9">
        <v>1926</v>
      </c>
      <c r="D1352" s="10">
        <v>45722</v>
      </c>
      <c r="E1352" s="11" t="str">
        <f>+HYPERLINK("http://trademark.i-assist.jp/data/china/image_1926th/82297962.pdf","82297962")</f>
        <v>82297962</v>
      </c>
      <c r="F1352" s="9" t="s">
        <v>3786</v>
      </c>
      <c r="G1352" s="12" t="s">
        <v>3787</v>
      </c>
      <c r="H1352" s="9" t="s">
        <v>3788</v>
      </c>
      <c r="I1352" s="10">
        <v>45628</v>
      </c>
    </row>
    <row r="1353" spans="1:9" x14ac:dyDescent="0.15">
      <c r="A1353" s="9">
        <v>1352</v>
      </c>
      <c r="B1353" s="9" t="s">
        <v>9</v>
      </c>
      <c r="C1353" s="9">
        <v>1926</v>
      </c>
      <c r="D1353" s="10">
        <v>45722</v>
      </c>
      <c r="E1353" s="11" t="str">
        <f>+HYPERLINK("http://trademark.i-assist.jp/data/china/image_1926th/82298160.pdf","82298160")</f>
        <v>82298160</v>
      </c>
      <c r="F1353" s="9" t="s">
        <v>3789</v>
      </c>
      <c r="G1353" s="9" t="s">
        <v>3790</v>
      </c>
      <c r="H1353" s="9" t="s">
        <v>3791</v>
      </c>
      <c r="I1353" s="10">
        <v>45628</v>
      </c>
    </row>
    <row r="1354" spans="1:9" x14ac:dyDescent="0.15">
      <c r="A1354" s="9">
        <v>1353</v>
      </c>
      <c r="B1354" s="9" t="s">
        <v>9</v>
      </c>
      <c r="C1354" s="9">
        <v>1926</v>
      </c>
      <c r="D1354" s="10">
        <v>45722</v>
      </c>
      <c r="E1354" s="11" t="str">
        <f>+HYPERLINK("http://trademark.i-assist.jp/data/china/image_1926th/82298201.pdf","82298201")</f>
        <v>82298201</v>
      </c>
      <c r="F1354" s="9" t="s">
        <v>3792</v>
      </c>
      <c r="G1354" s="9" t="s">
        <v>3793</v>
      </c>
      <c r="H1354" s="9" t="s">
        <v>3794</v>
      </c>
      <c r="I1354" s="10">
        <v>45628</v>
      </c>
    </row>
    <row r="1355" spans="1:9" x14ac:dyDescent="0.15">
      <c r="A1355" s="9">
        <v>1354</v>
      </c>
      <c r="B1355" s="9" t="s">
        <v>9</v>
      </c>
      <c r="C1355" s="9">
        <v>1926</v>
      </c>
      <c r="D1355" s="10">
        <v>45722</v>
      </c>
      <c r="E1355" s="11" t="str">
        <f>+HYPERLINK("http://trademark.i-assist.jp/data/china/image_1926th/82298394.pdf","82298394")</f>
        <v>82298394</v>
      </c>
      <c r="F1355" s="12" t="s">
        <v>20</v>
      </c>
      <c r="G1355" s="9" t="s">
        <v>3795</v>
      </c>
      <c r="H1355" s="9" t="s">
        <v>3796</v>
      </c>
      <c r="I1355" s="10">
        <v>45628</v>
      </c>
    </row>
    <row r="1356" spans="1:9" x14ac:dyDescent="0.15">
      <c r="A1356" s="9">
        <v>1355</v>
      </c>
      <c r="B1356" s="9" t="s">
        <v>9</v>
      </c>
      <c r="C1356" s="9">
        <v>1926</v>
      </c>
      <c r="D1356" s="10">
        <v>45722</v>
      </c>
      <c r="E1356" s="11" t="str">
        <f>+HYPERLINK("http://trademark.i-assist.jp/data/china/image_1926th/82298522.pdf","82298522")</f>
        <v>82298522</v>
      </c>
      <c r="F1356" s="12" t="s">
        <v>3797</v>
      </c>
      <c r="G1356" s="12" t="s">
        <v>3798</v>
      </c>
      <c r="H1356" s="9" t="s">
        <v>3799</v>
      </c>
      <c r="I1356" s="10">
        <v>45628</v>
      </c>
    </row>
    <row r="1357" spans="1:9" x14ac:dyDescent="0.15">
      <c r="A1357" s="9">
        <v>1356</v>
      </c>
      <c r="B1357" s="9" t="s">
        <v>9</v>
      </c>
      <c r="C1357" s="9">
        <v>1926</v>
      </c>
      <c r="D1357" s="10">
        <v>45722</v>
      </c>
      <c r="E1357" s="11" t="str">
        <f>+HYPERLINK("http://trademark.i-assist.jp/data/china/image_1926th/82298706.pdf","82298706")</f>
        <v>82298706</v>
      </c>
      <c r="F1357" s="12" t="s">
        <v>3800</v>
      </c>
      <c r="G1357" s="9" t="s">
        <v>3801</v>
      </c>
      <c r="H1357" s="9" t="s">
        <v>3802</v>
      </c>
      <c r="I1357" s="10">
        <v>45628</v>
      </c>
    </row>
    <row r="1358" spans="1:9" x14ac:dyDescent="0.15">
      <c r="A1358" s="9">
        <v>1357</v>
      </c>
      <c r="B1358" s="9" t="s">
        <v>9</v>
      </c>
      <c r="C1358" s="9">
        <v>1926</v>
      </c>
      <c r="D1358" s="10">
        <v>45722</v>
      </c>
      <c r="E1358" s="11" t="str">
        <f>+HYPERLINK("http://trademark.i-assist.jp/data/china/image_1926th/82298878.pdf","82298878")</f>
        <v>82298878</v>
      </c>
      <c r="F1358" s="12" t="s">
        <v>3803</v>
      </c>
      <c r="G1358" s="9" t="s">
        <v>3804</v>
      </c>
      <c r="H1358" s="9" t="s">
        <v>3805</v>
      </c>
      <c r="I1358" s="10">
        <v>45628</v>
      </c>
    </row>
    <row r="1359" spans="1:9" x14ac:dyDescent="0.15">
      <c r="A1359" s="9">
        <v>1358</v>
      </c>
      <c r="B1359" s="9" t="s">
        <v>9</v>
      </c>
      <c r="C1359" s="9">
        <v>1926</v>
      </c>
      <c r="D1359" s="10">
        <v>45722</v>
      </c>
      <c r="E1359" s="11" t="str">
        <f>+HYPERLINK("http://trademark.i-assist.jp/data/china/image_1926th/82299178.pdf","82299178")</f>
        <v>82299178</v>
      </c>
      <c r="F1359" s="9" t="s">
        <v>3806</v>
      </c>
      <c r="G1359" s="9" t="s">
        <v>3665</v>
      </c>
      <c r="H1359" s="9" t="s">
        <v>3807</v>
      </c>
      <c r="I1359" s="10">
        <v>45628</v>
      </c>
    </row>
    <row r="1360" spans="1:9" x14ac:dyDescent="0.15">
      <c r="A1360" s="9">
        <v>1359</v>
      </c>
      <c r="B1360" s="9" t="s">
        <v>9</v>
      </c>
      <c r="C1360" s="9">
        <v>1926</v>
      </c>
      <c r="D1360" s="10">
        <v>45722</v>
      </c>
      <c r="E1360" s="11" t="str">
        <f>+HYPERLINK("http://trademark.i-assist.jp/data/china/image_1926th/82299322.pdf","82299322")</f>
        <v>82299322</v>
      </c>
      <c r="F1360" s="9" t="s">
        <v>3808</v>
      </c>
      <c r="G1360" s="12" t="s">
        <v>3809</v>
      </c>
      <c r="H1360" s="9" t="s">
        <v>3810</v>
      </c>
      <c r="I1360" s="10">
        <v>45628</v>
      </c>
    </row>
    <row r="1361" spans="1:9" x14ac:dyDescent="0.15">
      <c r="A1361" s="9">
        <v>1360</v>
      </c>
      <c r="B1361" s="9" t="s">
        <v>9</v>
      </c>
      <c r="C1361" s="9">
        <v>1926</v>
      </c>
      <c r="D1361" s="10">
        <v>45722</v>
      </c>
      <c r="E1361" s="11" t="str">
        <f>+HYPERLINK("http://trademark.i-assist.jp/data/china/image_1926th/82299433.pdf","82299433")</f>
        <v>82299433</v>
      </c>
      <c r="F1361" s="9" t="s">
        <v>3811</v>
      </c>
      <c r="G1361" s="9" t="s">
        <v>3812</v>
      </c>
      <c r="H1361" s="9" t="s">
        <v>3813</v>
      </c>
      <c r="I1361" s="10">
        <v>45628</v>
      </c>
    </row>
    <row r="1362" spans="1:9" x14ac:dyDescent="0.15">
      <c r="A1362" s="9">
        <v>1361</v>
      </c>
      <c r="B1362" s="9" t="s">
        <v>9</v>
      </c>
      <c r="C1362" s="9">
        <v>1926</v>
      </c>
      <c r="D1362" s="10">
        <v>45722</v>
      </c>
      <c r="E1362" s="11" t="str">
        <f>+HYPERLINK("http://trademark.i-assist.jp/data/china/image_1926th/82299622.pdf","82299622")</f>
        <v>82299622</v>
      </c>
      <c r="F1362" s="13" t="s">
        <v>3814</v>
      </c>
      <c r="G1362" s="9" t="s">
        <v>3650</v>
      </c>
      <c r="H1362" s="9" t="s">
        <v>3815</v>
      </c>
      <c r="I1362" s="10">
        <v>45628</v>
      </c>
    </row>
    <row r="1363" spans="1:9" x14ac:dyDescent="0.15">
      <c r="A1363" s="9">
        <v>1362</v>
      </c>
      <c r="B1363" s="9" t="s">
        <v>9</v>
      </c>
      <c r="C1363" s="9">
        <v>1926</v>
      </c>
      <c r="D1363" s="10">
        <v>45722</v>
      </c>
      <c r="E1363" s="11" t="str">
        <f>+HYPERLINK("http://trademark.i-assist.jp/data/china/image_1926th/82299667.pdf","82299667")</f>
        <v>82299667</v>
      </c>
      <c r="F1363" s="12" t="s">
        <v>3816</v>
      </c>
      <c r="G1363" s="9" t="s">
        <v>3817</v>
      </c>
      <c r="H1363" s="9" t="s">
        <v>3818</v>
      </c>
      <c r="I1363" s="10">
        <v>45628</v>
      </c>
    </row>
    <row r="1364" spans="1:9" x14ac:dyDescent="0.15">
      <c r="A1364" s="9">
        <v>1363</v>
      </c>
      <c r="B1364" s="9" t="s">
        <v>9</v>
      </c>
      <c r="C1364" s="9">
        <v>1926</v>
      </c>
      <c r="D1364" s="10">
        <v>45722</v>
      </c>
      <c r="E1364" s="11" t="str">
        <f>+HYPERLINK("http://trademark.i-assist.jp/data/china/image_1926th/82299766.pdf","82299766")</f>
        <v>82299766</v>
      </c>
      <c r="F1364" s="12" t="s">
        <v>3819</v>
      </c>
      <c r="G1364" s="9" t="s">
        <v>3644</v>
      </c>
      <c r="H1364" s="9" t="s">
        <v>3820</v>
      </c>
      <c r="I1364" s="10">
        <v>45628</v>
      </c>
    </row>
    <row r="1365" spans="1:9" x14ac:dyDescent="0.15">
      <c r="A1365" s="9">
        <v>1364</v>
      </c>
      <c r="B1365" s="9" t="s">
        <v>9</v>
      </c>
      <c r="C1365" s="9">
        <v>1926</v>
      </c>
      <c r="D1365" s="10">
        <v>45722</v>
      </c>
      <c r="E1365" s="11" t="str">
        <f>+HYPERLINK("http://trademark.i-assist.jp/data/china/image_1926th/82299885.pdf","82299885")</f>
        <v>82299885</v>
      </c>
      <c r="F1365" s="9" t="s">
        <v>3821</v>
      </c>
      <c r="G1365" s="9" t="s">
        <v>3822</v>
      </c>
      <c r="H1365" s="9" t="s">
        <v>3823</v>
      </c>
      <c r="I1365" s="10">
        <v>45628</v>
      </c>
    </row>
    <row r="1366" spans="1:9" x14ac:dyDescent="0.15">
      <c r="A1366" s="9">
        <v>1365</v>
      </c>
      <c r="B1366" s="9" t="s">
        <v>9</v>
      </c>
      <c r="C1366" s="9">
        <v>1926</v>
      </c>
      <c r="D1366" s="10">
        <v>45722</v>
      </c>
      <c r="E1366" s="11" t="str">
        <f>+HYPERLINK("http://trademark.i-assist.jp/data/china/image_1926th/82300306.pdf","82300306")</f>
        <v>82300306</v>
      </c>
      <c r="F1366" s="12" t="s">
        <v>3824</v>
      </c>
      <c r="G1366" s="9" t="s">
        <v>3825</v>
      </c>
      <c r="H1366" s="9" t="s">
        <v>3826</v>
      </c>
      <c r="I1366" s="10">
        <v>45628</v>
      </c>
    </row>
    <row r="1367" spans="1:9" x14ac:dyDescent="0.15">
      <c r="A1367" s="9">
        <v>1366</v>
      </c>
      <c r="B1367" s="9" t="s">
        <v>9</v>
      </c>
      <c r="C1367" s="9">
        <v>1926</v>
      </c>
      <c r="D1367" s="10">
        <v>45722</v>
      </c>
      <c r="E1367" s="11" t="str">
        <f>+HYPERLINK("http://trademark.i-assist.jp/data/china/image_1926th/82300539.pdf","82300539")</f>
        <v>82300539</v>
      </c>
      <c r="F1367" s="9" t="s">
        <v>3827</v>
      </c>
      <c r="G1367" s="9" t="s">
        <v>3828</v>
      </c>
      <c r="H1367" s="9" t="s">
        <v>3829</v>
      </c>
      <c r="I1367" s="10">
        <v>45628</v>
      </c>
    </row>
    <row r="1368" spans="1:9" x14ac:dyDescent="0.15">
      <c r="A1368" s="9">
        <v>1367</v>
      </c>
      <c r="B1368" s="9" t="s">
        <v>9</v>
      </c>
      <c r="C1368" s="9">
        <v>1926</v>
      </c>
      <c r="D1368" s="10">
        <v>45722</v>
      </c>
      <c r="E1368" s="11" t="str">
        <f>+HYPERLINK("http://trademark.i-assist.jp/data/china/image_1926th/82301559.pdf","82301559")</f>
        <v>82301559</v>
      </c>
      <c r="F1368" s="9" t="s">
        <v>3830</v>
      </c>
      <c r="G1368" s="9" t="s">
        <v>3825</v>
      </c>
      <c r="H1368" s="12" t="s">
        <v>3831</v>
      </c>
      <c r="I1368" s="10">
        <v>45628</v>
      </c>
    </row>
    <row r="1369" spans="1:9" x14ac:dyDescent="0.15">
      <c r="A1369" s="9">
        <v>1368</v>
      </c>
      <c r="B1369" s="9" t="s">
        <v>9</v>
      </c>
      <c r="C1369" s="9">
        <v>1926</v>
      </c>
      <c r="D1369" s="10">
        <v>45722</v>
      </c>
      <c r="E1369" s="11" t="str">
        <f>+HYPERLINK("http://trademark.i-assist.jp/data/china/image_1926th/82301680.pdf","82301680")</f>
        <v>82301680</v>
      </c>
      <c r="F1369" s="12" t="s">
        <v>3832</v>
      </c>
      <c r="G1369" s="9" t="s">
        <v>3720</v>
      </c>
      <c r="H1369" s="9" t="s">
        <v>3833</v>
      </c>
      <c r="I1369" s="10">
        <v>45628</v>
      </c>
    </row>
    <row r="1370" spans="1:9" x14ac:dyDescent="0.15">
      <c r="A1370" s="9">
        <v>1369</v>
      </c>
      <c r="B1370" s="9" t="s">
        <v>9</v>
      </c>
      <c r="C1370" s="9">
        <v>1926</v>
      </c>
      <c r="D1370" s="10">
        <v>45722</v>
      </c>
      <c r="E1370" s="11" t="str">
        <f>+HYPERLINK("http://trademark.i-assist.jp/data/china/image_1926th/82301688.pdf","82301688")</f>
        <v>82301688</v>
      </c>
      <c r="F1370" s="9" t="s">
        <v>3834</v>
      </c>
      <c r="G1370" s="9" t="s">
        <v>3720</v>
      </c>
      <c r="H1370" s="9" t="s">
        <v>3835</v>
      </c>
      <c r="I1370" s="10">
        <v>45628</v>
      </c>
    </row>
    <row r="1371" spans="1:9" x14ac:dyDescent="0.15">
      <c r="A1371" s="9">
        <v>1370</v>
      </c>
      <c r="B1371" s="9" t="s">
        <v>9</v>
      </c>
      <c r="C1371" s="9">
        <v>1926</v>
      </c>
      <c r="D1371" s="10">
        <v>45722</v>
      </c>
      <c r="E1371" s="11" t="str">
        <f>+HYPERLINK("http://trademark.i-assist.jp/data/china/image_1926th/82301720.pdf","82301720")</f>
        <v>82301720</v>
      </c>
      <c r="F1371" s="12" t="s">
        <v>3836</v>
      </c>
      <c r="G1371" s="9" t="s">
        <v>3720</v>
      </c>
      <c r="H1371" s="9" t="s">
        <v>3837</v>
      </c>
      <c r="I1371" s="10">
        <v>45628</v>
      </c>
    </row>
    <row r="1372" spans="1:9" x14ac:dyDescent="0.15">
      <c r="A1372" s="9">
        <v>1371</v>
      </c>
      <c r="B1372" s="9" t="s">
        <v>9</v>
      </c>
      <c r="C1372" s="9">
        <v>1926</v>
      </c>
      <c r="D1372" s="10">
        <v>45722</v>
      </c>
      <c r="E1372" s="11" t="str">
        <f>+HYPERLINK("http://trademark.i-assist.jp/data/china/image_1926th/82301754.pdf","82301754")</f>
        <v>82301754</v>
      </c>
      <c r="F1372" s="9" t="s">
        <v>3838</v>
      </c>
      <c r="G1372" s="9" t="s">
        <v>3825</v>
      </c>
      <c r="H1372" s="9" t="s">
        <v>3839</v>
      </c>
      <c r="I1372" s="10">
        <v>45628</v>
      </c>
    </row>
    <row r="1373" spans="1:9" x14ac:dyDescent="0.15">
      <c r="A1373" s="9">
        <v>1372</v>
      </c>
      <c r="B1373" s="9" t="s">
        <v>9</v>
      </c>
      <c r="C1373" s="9">
        <v>1926</v>
      </c>
      <c r="D1373" s="10">
        <v>45722</v>
      </c>
      <c r="E1373" s="11" t="str">
        <f>+HYPERLINK("http://trademark.i-assist.jp/data/china/image_1926th/82301806.pdf","82301806")</f>
        <v>82301806</v>
      </c>
      <c r="F1373" s="9" t="s">
        <v>3840</v>
      </c>
      <c r="G1373" s="9" t="s">
        <v>3841</v>
      </c>
      <c r="H1373" s="9" t="s">
        <v>3842</v>
      </c>
      <c r="I1373" s="10">
        <v>45628</v>
      </c>
    </row>
    <row r="1374" spans="1:9" x14ac:dyDescent="0.15">
      <c r="A1374" s="9">
        <v>1373</v>
      </c>
      <c r="B1374" s="9" t="s">
        <v>9</v>
      </c>
      <c r="C1374" s="9">
        <v>1926</v>
      </c>
      <c r="D1374" s="10">
        <v>45722</v>
      </c>
      <c r="E1374" s="11" t="str">
        <f>+HYPERLINK("http://trademark.i-assist.jp/data/china/image_1926th/82301916.pdf","82301916")</f>
        <v>82301916</v>
      </c>
      <c r="F1374" s="9" t="s">
        <v>3843</v>
      </c>
      <c r="G1374" s="9" t="s">
        <v>3717</v>
      </c>
      <c r="H1374" s="9" t="s">
        <v>3844</v>
      </c>
      <c r="I1374" s="10">
        <v>45628</v>
      </c>
    </row>
    <row r="1375" spans="1:9" x14ac:dyDescent="0.15">
      <c r="A1375" s="9">
        <v>1374</v>
      </c>
      <c r="B1375" s="9" t="s">
        <v>9</v>
      </c>
      <c r="C1375" s="9">
        <v>1926</v>
      </c>
      <c r="D1375" s="10">
        <v>45722</v>
      </c>
      <c r="E1375" s="11" t="str">
        <f>+HYPERLINK("http://trademark.i-assist.jp/data/china/image_1926th/82301981.pdf","82301981")</f>
        <v>82301981</v>
      </c>
      <c r="F1375" s="9" t="s">
        <v>3845</v>
      </c>
      <c r="G1375" s="9" t="s">
        <v>3744</v>
      </c>
      <c r="H1375" s="12" t="s">
        <v>3846</v>
      </c>
      <c r="I1375" s="10">
        <v>45628</v>
      </c>
    </row>
    <row r="1376" spans="1:9" x14ac:dyDescent="0.15">
      <c r="A1376" s="9">
        <v>1375</v>
      </c>
      <c r="B1376" s="9" t="s">
        <v>9</v>
      </c>
      <c r="C1376" s="9">
        <v>1926</v>
      </c>
      <c r="D1376" s="10">
        <v>45722</v>
      </c>
      <c r="E1376" s="11" t="str">
        <f>+HYPERLINK("http://trademark.i-assist.jp/data/china/image_1926th/82302170.pdf","82302170")</f>
        <v>82302170</v>
      </c>
      <c r="F1376" s="9" t="s">
        <v>3847</v>
      </c>
      <c r="G1376" s="9" t="s">
        <v>3848</v>
      </c>
      <c r="H1376" s="9" t="s">
        <v>3849</v>
      </c>
      <c r="I1376" s="10">
        <v>45628</v>
      </c>
    </row>
    <row r="1377" spans="1:9" x14ac:dyDescent="0.15">
      <c r="A1377" s="9">
        <v>1376</v>
      </c>
      <c r="B1377" s="9" t="s">
        <v>9</v>
      </c>
      <c r="C1377" s="9">
        <v>1926</v>
      </c>
      <c r="D1377" s="10">
        <v>45722</v>
      </c>
      <c r="E1377" s="11" t="str">
        <f>+HYPERLINK("http://trademark.i-assist.jp/data/china/image_1926th/82302435.pdf","82302435")</f>
        <v>82302435</v>
      </c>
      <c r="F1377" s="12" t="s">
        <v>3850</v>
      </c>
      <c r="G1377" s="9" t="s">
        <v>3851</v>
      </c>
      <c r="H1377" s="9" t="s">
        <v>3852</v>
      </c>
      <c r="I1377" s="10">
        <v>45628</v>
      </c>
    </row>
    <row r="1378" spans="1:9" x14ac:dyDescent="0.15">
      <c r="A1378" s="9">
        <v>1377</v>
      </c>
      <c r="B1378" s="9" t="s">
        <v>9</v>
      </c>
      <c r="C1378" s="9">
        <v>1926</v>
      </c>
      <c r="D1378" s="10">
        <v>45722</v>
      </c>
      <c r="E1378" s="11" t="str">
        <f>+HYPERLINK("http://trademark.i-assist.jp/data/china/image_1926th/82302666.pdf","82302666")</f>
        <v>82302666</v>
      </c>
      <c r="F1378" s="9" t="s">
        <v>3853</v>
      </c>
      <c r="G1378" s="9" t="s">
        <v>3854</v>
      </c>
      <c r="H1378" s="9" t="s">
        <v>3855</v>
      </c>
      <c r="I1378" s="10">
        <v>45628</v>
      </c>
    </row>
    <row r="1379" spans="1:9" x14ac:dyDescent="0.15">
      <c r="A1379" s="9">
        <v>1378</v>
      </c>
      <c r="B1379" s="9" t="s">
        <v>9</v>
      </c>
      <c r="C1379" s="9">
        <v>1926</v>
      </c>
      <c r="D1379" s="10">
        <v>45722</v>
      </c>
      <c r="E1379" s="11" t="str">
        <f>+HYPERLINK("http://trademark.i-assist.jp/data/china/image_1926th/82302813.pdf","82302813")</f>
        <v>82302813</v>
      </c>
      <c r="F1379" s="9" t="s">
        <v>3856</v>
      </c>
      <c r="G1379" s="12" t="s">
        <v>112</v>
      </c>
      <c r="H1379" s="9" t="s">
        <v>3857</v>
      </c>
      <c r="I1379" s="10">
        <v>45628</v>
      </c>
    </row>
    <row r="1380" spans="1:9" x14ac:dyDescent="0.15">
      <c r="A1380" s="9">
        <v>1379</v>
      </c>
      <c r="B1380" s="9" t="s">
        <v>9</v>
      </c>
      <c r="C1380" s="9">
        <v>1926</v>
      </c>
      <c r="D1380" s="10">
        <v>45722</v>
      </c>
      <c r="E1380" s="11" t="str">
        <f>+HYPERLINK("http://trademark.i-assist.jp/data/china/image_1926th/82302932.pdf","82302932")</f>
        <v>82302932</v>
      </c>
      <c r="F1380" s="9" t="s">
        <v>3858</v>
      </c>
      <c r="G1380" s="12" t="s">
        <v>3859</v>
      </c>
      <c r="H1380" s="9" t="s">
        <v>3860</v>
      </c>
      <c r="I1380" s="10">
        <v>45628</v>
      </c>
    </row>
    <row r="1381" spans="1:9" x14ac:dyDescent="0.15">
      <c r="A1381" s="9">
        <v>1380</v>
      </c>
      <c r="B1381" s="9" t="s">
        <v>9</v>
      </c>
      <c r="C1381" s="9">
        <v>1926</v>
      </c>
      <c r="D1381" s="10">
        <v>45722</v>
      </c>
      <c r="E1381" s="11" t="str">
        <f>+HYPERLINK("http://trademark.i-assist.jp/data/china/image_1926th/82303212.pdf","82303212")</f>
        <v>82303212</v>
      </c>
      <c r="F1381" s="9" t="s">
        <v>3861</v>
      </c>
      <c r="G1381" s="9" t="s">
        <v>3862</v>
      </c>
      <c r="H1381" s="9" t="s">
        <v>3863</v>
      </c>
      <c r="I1381" s="10">
        <v>45628</v>
      </c>
    </row>
    <row r="1382" spans="1:9" x14ac:dyDescent="0.15">
      <c r="A1382" s="9">
        <v>1381</v>
      </c>
      <c r="B1382" s="9" t="s">
        <v>9</v>
      </c>
      <c r="C1382" s="9">
        <v>1926</v>
      </c>
      <c r="D1382" s="10">
        <v>45722</v>
      </c>
      <c r="E1382" s="11" t="str">
        <f>+HYPERLINK("http://trademark.i-assist.jp/data/china/image_1926th/82303539.pdf","82303539")</f>
        <v>82303539</v>
      </c>
      <c r="F1382" s="9" t="s">
        <v>3864</v>
      </c>
      <c r="G1382" s="9" t="s">
        <v>3865</v>
      </c>
      <c r="H1382" s="9" t="s">
        <v>3866</v>
      </c>
      <c r="I1382" s="10">
        <v>45628</v>
      </c>
    </row>
    <row r="1383" spans="1:9" x14ac:dyDescent="0.15">
      <c r="A1383" s="9">
        <v>1382</v>
      </c>
      <c r="B1383" s="9" t="s">
        <v>9</v>
      </c>
      <c r="C1383" s="9">
        <v>1926</v>
      </c>
      <c r="D1383" s="10">
        <v>45722</v>
      </c>
      <c r="E1383" s="11" t="str">
        <f>+HYPERLINK("http://trademark.i-assist.jp/data/china/image_1926th/82303968.pdf","82303968")</f>
        <v>82303968</v>
      </c>
      <c r="F1383" s="9" t="s">
        <v>3867</v>
      </c>
      <c r="G1383" s="9" t="s">
        <v>3868</v>
      </c>
      <c r="H1383" s="9" t="s">
        <v>3869</v>
      </c>
      <c r="I1383" s="10">
        <v>45628</v>
      </c>
    </row>
    <row r="1384" spans="1:9" x14ac:dyDescent="0.15">
      <c r="A1384" s="9">
        <v>1383</v>
      </c>
      <c r="B1384" s="9" t="s">
        <v>9</v>
      </c>
      <c r="C1384" s="9">
        <v>1926</v>
      </c>
      <c r="D1384" s="10">
        <v>45722</v>
      </c>
      <c r="E1384" s="11" t="str">
        <f>+HYPERLINK("http://trademark.i-assist.jp/data/china/image_1926th/82304032.pdf","82304032")</f>
        <v>82304032</v>
      </c>
      <c r="F1384" s="9" t="s">
        <v>3870</v>
      </c>
      <c r="G1384" s="9" t="s">
        <v>3871</v>
      </c>
      <c r="H1384" s="9" t="s">
        <v>3872</v>
      </c>
      <c r="I1384" s="10">
        <v>45628</v>
      </c>
    </row>
    <row r="1385" spans="1:9" x14ac:dyDescent="0.15">
      <c r="A1385" s="9">
        <v>1384</v>
      </c>
      <c r="B1385" s="9" t="s">
        <v>9</v>
      </c>
      <c r="C1385" s="9">
        <v>1926</v>
      </c>
      <c r="D1385" s="10">
        <v>45722</v>
      </c>
      <c r="E1385" s="11" t="str">
        <f>+HYPERLINK("http://trademark.i-assist.jp/data/china/image_1926th/82304205.pdf","82304205")</f>
        <v>82304205</v>
      </c>
      <c r="F1385" s="9" t="s">
        <v>3873</v>
      </c>
      <c r="G1385" s="12" t="s">
        <v>3874</v>
      </c>
      <c r="H1385" s="9" t="s">
        <v>3875</v>
      </c>
      <c r="I1385" s="10">
        <v>45628</v>
      </c>
    </row>
    <row r="1386" spans="1:9" x14ac:dyDescent="0.15">
      <c r="A1386" s="9">
        <v>1385</v>
      </c>
      <c r="B1386" s="9" t="s">
        <v>9</v>
      </c>
      <c r="C1386" s="9">
        <v>1926</v>
      </c>
      <c r="D1386" s="10">
        <v>45722</v>
      </c>
      <c r="E1386" s="11" t="str">
        <f>+HYPERLINK("http://trademark.i-assist.jp/data/china/image_1926th/82304393.pdf","82304393")</f>
        <v>82304393</v>
      </c>
      <c r="F1386" s="9" t="s">
        <v>3876</v>
      </c>
      <c r="G1386" s="12" t="s">
        <v>3877</v>
      </c>
      <c r="H1386" s="9" t="s">
        <v>3878</v>
      </c>
      <c r="I1386" s="10">
        <v>45628</v>
      </c>
    </row>
    <row r="1387" spans="1:9" x14ac:dyDescent="0.15">
      <c r="A1387" s="9">
        <v>1386</v>
      </c>
      <c r="B1387" s="9" t="s">
        <v>9</v>
      </c>
      <c r="C1387" s="9">
        <v>1926</v>
      </c>
      <c r="D1387" s="10">
        <v>45722</v>
      </c>
      <c r="E1387" s="11" t="str">
        <f>+HYPERLINK("http://trademark.i-assist.jp/data/china/image_1926th/82304528.pdf","82304528")</f>
        <v>82304528</v>
      </c>
      <c r="F1387" s="9" t="s">
        <v>3879</v>
      </c>
      <c r="G1387" s="9" t="s">
        <v>3880</v>
      </c>
      <c r="H1387" s="9" t="s">
        <v>3881</v>
      </c>
      <c r="I1387" s="10">
        <v>45628</v>
      </c>
    </row>
    <row r="1388" spans="1:9" x14ac:dyDescent="0.15">
      <c r="A1388" s="9">
        <v>1387</v>
      </c>
      <c r="B1388" s="9" t="s">
        <v>9</v>
      </c>
      <c r="C1388" s="9">
        <v>1926</v>
      </c>
      <c r="D1388" s="10">
        <v>45722</v>
      </c>
      <c r="E1388" s="11" t="str">
        <f>+HYPERLINK("http://trademark.i-assist.jp/data/china/image_1926th/82304596.pdf","82304596")</f>
        <v>82304596</v>
      </c>
      <c r="F1388" s="9" t="s">
        <v>3882</v>
      </c>
      <c r="G1388" s="12" t="s">
        <v>3883</v>
      </c>
      <c r="H1388" s="9" t="s">
        <v>3884</v>
      </c>
      <c r="I1388" s="10">
        <v>45628</v>
      </c>
    </row>
    <row r="1389" spans="1:9" x14ac:dyDescent="0.15">
      <c r="A1389" s="9">
        <v>1388</v>
      </c>
      <c r="B1389" s="9" t="s">
        <v>9</v>
      </c>
      <c r="C1389" s="9">
        <v>1926</v>
      </c>
      <c r="D1389" s="10">
        <v>45722</v>
      </c>
      <c r="E1389" s="11" t="str">
        <f>+HYPERLINK("http://trademark.i-assist.jp/data/china/image_1926th/82304792.pdf","82304792")</f>
        <v>82304792</v>
      </c>
      <c r="F1389" s="9" t="s">
        <v>3885</v>
      </c>
      <c r="G1389" s="9" t="s">
        <v>3886</v>
      </c>
      <c r="H1389" s="9" t="s">
        <v>3887</v>
      </c>
      <c r="I1389" s="10">
        <v>45628</v>
      </c>
    </row>
    <row r="1390" spans="1:9" x14ac:dyDescent="0.15">
      <c r="A1390" s="9">
        <v>1389</v>
      </c>
      <c r="B1390" s="9" t="s">
        <v>9</v>
      </c>
      <c r="C1390" s="9">
        <v>1926</v>
      </c>
      <c r="D1390" s="10">
        <v>45722</v>
      </c>
      <c r="E1390" s="11" t="str">
        <f>+HYPERLINK("http://trademark.i-assist.jp/data/china/image_1926th/82304916.pdf","82304916")</f>
        <v>82304916</v>
      </c>
      <c r="F1390" s="9" t="s">
        <v>3888</v>
      </c>
      <c r="G1390" s="9" t="s">
        <v>3644</v>
      </c>
      <c r="H1390" s="12" t="s">
        <v>3889</v>
      </c>
      <c r="I1390" s="10">
        <v>45628</v>
      </c>
    </row>
    <row r="1391" spans="1:9" x14ac:dyDescent="0.15">
      <c r="A1391" s="9">
        <v>1390</v>
      </c>
      <c r="B1391" s="9" t="s">
        <v>9</v>
      </c>
      <c r="C1391" s="9">
        <v>1926</v>
      </c>
      <c r="D1391" s="10">
        <v>45722</v>
      </c>
      <c r="E1391" s="11" t="str">
        <f>+HYPERLINK("http://trademark.i-assist.jp/data/china/image_1926th/82304921.pdf","82304921")</f>
        <v>82304921</v>
      </c>
      <c r="F1391" s="9" t="s">
        <v>3890</v>
      </c>
      <c r="G1391" s="9" t="s">
        <v>3644</v>
      </c>
      <c r="H1391" s="9" t="s">
        <v>3891</v>
      </c>
      <c r="I1391" s="10">
        <v>45628</v>
      </c>
    </row>
    <row r="1392" spans="1:9" x14ac:dyDescent="0.15">
      <c r="A1392" s="9">
        <v>1391</v>
      </c>
      <c r="B1392" s="9" t="s">
        <v>9</v>
      </c>
      <c r="C1392" s="9">
        <v>1926</v>
      </c>
      <c r="D1392" s="10">
        <v>45722</v>
      </c>
      <c r="E1392" s="11" t="str">
        <f>+HYPERLINK("http://trademark.i-assist.jp/data/china/image_1926th/82305277.pdf","82305277")</f>
        <v>82305277</v>
      </c>
      <c r="F1392" s="12" t="s">
        <v>20</v>
      </c>
      <c r="G1392" s="9" t="s">
        <v>3892</v>
      </c>
      <c r="H1392" s="9" t="s">
        <v>3893</v>
      </c>
      <c r="I1392" s="10">
        <v>45629</v>
      </c>
    </row>
    <row r="1393" spans="1:9" x14ac:dyDescent="0.15">
      <c r="A1393" s="9">
        <v>1392</v>
      </c>
      <c r="B1393" s="9" t="s">
        <v>9</v>
      </c>
      <c r="C1393" s="9">
        <v>1926</v>
      </c>
      <c r="D1393" s="10">
        <v>45722</v>
      </c>
      <c r="E1393" s="11" t="str">
        <f>+HYPERLINK("http://trademark.i-assist.jp/data/china/image_1926th/82305705.pdf","82305705")</f>
        <v>82305705</v>
      </c>
      <c r="F1393" s="9" t="s">
        <v>3894</v>
      </c>
      <c r="G1393" s="12" t="s">
        <v>3895</v>
      </c>
      <c r="H1393" s="9" t="s">
        <v>3896</v>
      </c>
      <c r="I1393" s="10">
        <v>45629</v>
      </c>
    </row>
    <row r="1394" spans="1:9" x14ac:dyDescent="0.15">
      <c r="A1394" s="9">
        <v>1393</v>
      </c>
      <c r="B1394" s="9" t="s">
        <v>9</v>
      </c>
      <c r="C1394" s="9">
        <v>1926</v>
      </c>
      <c r="D1394" s="10">
        <v>45722</v>
      </c>
      <c r="E1394" s="11" t="str">
        <f>+HYPERLINK("http://trademark.i-assist.jp/data/china/image_1926th/82306133.pdf","82306133")</f>
        <v>82306133</v>
      </c>
      <c r="F1394" s="9" t="s">
        <v>3897</v>
      </c>
      <c r="G1394" s="9" t="s">
        <v>3898</v>
      </c>
      <c r="H1394" s="9" t="s">
        <v>3899</v>
      </c>
      <c r="I1394" s="10">
        <v>45629</v>
      </c>
    </row>
    <row r="1395" spans="1:9" x14ac:dyDescent="0.15">
      <c r="A1395" s="9">
        <v>1394</v>
      </c>
      <c r="B1395" s="9" t="s">
        <v>9</v>
      </c>
      <c r="C1395" s="9">
        <v>1926</v>
      </c>
      <c r="D1395" s="10">
        <v>45722</v>
      </c>
      <c r="E1395" s="11" t="str">
        <f>+HYPERLINK("http://trademark.i-assist.jp/data/china/image_1926th/82306333.pdf","82306333")</f>
        <v>82306333</v>
      </c>
      <c r="F1395" s="12" t="s">
        <v>3900</v>
      </c>
      <c r="G1395" s="9" t="s">
        <v>3901</v>
      </c>
      <c r="H1395" s="9" t="s">
        <v>3902</v>
      </c>
      <c r="I1395" s="10">
        <v>45629</v>
      </c>
    </row>
    <row r="1396" spans="1:9" x14ac:dyDescent="0.15">
      <c r="A1396" s="9">
        <v>1395</v>
      </c>
      <c r="B1396" s="9" t="s">
        <v>9</v>
      </c>
      <c r="C1396" s="9">
        <v>1926</v>
      </c>
      <c r="D1396" s="10">
        <v>45722</v>
      </c>
      <c r="E1396" s="11" t="str">
        <f>+HYPERLINK("http://trademark.i-assist.jp/data/china/image_1926th/82306510.pdf","82306510")</f>
        <v>82306510</v>
      </c>
      <c r="F1396" s="9" t="s">
        <v>3903</v>
      </c>
      <c r="G1396" s="9" t="s">
        <v>3904</v>
      </c>
      <c r="H1396" s="9" t="s">
        <v>3905</v>
      </c>
      <c r="I1396" s="10">
        <v>45629</v>
      </c>
    </row>
    <row r="1397" spans="1:9" x14ac:dyDescent="0.15">
      <c r="A1397" s="9">
        <v>1396</v>
      </c>
      <c r="B1397" s="9" t="s">
        <v>9</v>
      </c>
      <c r="C1397" s="9">
        <v>1926</v>
      </c>
      <c r="D1397" s="10">
        <v>45722</v>
      </c>
      <c r="E1397" s="11" t="str">
        <f>+HYPERLINK("http://trademark.i-assist.jp/data/china/image_1926th/82307099.pdf","82307099")</f>
        <v>82307099</v>
      </c>
      <c r="F1397" s="12" t="s">
        <v>3906</v>
      </c>
      <c r="G1397" s="9" t="s">
        <v>3907</v>
      </c>
      <c r="H1397" s="9" t="s">
        <v>3908</v>
      </c>
      <c r="I1397" s="10">
        <v>45629</v>
      </c>
    </row>
    <row r="1398" spans="1:9" x14ac:dyDescent="0.15">
      <c r="A1398" s="9">
        <v>1397</v>
      </c>
      <c r="B1398" s="9" t="s">
        <v>9</v>
      </c>
      <c r="C1398" s="9">
        <v>1926</v>
      </c>
      <c r="D1398" s="10">
        <v>45722</v>
      </c>
      <c r="E1398" s="11" t="str">
        <f>+HYPERLINK("http://trademark.i-assist.jp/data/china/image_1926th/82307119.pdf","82307119")</f>
        <v>82307119</v>
      </c>
      <c r="F1398" s="9" t="s">
        <v>3909</v>
      </c>
      <c r="G1398" s="9" t="s">
        <v>3910</v>
      </c>
      <c r="H1398" s="9" t="s">
        <v>3911</v>
      </c>
      <c r="I1398" s="10">
        <v>45629</v>
      </c>
    </row>
    <row r="1399" spans="1:9" x14ac:dyDescent="0.15">
      <c r="A1399" s="9">
        <v>1398</v>
      </c>
      <c r="B1399" s="9" t="s">
        <v>9</v>
      </c>
      <c r="C1399" s="9">
        <v>1926</v>
      </c>
      <c r="D1399" s="10">
        <v>45722</v>
      </c>
      <c r="E1399" s="11" t="str">
        <f>+HYPERLINK("http://trademark.i-assist.jp/data/china/image_1926th/82307161.pdf","82307161")</f>
        <v>82307161</v>
      </c>
      <c r="F1399" s="9" t="s">
        <v>3912</v>
      </c>
      <c r="G1399" s="9" t="s">
        <v>3907</v>
      </c>
      <c r="H1399" s="9" t="s">
        <v>3913</v>
      </c>
      <c r="I1399" s="10">
        <v>45629</v>
      </c>
    </row>
    <row r="1400" spans="1:9" x14ac:dyDescent="0.15">
      <c r="A1400" s="9">
        <v>1399</v>
      </c>
      <c r="B1400" s="9" t="s">
        <v>9</v>
      </c>
      <c r="C1400" s="9">
        <v>1926</v>
      </c>
      <c r="D1400" s="10">
        <v>45722</v>
      </c>
      <c r="E1400" s="11" t="str">
        <f>+HYPERLINK("http://trademark.i-assist.jp/data/china/image_1926th/82307223.pdf","82307223")</f>
        <v>82307223</v>
      </c>
      <c r="F1400" s="12" t="s">
        <v>3914</v>
      </c>
      <c r="G1400" s="9" t="s">
        <v>3915</v>
      </c>
      <c r="H1400" s="9" t="s">
        <v>3916</v>
      </c>
      <c r="I1400" s="10">
        <v>45629</v>
      </c>
    </row>
    <row r="1401" spans="1:9" x14ac:dyDescent="0.15">
      <c r="A1401" s="9">
        <v>1400</v>
      </c>
      <c r="B1401" s="9" t="s">
        <v>9</v>
      </c>
      <c r="C1401" s="9">
        <v>1926</v>
      </c>
      <c r="D1401" s="10">
        <v>45722</v>
      </c>
      <c r="E1401" s="11" t="str">
        <f>+HYPERLINK("http://trademark.i-assist.jp/data/china/image_1926th/82307401.pdf","82307401")</f>
        <v>82307401</v>
      </c>
      <c r="F1401" s="9" t="s">
        <v>3917</v>
      </c>
      <c r="G1401" s="9" t="s">
        <v>3918</v>
      </c>
      <c r="H1401" s="9" t="s">
        <v>3919</v>
      </c>
      <c r="I1401" s="10">
        <v>45629</v>
      </c>
    </row>
    <row r="1402" spans="1:9" x14ac:dyDescent="0.15">
      <c r="A1402" s="9">
        <v>1401</v>
      </c>
      <c r="B1402" s="9" t="s">
        <v>9</v>
      </c>
      <c r="C1402" s="9">
        <v>1926</v>
      </c>
      <c r="D1402" s="10">
        <v>45722</v>
      </c>
      <c r="E1402" s="11" t="str">
        <f>+HYPERLINK("http://trademark.i-assist.jp/data/china/image_1926th/82307436.pdf","82307436")</f>
        <v>82307436</v>
      </c>
      <c r="F1402" s="9" t="s">
        <v>3920</v>
      </c>
      <c r="G1402" s="9" t="s">
        <v>3921</v>
      </c>
      <c r="H1402" s="9" t="s">
        <v>3922</v>
      </c>
      <c r="I1402" s="10">
        <v>45629</v>
      </c>
    </row>
    <row r="1403" spans="1:9" x14ac:dyDescent="0.15">
      <c r="A1403" s="9">
        <v>1402</v>
      </c>
      <c r="B1403" s="9" t="s">
        <v>9</v>
      </c>
      <c r="C1403" s="9">
        <v>1926</v>
      </c>
      <c r="D1403" s="10">
        <v>45722</v>
      </c>
      <c r="E1403" s="11" t="str">
        <f>+HYPERLINK("http://trademark.i-assist.jp/data/china/image_1926th/82307574.pdf","82307574")</f>
        <v>82307574</v>
      </c>
      <c r="F1403" s="12" t="s">
        <v>3923</v>
      </c>
      <c r="G1403" s="12" t="s">
        <v>3924</v>
      </c>
      <c r="H1403" s="9" t="s">
        <v>3925</v>
      </c>
      <c r="I1403" s="10">
        <v>45629</v>
      </c>
    </row>
    <row r="1404" spans="1:9" x14ac:dyDescent="0.15">
      <c r="A1404" s="9">
        <v>1403</v>
      </c>
      <c r="B1404" s="9" t="s">
        <v>9</v>
      </c>
      <c r="C1404" s="9">
        <v>1926</v>
      </c>
      <c r="D1404" s="10">
        <v>45722</v>
      </c>
      <c r="E1404" s="11" t="str">
        <f>+HYPERLINK("http://trademark.i-assist.jp/data/china/image_1926th/82307675.pdf","82307675")</f>
        <v>82307675</v>
      </c>
      <c r="F1404" s="9" t="s">
        <v>3926</v>
      </c>
      <c r="G1404" s="9" t="s">
        <v>3927</v>
      </c>
      <c r="H1404" s="9" t="s">
        <v>3928</v>
      </c>
      <c r="I1404" s="10">
        <v>45629</v>
      </c>
    </row>
    <row r="1405" spans="1:9" x14ac:dyDescent="0.15">
      <c r="A1405" s="9">
        <v>1404</v>
      </c>
      <c r="B1405" s="9" t="s">
        <v>9</v>
      </c>
      <c r="C1405" s="9">
        <v>1926</v>
      </c>
      <c r="D1405" s="10">
        <v>45722</v>
      </c>
      <c r="E1405" s="11" t="str">
        <f>+HYPERLINK("http://trademark.i-assist.jp/data/china/image_1926th/82307824.pdf","82307824")</f>
        <v>82307824</v>
      </c>
      <c r="F1405" s="9" t="s">
        <v>3929</v>
      </c>
      <c r="G1405" s="9" t="s">
        <v>168</v>
      </c>
      <c r="H1405" s="9" t="s">
        <v>3930</v>
      </c>
      <c r="I1405" s="10">
        <v>45629</v>
      </c>
    </row>
    <row r="1406" spans="1:9" x14ac:dyDescent="0.15">
      <c r="A1406" s="9">
        <v>1405</v>
      </c>
      <c r="B1406" s="9" t="s">
        <v>9</v>
      </c>
      <c r="C1406" s="9">
        <v>1926</v>
      </c>
      <c r="D1406" s="10">
        <v>45722</v>
      </c>
      <c r="E1406" s="11" t="str">
        <f>+HYPERLINK("http://trademark.i-assist.jp/data/china/image_1926th/82307893.pdf","82307893")</f>
        <v>82307893</v>
      </c>
      <c r="F1406" s="9" t="s">
        <v>3931</v>
      </c>
      <c r="G1406" s="9" t="s">
        <v>175</v>
      </c>
      <c r="H1406" s="9" t="s">
        <v>3932</v>
      </c>
      <c r="I1406" s="10">
        <v>45629</v>
      </c>
    </row>
    <row r="1407" spans="1:9" x14ac:dyDescent="0.15">
      <c r="A1407" s="9">
        <v>1406</v>
      </c>
      <c r="B1407" s="9" t="s">
        <v>9</v>
      </c>
      <c r="C1407" s="9">
        <v>1926</v>
      </c>
      <c r="D1407" s="10">
        <v>45722</v>
      </c>
      <c r="E1407" s="11" t="str">
        <f>+HYPERLINK("http://trademark.i-assist.jp/data/china/image_1926th/82308185.pdf","82308185")</f>
        <v>82308185</v>
      </c>
      <c r="F1407" s="9" t="s">
        <v>3933</v>
      </c>
      <c r="G1407" s="9" t="s">
        <v>200</v>
      </c>
      <c r="H1407" s="9" t="s">
        <v>10</v>
      </c>
      <c r="I1407" s="10">
        <v>45629</v>
      </c>
    </row>
    <row r="1408" spans="1:9" x14ac:dyDescent="0.15">
      <c r="A1408" s="9">
        <v>1407</v>
      </c>
      <c r="B1408" s="9" t="s">
        <v>9</v>
      </c>
      <c r="C1408" s="9">
        <v>1926</v>
      </c>
      <c r="D1408" s="10">
        <v>45722</v>
      </c>
      <c r="E1408" s="11" t="str">
        <f>+HYPERLINK("http://trademark.i-assist.jp/data/china/image_1926th/82308219.pdf","82308219")</f>
        <v>82308219</v>
      </c>
      <c r="F1408" s="12" t="s">
        <v>20</v>
      </c>
      <c r="G1408" s="9" t="s">
        <v>3934</v>
      </c>
      <c r="H1408" s="9" t="s">
        <v>3935</v>
      </c>
      <c r="I1408" s="10">
        <v>45629</v>
      </c>
    </row>
    <row r="1409" spans="1:9" x14ac:dyDescent="0.15">
      <c r="A1409" s="9">
        <v>1408</v>
      </c>
      <c r="B1409" s="9" t="s">
        <v>9</v>
      </c>
      <c r="C1409" s="9">
        <v>1926</v>
      </c>
      <c r="D1409" s="10">
        <v>45722</v>
      </c>
      <c r="E1409" s="11" t="str">
        <f>+HYPERLINK("http://trademark.i-assist.jp/data/china/image_1926th/82308468.pdf","82308468")</f>
        <v>82308468</v>
      </c>
      <c r="F1409" s="9" t="s">
        <v>3936</v>
      </c>
      <c r="G1409" s="12" t="s">
        <v>3937</v>
      </c>
      <c r="H1409" s="9" t="s">
        <v>3938</v>
      </c>
      <c r="I1409" s="10">
        <v>45629</v>
      </c>
    </row>
    <row r="1410" spans="1:9" x14ac:dyDescent="0.15">
      <c r="A1410" s="9">
        <v>1409</v>
      </c>
      <c r="B1410" s="9" t="s">
        <v>9</v>
      </c>
      <c r="C1410" s="9">
        <v>1926</v>
      </c>
      <c r="D1410" s="10">
        <v>45722</v>
      </c>
      <c r="E1410" s="11" t="str">
        <f>+HYPERLINK("http://trademark.i-assist.jp/data/china/image_1926th/82308586.pdf","82308586")</f>
        <v>82308586</v>
      </c>
      <c r="F1410" s="9" t="s">
        <v>3939</v>
      </c>
      <c r="G1410" s="9" t="s">
        <v>3898</v>
      </c>
      <c r="H1410" s="9" t="s">
        <v>3940</v>
      </c>
      <c r="I1410" s="10">
        <v>45629</v>
      </c>
    </row>
    <row r="1411" spans="1:9" x14ac:dyDescent="0.15">
      <c r="A1411" s="9">
        <v>1410</v>
      </c>
      <c r="B1411" s="9" t="s">
        <v>9</v>
      </c>
      <c r="C1411" s="9">
        <v>1926</v>
      </c>
      <c r="D1411" s="10">
        <v>45722</v>
      </c>
      <c r="E1411" s="11" t="str">
        <f>+HYPERLINK("http://trademark.i-assist.jp/data/china/image_1926th/82308995.pdf","82308995")</f>
        <v>82308995</v>
      </c>
      <c r="F1411" s="12" t="s">
        <v>3941</v>
      </c>
      <c r="G1411" s="9" t="s">
        <v>3942</v>
      </c>
      <c r="H1411" s="9" t="s">
        <v>3943</v>
      </c>
      <c r="I1411" s="10">
        <v>45629</v>
      </c>
    </row>
    <row r="1412" spans="1:9" x14ac:dyDescent="0.15">
      <c r="A1412" s="9">
        <v>1411</v>
      </c>
      <c r="B1412" s="9" t="s">
        <v>9</v>
      </c>
      <c r="C1412" s="9">
        <v>1926</v>
      </c>
      <c r="D1412" s="10">
        <v>45722</v>
      </c>
      <c r="E1412" s="11" t="str">
        <f>+HYPERLINK("http://trademark.i-assist.jp/data/china/image_1926th/82309180.pdf","82309180")</f>
        <v>82309180</v>
      </c>
      <c r="F1412" s="12" t="s">
        <v>3944</v>
      </c>
      <c r="G1412" s="9" t="s">
        <v>3945</v>
      </c>
      <c r="H1412" s="9" t="s">
        <v>3946</v>
      </c>
      <c r="I1412" s="10">
        <v>45629</v>
      </c>
    </row>
    <row r="1413" spans="1:9" x14ac:dyDescent="0.15">
      <c r="A1413" s="9">
        <v>1412</v>
      </c>
      <c r="B1413" s="9" t="s">
        <v>9</v>
      </c>
      <c r="C1413" s="9">
        <v>1926</v>
      </c>
      <c r="D1413" s="10">
        <v>45722</v>
      </c>
      <c r="E1413" s="11" t="str">
        <f>+HYPERLINK("http://trademark.i-assist.jp/data/china/image_1926th/82309982.pdf","82309982")</f>
        <v>82309982</v>
      </c>
      <c r="F1413" s="9" t="s">
        <v>3947</v>
      </c>
      <c r="G1413" s="9" t="s">
        <v>3948</v>
      </c>
      <c r="H1413" s="9" t="s">
        <v>3949</v>
      </c>
      <c r="I1413" s="10">
        <v>45629</v>
      </c>
    </row>
    <row r="1414" spans="1:9" x14ac:dyDescent="0.15">
      <c r="A1414" s="9">
        <v>1413</v>
      </c>
      <c r="B1414" s="9" t="s">
        <v>9</v>
      </c>
      <c r="C1414" s="9">
        <v>1926</v>
      </c>
      <c r="D1414" s="10">
        <v>45722</v>
      </c>
      <c r="E1414" s="11" t="str">
        <f>+HYPERLINK("http://trademark.i-assist.jp/data/china/image_1926th/82310140.pdf","82310140")</f>
        <v>82310140</v>
      </c>
      <c r="F1414" s="12" t="s">
        <v>20</v>
      </c>
      <c r="G1414" s="9" t="s">
        <v>3950</v>
      </c>
      <c r="H1414" s="9" t="s">
        <v>3951</v>
      </c>
      <c r="I1414" s="10">
        <v>45629</v>
      </c>
    </row>
    <row r="1415" spans="1:9" x14ac:dyDescent="0.15">
      <c r="A1415" s="9">
        <v>1414</v>
      </c>
      <c r="B1415" s="9" t="s">
        <v>9</v>
      </c>
      <c r="C1415" s="9">
        <v>1926</v>
      </c>
      <c r="D1415" s="10">
        <v>45722</v>
      </c>
      <c r="E1415" s="11" t="str">
        <f>+HYPERLINK("http://trademark.i-assist.jp/data/china/image_1926th/82310392.pdf","82310392")</f>
        <v>82310392</v>
      </c>
      <c r="F1415" s="9" t="s">
        <v>3952</v>
      </c>
      <c r="G1415" s="9" t="s">
        <v>3953</v>
      </c>
      <c r="H1415" s="9" t="s">
        <v>3954</v>
      </c>
      <c r="I1415" s="10">
        <v>45629</v>
      </c>
    </row>
    <row r="1416" spans="1:9" x14ac:dyDescent="0.15">
      <c r="A1416" s="9">
        <v>1415</v>
      </c>
      <c r="B1416" s="9" t="s">
        <v>9</v>
      </c>
      <c r="C1416" s="9">
        <v>1926</v>
      </c>
      <c r="D1416" s="10">
        <v>45722</v>
      </c>
      <c r="E1416" s="11" t="str">
        <f>+HYPERLINK("http://trademark.i-assist.jp/data/china/image_1926th/82310501.pdf","82310501")</f>
        <v>82310501</v>
      </c>
      <c r="F1416" s="9" t="s">
        <v>3955</v>
      </c>
      <c r="G1416" s="9" t="s">
        <v>3956</v>
      </c>
      <c r="H1416" s="12" t="s">
        <v>3957</v>
      </c>
      <c r="I1416" s="10">
        <v>45629</v>
      </c>
    </row>
    <row r="1417" spans="1:9" x14ac:dyDescent="0.15">
      <c r="A1417" s="9">
        <v>1416</v>
      </c>
      <c r="B1417" s="9" t="s">
        <v>9</v>
      </c>
      <c r="C1417" s="9">
        <v>1926</v>
      </c>
      <c r="D1417" s="10">
        <v>45722</v>
      </c>
      <c r="E1417" s="11" t="str">
        <f>+HYPERLINK("http://trademark.i-assist.jp/data/china/image_1926th/82310550.pdf","82310550")</f>
        <v>82310550</v>
      </c>
      <c r="F1417" s="9" t="s">
        <v>3958</v>
      </c>
      <c r="G1417" s="9" t="s">
        <v>3959</v>
      </c>
      <c r="H1417" s="12" t="s">
        <v>3960</v>
      </c>
      <c r="I1417" s="10">
        <v>45629</v>
      </c>
    </row>
    <row r="1418" spans="1:9" x14ac:dyDescent="0.15">
      <c r="A1418" s="9">
        <v>1417</v>
      </c>
      <c r="B1418" s="9" t="s">
        <v>9</v>
      </c>
      <c r="C1418" s="9">
        <v>1926</v>
      </c>
      <c r="D1418" s="10">
        <v>45722</v>
      </c>
      <c r="E1418" s="11" t="str">
        <f>+HYPERLINK("http://trademark.i-assist.jp/data/china/image_1926th/82311012.pdf","82311012")</f>
        <v>82311012</v>
      </c>
      <c r="F1418" s="9" t="s">
        <v>3961</v>
      </c>
      <c r="G1418" s="12" t="s">
        <v>3962</v>
      </c>
      <c r="H1418" s="9" t="s">
        <v>3963</v>
      </c>
      <c r="I1418" s="10">
        <v>45629</v>
      </c>
    </row>
    <row r="1419" spans="1:9" x14ac:dyDescent="0.15">
      <c r="A1419" s="9">
        <v>1418</v>
      </c>
      <c r="B1419" s="9" t="s">
        <v>9</v>
      </c>
      <c r="C1419" s="9">
        <v>1926</v>
      </c>
      <c r="D1419" s="10">
        <v>45722</v>
      </c>
      <c r="E1419" s="11" t="str">
        <f>+HYPERLINK("http://trademark.i-assist.jp/data/china/image_1926th/82311147.pdf","82311147")</f>
        <v>82311147</v>
      </c>
      <c r="F1419" s="9" t="s">
        <v>3964</v>
      </c>
      <c r="G1419" s="9" t="s">
        <v>170</v>
      </c>
      <c r="H1419" s="9" t="s">
        <v>3965</v>
      </c>
      <c r="I1419" s="10">
        <v>45629</v>
      </c>
    </row>
    <row r="1420" spans="1:9" x14ac:dyDescent="0.15">
      <c r="A1420" s="9">
        <v>1419</v>
      </c>
      <c r="B1420" s="9" t="s">
        <v>9</v>
      </c>
      <c r="C1420" s="9">
        <v>1926</v>
      </c>
      <c r="D1420" s="10">
        <v>45722</v>
      </c>
      <c r="E1420" s="11" t="str">
        <f>+HYPERLINK("http://trademark.i-assist.jp/data/china/image_1926th/82311367.pdf","82311367")</f>
        <v>82311367</v>
      </c>
      <c r="F1420" s="12" t="s">
        <v>3966</v>
      </c>
      <c r="G1420" s="9" t="s">
        <v>170</v>
      </c>
      <c r="H1420" s="12" t="s">
        <v>3967</v>
      </c>
      <c r="I1420" s="10">
        <v>45629</v>
      </c>
    </row>
    <row r="1421" spans="1:9" x14ac:dyDescent="0.15">
      <c r="A1421" s="9">
        <v>1420</v>
      </c>
      <c r="B1421" s="9" t="s">
        <v>9</v>
      </c>
      <c r="C1421" s="9">
        <v>1926</v>
      </c>
      <c r="D1421" s="10">
        <v>45722</v>
      </c>
      <c r="E1421" s="11" t="str">
        <f>+HYPERLINK("http://trademark.i-assist.jp/data/china/image_1926th/82311573.pdf","82311573")</f>
        <v>82311573</v>
      </c>
      <c r="F1421" s="9" t="s">
        <v>3968</v>
      </c>
      <c r="G1421" s="12" t="s">
        <v>3969</v>
      </c>
      <c r="H1421" s="9" t="s">
        <v>3970</v>
      </c>
      <c r="I1421" s="10">
        <v>45629</v>
      </c>
    </row>
    <row r="1422" spans="1:9" x14ac:dyDescent="0.15">
      <c r="A1422" s="9">
        <v>1421</v>
      </c>
      <c r="B1422" s="9" t="s">
        <v>9</v>
      </c>
      <c r="C1422" s="9">
        <v>1926</v>
      </c>
      <c r="D1422" s="10">
        <v>45722</v>
      </c>
      <c r="E1422" s="11" t="str">
        <f>+HYPERLINK("http://trademark.i-assist.jp/data/china/image_1926th/82311627.pdf","82311627")</f>
        <v>82311627</v>
      </c>
      <c r="F1422" s="9" t="s">
        <v>3971</v>
      </c>
      <c r="G1422" s="9" t="s">
        <v>3972</v>
      </c>
      <c r="H1422" s="9" t="s">
        <v>3973</v>
      </c>
      <c r="I1422" s="10">
        <v>45629</v>
      </c>
    </row>
    <row r="1423" spans="1:9" x14ac:dyDescent="0.15">
      <c r="A1423" s="9">
        <v>1422</v>
      </c>
      <c r="B1423" s="9" t="s">
        <v>9</v>
      </c>
      <c r="C1423" s="9">
        <v>1926</v>
      </c>
      <c r="D1423" s="10">
        <v>45722</v>
      </c>
      <c r="E1423" s="11" t="str">
        <f>+HYPERLINK("http://trademark.i-assist.jp/data/china/image_1926th/82312174.pdf","82312174")</f>
        <v>82312174</v>
      </c>
      <c r="F1423" s="9" t="s">
        <v>3974</v>
      </c>
      <c r="G1423" s="9" t="s">
        <v>3975</v>
      </c>
      <c r="H1423" s="9" t="s">
        <v>3976</v>
      </c>
      <c r="I1423" s="10">
        <v>45629</v>
      </c>
    </row>
    <row r="1424" spans="1:9" x14ac:dyDescent="0.15">
      <c r="A1424" s="9">
        <v>1423</v>
      </c>
      <c r="B1424" s="9" t="s">
        <v>9</v>
      </c>
      <c r="C1424" s="9">
        <v>1926</v>
      </c>
      <c r="D1424" s="10">
        <v>45722</v>
      </c>
      <c r="E1424" s="11" t="str">
        <f>+HYPERLINK("http://trademark.i-assist.jp/data/china/image_1926th/82312289.pdf","82312289")</f>
        <v>82312289</v>
      </c>
      <c r="F1424" s="13" t="s">
        <v>3977</v>
      </c>
      <c r="G1424" s="12" t="s">
        <v>3978</v>
      </c>
      <c r="H1424" s="9" t="s">
        <v>3979</v>
      </c>
      <c r="I1424" s="10">
        <v>45629</v>
      </c>
    </row>
    <row r="1425" spans="1:9" x14ac:dyDescent="0.15">
      <c r="A1425" s="9">
        <v>1424</v>
      </c>
      <c r="B1425" s="9" t="s">
        <v>9</v>
      </c>
      <c r="C1425" s="9">
        <v>1926</v>
      </c>
      <c r="D1425" s="10">
        <v>45722</v>
      </c>
      <c r="E1425" s="11" t="str">
        <f>+HYPERLINK("http://trademark.i-assist.jp/data/china/image_1926th/82312597.pdf","82312597")</f>
        <v>82312597</v>
      </c>
      <c r="F1425" s="9" t="s">
        <v>3980</v>
      </c>
      <c r="G1425" s="9" t="s">
        <v>3981</v>
      </c>
      <c r="H1425" s="9" t="s">
        <v>3982</v>
      </c>
      <c r="I1425" s="10">
        <v>45629</v>
      </c>
    </row>
    <row r="1426" spans="1:9" x14ac:dyDescent="0.15">
      <c r="A1426" s="9">
        <v>1425</v>
      </c>
      <c r="B1426" s="9" t="s">
        <v>9</v>
      </c>
      <c r="C1426" s="9">
        <v>1926</v>
      </c>
      <c r="D1426" s="10">
        <v>45722</v>
      </c>
      <c r="E1426" s="11" t="str">
        <f>+HYPERLINK("http://trademark.i-assist.jp/data/china/image_1926th/82312660.pdf","82312660")</f>
        <v>82312660</v>
      </c>
      <c r="F1426" s="9" t="s">
        <v>3983</v>
      </c>
      <c r="G1426" s="9" t="s">
        <v>3509</v>
      </c>
      <c r="H1426" s="9" t="s">
        <v>3984</v>
      </c>
      <c r="I1426" s="10">
        <v>45629</v>
      </c>
    </row>
    <row r="1427" spans="1:9" x14ac:dyDescent="0.15">
      <c r="A1427" s="9">
        <v>1426</v>
      </c>
      <c r="B1427" s="9" t="s">
        <v>9</v>
      </c>
      <c r="C1427" s="9">
        <v>1926</v>
      </c>
      <c r="D1427" s="10">
        <v>45722</v>
      </c>
      <c r="E1427" s="11" t="str">
        <f>+HYPERLINK("http://trademark.i-assist.jp/data/china/image_1926th/82312699.pdf","82312699")</f>
        <v>82312699</v>
      </c>
      <c r="F1427" s="9" t="s">
        <v>3985</v>
      </c>
      <c r="G1427" s="9" t="s">
        <v>3986</v>
      </c>
      <c r="H1427" s="9" t="s">
        <v>3987</v>
      </c>
      <c r="I1427" s="10">
        <v>45629</v>
      </c>
    </row>
    <row r="1428" spans="1:9" x14ac:dyDescent="0.15">
      <c r="A1428" s="9">
        <v>1427</v>
      </c>
      <c r="B1428" s="9" t="s">
        <v>9</v>
      </c>
      <c r="C1428" s="9">
        <v>1926</v>
      </c>
      <c r="D1428" s="10">
        <v>45722</v>
      </c>
      <c r="E1428" s="11" t="str">
        <f>+HYPERLINK("http://trademark.i-assist.jp/data/china/image_1926th/82313069.pdf","82313069")</f>
        <v>82313069</v>
      </c>
      <c r="F1428" s="9" t="s">
        <v>3988</v>
      </c>
      <c r="G1428" s="9" t="s">
        <v>170</v>
      </c>
      <c r="H1428" s="9" t="s">
        <v>3989</v>
      </c>
      <c r="I1428" s="10">
        <v>45629</v>
      </c>
    </row>
    <row r="1429" spans="1:9" x14ac:dyDescent="0.15">
      <c r="A1429" s="9">
        <v>1428</v>
      </c>
      <c r="B1429" s="9" t="s">
        <v>9</v>
      </c>
      <c r="C1429" s="9">
        <v>1926</v>
      </c>
      <c r="D1429" s="10">
        <v>45722</v>
      </c>
      <c r="E1429" s="11" t="str">
        <f>+HYPERLINK("http://trademark.i-assist.jp/data/china/image_1926th/82313072.pdf","82313072")</f>
        <v>82313072</v>
      </c>
      <c r="F1429" s="9" t="s">
        <v>3990</v>
      </c>
      <c r="G1429" s="12" t="s">
        <v>3991</v>
      </c>
      <c r="H1429" s="9" t="s">
        <v>3992</v>
      </c>
      <c r="I1429" s="10">
        <v>45629</v>
      </c>
    </row>
    <row r="1430" spans="1:9" x14ac:dyDescent="0.15">
      <c r="A1430" s="9">
        <v>1429</v>
      </c>
      <c r="B1430" s="9" t="s">
        <v>9</v>
      </c>
      <c r="C1430" s="9">
        <v>1926</v>
      </c>
      <c r="D1430" s="10">
        <v>45722</v>
      </c>
      <c r="E1430" s="11" t="str">
        <f>+HYPERLINK("http://trademark.i-assist.jp/data/china/image_1926th/82313237.pdf","82313237")</f>
        <v>82313237</v>
      </c>
      <c r="F1430" s="9" t="s">
        <v>3993</v>
      </c>
      <c r="G1430" s="9" t="s">
        <v>3994</v>
      </c>
      <c r="H1430" s="9" t="s">
        <v>3995</v>
      </c>
      <c r="I1430" s="10">
        <v>45629</v>
      </c>
    </row>
    <row r="1431" spans="1:9" x14ac:dyDescent="0.15">
      <c r="A1431" s="9">
        <v>1430</v>
      </c>
      <c r="B1431" s="9" t="s">
        <v>9</v>
      </c>
      <c r="C1431" s="9">
        <v>1926</v>
      </c>
      <c r="D1431" s="10">
        <v>45722</v>
      </c>
      <c r="E1431" s="11" t="str">
        <f>+HYPERLINK("http://trademark.i-assist.jp/data/china/image_1926th/82313740.pdf","82313740")</f>
        <v>82313740</v>
      </c>
      <c r="F1431" s="9" t="s">
        <v>3996</v>
      </c>
      <c r="G1431" s="9" t="s">
        <v>26</v>
      </c>
      <c r="H1431" s="12" t="s">
        <v>3997</v>
      </c>
      <c r="I1431" s="10">
        <v>45629</v>
      </c>
    </row>
    <row r="1432" spans="1:9" x14ac:dyDescent="0.15">
      <c r="A1432" s="9">
        <v>1431</v>
      </c>
      <c r="B1432" s="9" t="s">
        <v>9</v>
      </c>
      <c r="C1432" s="9">
        <v>1926</v>
      </c>
      <c r="D1432" s="10">
        <v>45722</v>
      </c>
      <c r="E1432" s="11" t="str">
        <f>+HYPERLINK("http://trademark.i-assist.jp/data/china/image_1926th/82313768.pdf","82313768")</f>
        <v>82313768</v>
      </c>
      <c r="F1432" s="9" t="s">
        <v>3998</v>
      </c>
      <c r="G1432" s="12" t="s">
        <v>3999</v>
      </c>
      <c r="H1432" s="9" t="s">
        <v>4000</v>
      </c>
      <c r="I1432" s="10">
        <v>45629</v>
      </c>
    </row>
    <row r="1433" spans="1:9" x14ac:dyDescent="0.15">
      <c r="A1433" s="9">
        <v>1432</v>
      </c>
      <c r="B1433" s="9" t="s">
        <v>9</v>
      </c>
      <c r="C1433" s="9">
        <v>1926</v>
      </c>
      <c r="D1433" s="10">
        <v>45722</v>
      </c>
      <c r="E1433" s="11" t="str">
        <f>+HYPERLINK("http://trademark.i-assist.jp/data/china/image_1926th/82313922.pdf","82313922")</f>
        <v>82313922</v>
      </c>
      <c r="F1433" s="9" t="s">
        <v>4001</v>
      </c>
      <c r="G1433" s="9" t="s">
        <v>4002</v>
      </c>
      <c r="H1433" s="9" t="s">
        <v>4003</v>
      </c>
      <c r="I1433" s="10">
        <v>45629</v>
      </c>
    </row>
    <row r="1434" spans="1:9" x14ac:dyDescent="0.15">
      <c r="A1434" s="9">
        <v>1433</v>
      </c>
      <c r="B1434" s="9" t="s">
        <v>9</v>
      </c>
      <c r="C1434" s="9">
        <v>1926</v>
      </c>
      <c r="D1434" s="10">
        <v>45722</v>
      </c>
      <c r="E1434" s="11" t="str">
        <f>+HYPERLINK("http://trademark.i-assist.jp/data/china/image_1926th/82314027.pdf","82314027")</f>
        <v>82314027</v>
      </c>
      <c r="F1434" s="9" t="s">
        <v>4004</v>
      </c>
      <c r="G1434" s="9" t="s">
        <v>4005</v>
      </c>
      <c r="H1434" s="9" t="s">
        <v>4006</v>
      </c>
      <c r="I1434" s="10">
        <v>45629</v>
      </c>
    </row>
    <row r="1435" spans="1:9" x14ac:dyDescent="0.15">
      <c r="A1435" s="9">
        <v>1434</v>
      </c>
      <c r="B1435" s="9" t="s">
        <v>9</v>
      </c>
      <c r="C1435" s="9">
        <v>1926</v>
      </c>
      <c r="D1435" s="10">
        <v>45722</v>
      </c>
      <c r="E1435" s="11" t="str">
        <f>+HYPERLINK("http://trademark.i-assist.jp/data/china/image_1926th/82314081.pdf","82314081")</f>
        <v>82314081</v>
      </c>
      <c r="F1435" s="9" t="s">
        <v>4007</v>
      </c>
      <c r="G1435" s="9" t="s">
        <v>4008</v>
      </c>
      <c r="H1435" s="9" t="s">
        <v>4009</v>
      </c>
      <c r="I1435" s="10">
        <v>45629</v>
      </c>
    </row>
    <row r="1436" spans="1:9" x14ac:dyDescent="0.15">
      <c r="A1436" s="9">
        <v>1435</v>
      </c>
      <c r="B1436" s="9" t="s">
        <v>9</v>
      </c>
      <c r="C1436" s="9">
        <v>1926</v>
      </c>
      <c r="D1436" s="10">
        <v>45722</v>
      </c>
      <c r="E1436" s="11" t="str">
        <f>+HYPERLINK("http://trademark.i-assist.jp/data/china/image_1926th/82314129.pdf","82314129")</f>
        <v>82314129</v>
      </c>
      <c r="F1436" s="9" t="s">
        <v>4010</v>
      </c>
      <c r="G1436" s="9" t="s">
        <v>133</v>
      </c>
      <c r="H1436" s="9" t="s">
        <v>4011</v>
      </c>
      <c r="I1436" s="10">
        <v>45629</v>
      </c>
    </row>
    <row r="1437" spans="1:9" x14ac:dyDescent="0.15">
      <c r="A1437" s="9">
        <v>1436</v>
      </c>
      <c r="B1437" s="9" t="s">
        <v>9</v>
      </c>
      <c r="C1437" s="9">
        <v>1926</v>
      </c>
      <c r="D1437" s="10">
        <v>45722</v>
      </c>
      <c r="E1437" s="11" t="str">
        <f>+HYPERLINK("http://trademark.i-assist.jp/data/china/image_1926th/82314337.pdf","82314337")</f>
        <v>82314337</v>
      </c>
      <c r="F1437" s="9" t="s">
        <v>4012</v>
      </c>
      <c r="G1437" s="12" t="s">
        <v>4013</v>
      </c>
      <c r="H1437" s="9" t="s">
        <v>4014</v>
      </c>
      <c r="I1437" s="10">
        <v>45629</v>
      </c>
    </row>
    <row r="1438" spans="1:9" x14ac:dyDescent="0.15">
      <c r="A1438" s="9">
        <v>1437</v>
      </c>
      <c r="B1438" s="9" t="s">
        <v>9</v>
      </c>
      <c r="C1438" s="9">
        <v>1926</v>
      </c>
      <c r="D1438" s="10">
        <v>45722</v>
      </c>
      <c r="E1438" s="11" t="str">
        <f>+HYPERLINK("http://trademark.i-assist.jp/data/china/image_1926th/82314372.pdf","82314372")</f>
        <v>82314372</v>
      </c>
      <c r="F1438" s="9" t="s">
        <v>4015</v>
      </c>
      <c r="G1438" s="9" t="s">
        <v>4016</v>
      </c>
      <c r="H1438" s="9" t="s">
        <v>4017</v>
      </c>
      <c r="I1438" s="10">
        <v>45629</v>
      </c>
    </row>
    <row r="1439" spans="1:9" x14ac:dyDescent="0.15">
      <c r="A1439" s="9">
        <v>1438</v>
      </c>
      <c r="B1439" s="9" t="s">
        <v>9</v>
      </c>
      <c r="C1439" s="9">
        <v>1926</v>
      </c>
      <c r="D1439" s="10">
        <v>45722</v>
      </c>
      <c r="E1439" s="11" t="str">
        <f>+HYPERLINK("http://trademark.i-assist.jp/data/china/image_1926th/82314402.pdf","82314402")</f>
        <v>82314402</v>
      </c>
      <c r="F1439" s="9" t="s">
        <v>4018</v>
      </c>
      <c r="G1439" s="9" t="s">
        <v>4019</v>
      </c>
      <c r="H1439" s="9" t="s">
        <v>4020</v>
      </c>
      <c r="I1439" s="10">
        <v>45629</v>
      </c>
    </row>
    <row r="1440" spans="1:9" x14ac:dyDescent="0.15">
      <c r="A1440" s="9">
        <v>1439</v>
      </c>
      <c r="B1440" s="9" t="s">
        <v>9</v>
      </c>
      <c r="C1440" s="9">
        <v>1926</v>
      </c>
      <c r="D1440" s="10">
        <v>45722</v>
      </c>
      <c r="E1440" s="11" t="str">
        <f>+HYPERLINK("http://trademark.i-assist.jp/data/china/image_1926th/82314929.pdf","82314929")</f>
        <v>82314929</v>
      </c>
      <c r="F1440" s="12" t="s">
        <v>4021</v>
      </c>
      <c r="G1440" s="9" t="s">
        <v>4022</v>
      </c>
      <c r="H1440" s="9" t="s">
        <v>4023</v>
      </c>
      <c r="I1440" s="10">
        <v>45629</v>
      </c>
    </row>
    <row r="1441" spans="1:9" x14ac:dyDescent="0.15">
      <c r="A1441" s="9">
        <v>1440</v>
      </c>
      <c r="B1441" s="9" t="s">
        <v>9</v>
      </c>
      <c r="C1441" s="9">
        <v>1926</v>
      </c>
      <c r="D1441" s="10">
        <v>45722</v>
      </c>
      <c r="E1441" s="11" t="str">
        <f>+HYPERLINK("http://trademark.i-assist.jp/data/china/image_1926th/82315212.pdf","82315212")</f>
        <v>82315212</v>
      </c>
      <c r="F1441" s="9" t="s">
        <v>4024</v>
      </c>
      <c r="G1441" s="9" t="s">
        <v>4025</v>
      </c>
      <c r="H1441" s="9" t="s">
        <v>4026</v>
      </c>
      <c r="I1441" s="10">
        <v>45629</v>
      </c>
    </row>
    <row r="1442" spans="1:9" x14ac:dyDescent="0.15">
      <c r="A1442" s="9">
        <v>1441</v>
      </c>
      <c r="B1442" s="9" t="s">
        <v>9</v>
      </c>
      <c r="C1442" s="9">
        <v>1926</v>
      </c>
      <c r="D1442" s="10">
        <v>45722</v>
      </c>
      <c r="E1442" s="11" t="str">
        <f>+HYPERLINK("http://trademark.i-assist.jp/data/china/image_1926th/82315219.pdf","82315219")</f>
        <v>82315219</v>
      </c>
      <c r="F1442" s="9" t="s">
        <v>4027</v>
      </c>
      <c r="G1442" s="12" t="s">
        <v>4028</v>
      </c>
      <c r="H1442" s="12" t="s">
        <v>4029</v>
      </c>
      <c r="I1442" s="10">
        <v>45629</v>
      </c>
    </row>
    <row r="1443" spans="1:9" x14ac:dyDescent="0.15">
      <c r="A1443" s="9">
        <v>1442</v>
      </c>
      <c r="B1443" s="9" t="s">
        <v>9</v>
      </c>
      <c r="C1443" s="9">
        <v>1926</v>
      </c>
      <c r="D1443" s="10">
        <v>45722</v>
      </c>
      <c r="E1443" s="11" t="str">
        <f>+HYPERLINK("http://trademark.i-assist.jp/data/china/image_1926th/82315326.pdf","82315326")</f>
        <v>82315326</v>
      </c>
      <c r="F1443" s="9" t="s">
        <v>4030</v>
      </c>
      <c r="G1443" s="9" t="s">
        <v>3945</v>
      </c>
      <c r="H1443" s="9" t="s">
        <v>4031</v>
      </c>
      <c r="I1443" s="10">
        <v>45629</v>
      </c>
    </row>
    <row r="1444" spans="1:9" x14ac:dyDescent="0.15">
      <c r="A1444" s="9">
        <v>1443</v>
      </c>
      <c r="B1444" s="9" t="s">
        <v>9</v>
      </c>
      <c r="C1444" s="9">
        <v>1926</v>
      </c>
      <c r="D1444" s="10">
        <v>45722</v>
      </c>
      <c r="E1444" s="11" t="str">
        <f>+HYPERLINK("http://trademark.i-assist.jp/data/china/image_1926th/82315839.pdf","82315839")</f>
        <v>82315839</v>
      </c>
      <c r="F1444" s="9" t="s">
        <v>4032</v>
      </c>
      <c r="G1444" s="9" t="s">
        <v>4033</v>
      </c>
      <c r="H1444" s="9" t="s">
        <v>4034</v>
      </c>
      <c r="I1444" s="10">
        <v>45629</v>
      </c>
    </row>
    <row r="1445" spans="1:9" x14ac:dyDescent="0.15">
      <c r="A1445" s="9">
        <v>1444</v>
      </c>
      <c r="B1445" s="9" t="s">
        <v>9</v>
      </c>
      <c r="C1445" s="9">
        <v>1926</v>
      </c>
      <c r="D1445" s="10">
        <v>45722</v>
      </c>
      <c r="E1445" s="11" t="str">
        <f>+HYPERLINK("http://trademark.i-assist.jp/data/china/image_1926th/82315849.pdf","82315849")</f>
        <v>82315849</v>
      </c>
      <c r="F1445" s="12" t="s">
        <v>4035</v>
      </c>
      <c r="G1445" s="9" t="s">
        <v>4033</v>
      </c>
      <c r="H1445" s="12" t="s">
        <v>4036</v>
      </c>
      <c r="I1445" s="10">
        <v>45629</v>
      </c>
    </row>
    <row r="1446" spans="1:9" x14ac:dyDescent="0.15">
      <c r="A1446" s="9">
        <v>1445</v>
      </c>
      <c r="B1446" s="9" t="s">
        <v>9</v>
      </c>
      <c r="C1446" s="9">
        <v>1926</v>
      </c>
      <c r="D1446" s="10">
        <v>45722</v>
      </c>
      <c r="E1446" s="11" t="str">
        <f>+HYPERLINK("http://trademark.i-assist.jp/data/china/image_1926th/82315979.pdf","82315979")</f>
        <v>82315979</v>
      </c>
      <c r="F1446" s="9" t="s">
        <v>4037</v>
      </c>
      <c r="G1446" s="9" t="s">
        <v>4038</v>
      </c>
      <c r="H1446" s="9" t="s">
        <v>4039</v>
      </c>
      <c r="I1446" s="10">
        <v>45629</v>
      </c>
    </row>
    <row r="1447" spans="1:9" x14ac:dyDescent="0.15">
      <c r="A1447" s="9">
        <v>1446</v>
      </c>
      <c r="B1447" s="9" t="s">
        <v>9</v>
      </c>
      <c r="C1447" s="9">
        <v>1926</v>
      </c>
      <c r="D1447" s="10">
        <v>45722</v>
      </c>
      <c r="E1447" s="11" t="str">
        <f>+HYPERLINK("http://trademark.i-assist.jp/data/china/image_1926th/82316071.pdf","82316071")</f>
        <v>82316071</v>
      </c>
      <c r="F1447" s="9" t="s">
        <v>4040</v>
      </c>
      <c r="G1447" s="9" t="s">
        <v>26</v>
      </c>
      <c r="H1447" s="9" t="s">
        <v>4041</v>
      </c>
      <c r="I1447" s="10">
        <v>45629</v>
      </c>
    </row>
    <row r="1448" spans="1:9" x14ac:dyDescent="0.15">
      <c r="A1448" s="9">
        <v>1447</v>
      </c>
      <c r="B1448" s="9" t="s">
        <v>9</v>
      </c>
      <c r="C1448" s="9">
        <v>1926</v>
      </c>
      <c r="D1448" s="10">
        <v>45722</v>
      </c>
      <c r="E1448" s="11" t="str">
        <f>+HYPERLINK("http://trademark.i-assist.jp/data/china/image_1926th/82316190.pdf","82316190")</f>
        <v>82316190</v>
      </c>
      <c r="F1448" s="9" t="s">
        <v>4042</v>
      </c>
      <c r="G1448" s="9" t="s">
        <v>4043</v>
      </c>
      <c r="H1448" s="9" t="s">
        <v>4044</v>
      </c>
      <c r="I1448" s="10">
        <v>45629</v>
      </c>
    </row>
    <row r="1449" spans="1:9" x14ac:dyDescent="0.15">
      <c r="A1449" s="9">
        <v>1448</v>
      </c>
      <c r="B1449" s="9" t="s">
        <v>9</v>
      </c>
      <c r="C1449" s="9">
        <v>1926</v>
      </c>
      <c r="D1449" s="10">
        <v>45722</v>
      </c>
      <c r="E1449" s="11" t="str">
        <f>+HYPERLINK("http://trademark.i-assist.jp/data/china/image_1926th/82316209.pdf","82316209")</f>
        <v>82316209</v>
      </c>
      <c r="F1449" s="9" t="s">
        <v>4045</v>
      </c>
      <c r="G1449" s="9" t="s">
        <v>4043</v>
      </c>
      <c r="H1449" s="9" t="s">
        <v>4046</v>
      </c>
      <c r="I1449" s="10">
        <v>45629</v>
      </c>
    </row>
    <row r="1450" spans="1:9" x14ac:dyDescent="0.15">
      <c r="A1450" s="9">
        <v>1449</v>
      </c>
      <c r="B1450" s="9" t="s">
        <v>9</v>
      </c>
      <c r="C1450" s="9">
        <v>1926</v>
      </c>
      <c r="D1450" s="10">
        <v>45722</v>
      </c>
      <c r="E1450" s="11" t="str">
        <f>+HYPERLINK("http://trademark.i-assist.jp/data/china/image_1926th/82316253.pdf","82316253")</f>
        <v>82316253</v>
      </c>
      <c r="F1450" s="9" t="s">
        <v>4047</v>
      </c>
      <c r="G1450" s="9" t="s">
        <v>4048</v>
      </c>
      <c r="H1450" s="9" t="s">
        <v>4049</v>
      </c>
      <c r="I1450" s="10">
        <v>45629</v>
      </c>
    </row>
    <row r="1451" spans="1:9" x14ac:dyDescent="0.15">
      <c r="A1451" s="9">
        <v>1450</v>
      </c>
      <c r="B1451" s="9" t="s">
        <v>9</v>
      </c>
      <c r="C1451" s="9">
        <v>1926</v>
      </c>
      <c r="D1451" s="10">
        <v>45722</v>
      </c>
      <c r="E1451" s="11" t="str">
        <f>+HYPERLINK("http://trademark.i-assist.jp/data/china/image_1926th/82316285.pdf","82316285")</f>
        <v>82316285</v>
      </c>
      <c r="F1451" s="9" t="s">
        <v>4050</v>
      </c>
      <c r="G1451" s="9" t="s">
        <v>4051</v>
      </c>
      <c r="H1451" s="9" t="s">
        <v>4052</v>
      </c>
      <c r="I1451" s="10">
        <v>45629</v>
      </c>
    </row>
    <row r="1452" spans="1:9" x14ac:dyDescent="0.15">
      <c r="A1452" s="9">
        <v>1451</v>
      </c>
      <c r="B1452" s="9" t="s">
        <v>9</v>
      </c>
      <c r="C1452" s="9">
        <v>1926</v>
      </c>
      <c r="D1452" s="10">
        <v>45722</v>
      </c>
      <c r="E1452" s="11" t="str">
        <f>+HYPERLINK("http://trademark.i-assist.jp/data/china/image_1926th/82316650.pdf","82316650")</f>
        <v>82316650</v>
      </c>
      <c r="F1452" s="9" t="s">
        <v>4053</v>
      </c>
      <c r="G1452" s="9" t="s">
        <v>4054</v>
      </c>
      <c r="H1452" s="9" t="s">
        <v>4055</v>
      </c>
      <c r="I1452" s="10">
        <v>45629</v>
      </c>
    </row>
    <row r="1453" spans="1:9" x14ac:dyDescent="0.15">
      <c r="A1453" s="9">
        <v>1452</v>
      </c>
      <c r="B1453" s="9" t="s">
        <v>9</v>
      </c>
      <c r="C1453" s="9">
        <v>1926</v>
      </c>
      <c r="D1453" s="10">
        <v>45722</v>
      </c>
      <c r="E1453" s="11" t="str">
        <f>+HYPERLINK("http://trademark.i-assist.jp/data/china/image_1926th/82316809.pdf","82316809")</f>
        <v>82316809</v>
      </c>
      <c r="F1453" s="9" t="s">
        <v>4056</v>
      </c>
      <c r="G1453" s="9" t="s">
        <v>26</v>
      </c>
      <c r="H1453" s="9" t="s">
        <v>4057</v>
      </c>
      <c r="I1453" s="10">
        <v>45629</v>
      </c>
    </row>
    <row r="1454" spans="1:9" x14ac:dyDescent="0.15">
      <c r="A1454" s="9">
        <v>1453</v>
      </c>
      <c r="B1454" s="9" t="s">
        <v>9</v>
      </c>
      <c r="C1454" s="9">
        <v>1926</v>
      </c>
      <c r="D1454" s="10">
        <v>45722</v>
      </c>
      <c r="E1454" s="11" t="str">
        <f>+HYPERLINK("http://trademark.i-assist.jp/data/china/image_1926th/82317932.pdf","82317932")</f>
        <v>82317932</v>
      </c>
      <c r="F1454" s="9" t="s">
        <v>4058</v>
      </c>
      <c r="G1454" s="12" t="s">
        <v>4059</v>
      </c>
      <c r="H1454" s="9" t="s">
        <v>4060</v>
      </c>
      <c r="I1454" s="10">
        <v>45629</v>
      </c>
    </row>
    <row r="1455" spans="1:9" x14ac:dyDescent="0.15">
      <c r="A1455" s="9">
        <v>1454</v>
      </c>
      <c r="B1455" s="9" t="s">
        <v>9</v>
      </c>
      <c r="C1455" s="9">
        <v>1926</v>
      </c>
      <c r="D1455" s="10">
        <v>45722</v>
      </c>
      <c r="E1455" s="11" t="str">
        <f>+HYPERLINK("http://trademark.i-assist.jp/data/china/image_1926th/82318254.pdf","82318254")</f>
        <v>82318254</v>
      </c>
      <c r="F1455" s="9" t="s">
        <v>4061</v>
      </c>
      <c r="G1455" s="9" t="s">
        <v>41</v>
      </c>
      <c r="H1455" s="9" t="s">
        <v>4062</v>
      </c>
      <c r="I1455" s="10">
        <v>45629</v>
      </c>
    </row>
    <row r="1456" spans="1:9" x14ac:dyDescent="0.15">
      <c r="A1456" s="9">
        <v>1455</v>
      </c>
      <c r="B1456" s="9" t="s">
        <v>9</v>
      </c>
      <c r="C1456" s="9">
        <v>1926</v>
      </c>
      <c r="D1456" s="10">
        <v>45722</v>
      </c>
      <c r="E1456" s="11" t="str">
        <f>+HYPERLINK("http://trademark.i-assist.jp/data/china/image_1926th/82318277.pdf","82318277")</f>
        <v>82318277</v>
      </c>
      <c r="F1456" s="12" t="s">
        <v>4063</v>
      </c>
      <c r="G1456" s="9" t="s">
        <v>4064</v>
      </c>
      <c r="H1456" s="9" t="s">
        <v>4065</v>
      </c>
      <c r="I1456" s="10">
        <v>45629</v>
      </c>
    </row>
    <row r="1457" spans="1:9" x14ac:dyDescent="0.15">
      <c r="A1457" s="9">
        <v>1456</v>
      </c>
      <c r="B1457" s="9" t="s">
        <v>9</v>
      </c>
      <c r="C1457" s="9">
        <v>1926</v>
      </c>
      <c r="D1457" s="10">
        <v>45722</v>
      </c>
      <c r="E1457" s="11" t="str">
        <f>+HYPERLINK("http://trademark.i-assist.jp/data/china/image_1926th/82318337.pdf","82318337")</f>
        <v>82318337</v>
      </c>
      <c r="F1457" s="9" t="s">
        <v>4066</v>
      </c>
      <c r="G1457" s="9" t="s">
        <v>4067</v>
      </c>
      <c r="H1457" s="9" t="s">
        <v>4068</v>
      </c>
      <c r="I1457" s="10">
        <v>45629</v>
      </c>
    </row>
    <row r="1458" spans="1:9" x14ac:dyDescent="0.15">
      <c r="A1458" s="9">
        <v>1457</v>
      </c>
      <c r="B1458" s="9" t="s">
        <v>9</v>
      </c>
      <c r="C1458" s="9">
        <v>1926</v>
      </c>
      <c r="D1458" s="10">
        <v>45722</v>
      </c>
      <c r="E1458" s="11" t="str">
        <f>+HYPERLINK("http://trademark.i-assist.jp/data/china/image_1926th/82318388.pdf","82318388")</f>
        <v>82318388</v>
      </c>
      <c r="F1458" s="12" t="s">
        <v>4069</v>
      </c>
      <c r="G1458" s="12" t="s">
        <v>4069</v>
      </c>
      <c r="H1458" s="9" t="s">
        <v>4070</v>
      </c>
      <c r="I1458" s="10">
        <v>45629</v>
      </c>
    </row>
    <row r="1459" spans="1:9" x14ac:dyDescent="0.15">
      <c r="A1459" s="9">
        <v>1458</v>
      </c>
      <c r="B1459" s="9" t="s">
        <v>9</v>
      </c>
      <c r="C1459" s="9">
        <v>1926</v>
      </c>
      <c r="D1459" s="10">
        <v>45722</v>
      </c>
      <c r="E1459" s="11" t="str">
        <f>+HYPERLINK("http://trademark.i-assist.jp/data/china/image_1926th/82318421.pdf","82318421")</f>
        <v>82318421</v>
      </c>
      <c r="F1459" s="9" t="s">
        <v>4071</v>
      </c>
      <c r="G1459" s="9" t="s">
        <v>4072</v>
      </c>
      <c r="H1459" s="9" t="s">
        <v>4073</v>
      </c>
      <c r="I1459" s="10">
        <v>45629</v>
      </c>
    </row>
    <row r="1460" spans="1:9" x14ac:dyDescent="0.15">
      <c r="A1460" s="9">
        <v>1459</v>
      </c>
      <c r="B1460" s="9" t="s">
        <v>9</v>
      </c>
      <c r="C1460" s="9">
        <v>1926</v>
      </c>
      <c r="D1460" s="10">
        <v>45722</v>
      </c>
      <c r="E1460" s="11" t="str">
        <f>+HYPERLINK("http://trademark.i-assist.jp/data/china/image_1926th/82318438.pdf","82318438")</f>
        <v>82318438</v>
      </c>
      <c r="F1460" s="9" t="s">
        <v>4074</v>
      </c>
      <c r="G1460" s="9" t="s">
        <v>4075</v>
      </c>
      <c r="H1460" s="12" t="s">
        <v>4076</v>
      </c>
      <c r="I1460" s="10">
        <v>45629</v>
      </c>
    </row>
    <row r="1461" spans="1:9" x14ac:dyDescent="0.15">
      <c r="A1461" s="9">
        <v>1460</v>
      </c>
      <c r="B1461" s="9" t="s">
        <v>9</v>
      </c>
      <c r="C1461" s="9">
        <v>1926</v>
      </c>
      <c r="D1461" s="10">
        <v>45722</v>
      </c>
      <c r="E1461" s="11" t="str">
        <f>+HYPERLINK("http://trademark.i-assist.jp/data/china/image_1926th/82318462.pdf","82318462")</f>
        <v>82318462</v>
      </c>
      <c r="F1461" s="9" t="s">
        <v>4077</v>
      </c>
      <c r="G1461" s="9" t="s">
        <v>26</v>
      </c>
      <c r="H1461" s="9" t="s">
        <v>4078</v>
      </c>
      <c r="I1461" s="10">
        <v>45629</v>
      </c>
    </row>
    <row r="1462" spans="1:9" x14ac:dyDescent="0.15">
      <c r="A1462" s="9">
        <v>1461</v>
      </c>
      <c r="B1462" s="9" t="s">
        <v>9</v>
      </c>
      <c r="C1462" s="9">
        <v>1926</v>
      </c>
      <c r="D1462" s="10">
        <v>45722</v>
      </c>
      <c r="E1462" s="11" t="str">
        <f>+HYPERLINK("http://trademark.i-assist.jp/data/china/image_1926th/82318768.pdf","82318768")</f>
        <v>82318768</v>
      </c>
      <c r="F1462" s="9" t="s">
        <v>4079</v>
      </c>
      <c r="G1462" s="9" t="s">
        <v>4038</v>
      </c>
      <c r="H1462" s="9" t="s">
        <v>4080</v>
      </c>
      <c r="I1462" s="10">
        <v>45629</v>
      </c>
    </row>
    <row r="1463" spans="1:9" x14ac:dyDescent="0.15">
      <c r="A1463" s="9">
        <v>1462</v>
      </c>
      <c r="B1463" s="9" t="s">
        <v>9</v>
      </c>
      <c r="C1463" s="9">
        <v>1926</v>
      </c>
      <c r="D1463" s="10">
        <v>45722</v>
      </c>
      <c r="E1463" s="11" t="str">
        <f>+HYPERLINK("http://trademark.i-assist.jp/data/china/image_1926th/82318773.pdf","82318773")</f>
        <v>82318773</v>
      </c>
      <c r="F1463" s="9" t="s">
        <v>4081</v>
      </c>
      <c r="G1463" s="9" t="s">
        <v>4038</v>
      </c>
      <c r="H1463" s="9" t="s">
        <v>4082</v>
      </c>
      <c r="I1463" s="10">
        <v>45629</v>
      </c>
    </row>
    <row r="1464" spans="1:9" x14ac:dyDescent="0.15">
      <c r="A1464" s="9">
        <v>1463</v>
      </c>
      <c r="B1464" s="9" t="s">
        <v>9</v>
      </c>
      <c r="C1464" s="9">
        <v>1926</v>
      </c>
      <c r="D1464" s="10">
        <v>45722</v>
      </c>
      <c r="E1464" s="11" t="str">
        <f>+HYPERLINK("http://trademark.i-assist.jp/data/china/image_1926th/82318869.pdf","82318869")</f>
        <v>82318869</v>
      </c>
      <c r="F1464" s="9" t="s">
        <v>4083</v>
      </c>
      <c r="G1464" s="9" t="s">
        <v>4084</v>
      </c>
      <c r="H1464" s="9" t="s">
        <v>4085</v>
      </c>
      <c r="I1464" s="10">
        <v>45629</v>
      </c>
    </row>
    <row r="1465" spans="1:9" x14ac:dyDescent="0.15">
      <c r="A1465" s="9">
        <v>1464</v>
      </c>
      <c r="B1465" s="9" t="s">
        <v>9</v>
      </c>
      <c r="C1465" s="9">
        <v>1926</v>
      </c>
      <c r="D1465" s="10">
        <v>45722</v>
      </c>
      <c r="E1465" s="11" t="str">
        <f>+HYPERLINK("http://trademark.i-assist.jp/data/china/image_1926th/82318885.pdf","82318885")</f>
        <v>82318885</v>
      </c>
      <c r="F1465" s="12" t="s">
        <v>4086</v>
      </c>
      <c r="G1465" s="9" t="s">
        <v>4087</v>
      </c>
      <c r="H1465" s="9" t="s">
        <v>4088</v>
      </c>
      <c r="I1465" s="10">
        <v>45629</v>
      </c>
    </row>
    <row r="1466" spans="1:9" x14ac:dyDescent="0.15">
      <c r="A1466" s="9">
        <v>1465</v>
      </c>
      <c r="B1466" s="9" t="s">
        <v>9</v>
      </c>
      <c r="C1466" s="9">
        <v>1926</v>
      </c>
      <c r="D1466" s="10">
        <v>45722</v>
      </c>
      <c r="E1466" s="11" t="str">
        <f>+HYPERLINK("http://trademark.i-assist.jp/data/china/image_1926th/82318903.pdf","82318903")</f>
        <v>82318903</v>
      </c>
      <c r="F1466" s="12" t="s">
        <v>20</v>
      </c>
      <c r="G1466" s="12" t="s">
        <v>4089</v>
      </c>
      <c r="H1466" s="9" t="s">
        <v>4090</v>
      </c>
      <c r="I1466" s="10">
        <v>45629</v>
      </c>
    </row>
    <row r="1467" spans="1:9" x14ac:dyDescent="0.15">
      <c r="A1467" s="9">
        <v>1466</v>
      </c>
      <c r="B1467" s="9" t="s">
        <v>9</v>
      </c>
      <c r="C1467" s="9">
        <v>1926</v>
      </c>
      <c r="D1467" s="10">
        <v>45722</v>
      </c>
      <c r="E1467" s="11" t="str">
        <f>+HYPERLINK("http://trademark.i-assist.jp/data/china/image_1926th/82319032.pdf","82319032")</f>
        <v>82319032</v>
      </c>
      <c r="F1467" s="9" t="s">
        <v>4091</v>
      </c>
      <c r="G1467" s="9" t="s">
        <v>4092</v>
      </c>
      <c r="H1467" s="9" t="s">
        <v>4093</v>
      </c>
      <c r="I1467" s="10">
        <v>45629</v>
      </c>
    </row>
    <row r="1468" spans="1:9" x14ac:dyDescent="0.15">
      <c r="A1468" s="9">
        <v>1467</v>
      </c>
      <c r="B1468" s="9" t="s">
        <v>9</v>
      </c>
      <c r="C1468" s="9">
        <v>1926</v>
      </c>
      <c r="D1468" s="10">
        <v>45722</v>
      </c>
      <c r="E1468" s="11" t="str">
        <f>+HYPERLINK("http://trademark.i-assist.jp/data/china/image_1926th/82319063.pdf","82319063")</f>
        <v>82319063</v>
      </c>
      <c r="F1468" s="9" t="s">
        <v>4094</v>
      </c>
      <c r="G1468" s="9" t="s">
        <v>4095</v>
      </c>
      <c r="H1468" s="12" t="s">
        <v>4096</v>
      </c>
      <c r="I1468" s="10">
        <v>45629</v>
      </c>
    </row>
    <row r="1469" spans="1:9" x14ac:dyDescent="0.15">
      <c r="A1469" s="9">
        <v>1468</v>
      </c>
      <c r="B1469" s="9" t="s">
        <v>9</v>
      </c>
      <c r="C1469" s="9">
        <v>1926</v>
      </c>
      <c r="D1469" s="10">
        <v>45722</v>
      </c>
      <c r="E1469" s="11" t="str">
        <f>+HYPERLINK("http://trademark.i-assist.jp/data/china/image_1926th/82319181.pdf","82319181")</f>
        <v>82319181</v>
      </c>
      <c r="F1469" s="9" t="s">
        <v>4097</v>
      </c>
      <c r="G1469" s="9" t="s">
        <v>3907</v>
      </c>
      <c r="H1469" s="9" t="s">
        <v>4098</v>
      </c>
      <c r="I1469" s="10">
        <v>45629</v>
      </c>
    </row>
    <row r="1470" spans="1:9" x14ac:dyDescent="0.15">
      <c r="A1470" s="9">
        <v>1469</v>
      </c>
      <c r="B1470" s="9" t="s">
        <v>9</v>
      </c>
      <c r="C1470" s="9">
        <v>1926</v>
      </c>
      <c r="D1470" s="10">
        <v>45722</v>
      </c>
      <c r="E1470" s="11" t="str">
        <f>+HYPERLINK("http://trademark.i-assist.jp/data/china/image_1926th/82319190.pdf","82319190")</f>
        <v>82319190</v>
      </c>
      <c r="F1470" s="9" t="s">
        <v>4099</v>
      </c>
      <c r="G1470" s="12" t="s">
        <v>4100</v>
      </c>
      <c r="H1470" s="9" t="s">
        <v>4101</v>
      </c>
      <c r="I1470" s="10">
        <v>45629</v>
      </c>
    </row>
    <row r="1471" spans="1:9" x14ac:dyDescent="0.15">
      <c r="A1471" s="9">
        <v>1470</v>
      </c>
      <c r="B1471" s="9" t="s">
        <v>9</v>
      </c>
      <c r="C1471" s="9">
        <v>1926</v>
      </c>
      <c r="D1471" s="10">
        <v>45722</v>
      </c>
      <c r="E1471" s="11" t="str">
        <f>+HYPERLINK("http://trademark.i-assist.jp/data/china/image_1926th/82319379.pdf","82319379")</f>
        <v>82319379</v>
      </c>
      <c r="F1471" s="9" t="s">
        <v>4102</v>
      </c>
      <c r="G1471" s="12" t="s">
        <v>4103</v>
      </c>
      <c r="H1471" s="9" t="s">
        <v>4104</v>
      </c>
      <c r="I1471" s="10">
        <v>45629</v>
      </c>
    </row>
    <row r="1472" spans="1:9" x14ac:dyDescent="0.15">
      <c r="A1472" s="9">
        <v>1471</v>
      </c>
      <c r="B1472" s="9" t="s">
        <v>9</v>
      </c>
      <c r="C1472" s="9">
        <v>1926</v>
      </c>
      <c r="D1472" s="10">
        <v>45722</v>
      </c>
      <c r="E1472" s="11" t="str">
        <f>+HYPERLINK("http://trademark.i-assist.jp/data/china/image_1926th/82319687.pdf","82319687")</f>
        <v>82319687</v>
      </c>
      <c r="F1472" s="12" t="s">
        <v>4105</v>
      </c>
      <c r="G1472" s="9" t="s">
        <v>4106</v>
      </c>
      <c r="H1472" s="9" t="s">
        <v>4107</v>
      </c>
      <c r="I1472" s="10">
        <v>45629</v>
      </c>
    </row>
    <row r="1473" spans="1:9" x14ac:dyDescent="0.15">
      <c r="A1473" s="9">
        <v>1472</v>
      </c>
      <c r="B1473" s="9" t="s">
        <v>9</v>
      </c>
      <c r="C1473" s="9">
        <v>1926</v>
      </c>
      <c r="D1473" s="10">
        <v>45722</v>
      </c>
      <c r="E1473" s="11" t="str">
        <f>+HYPERLINK("http://trademark.i-assist.jp/data/china/image_1926th/82319843.pdf","82319843")</f>
        <v>82319843</v>
      </c>
      <c r="F1473" s="9" t="s">
        <v>4108</v>
      </c>
      <c r="G1473" s="9" t="s">
        <v>3907</v>
      </c>
      <c r="H1473" s="9" t="s">
        <v>4109</v>
      </c>
      <c r="I1473" s="10">
        <v>45629</v>
      </c>
    </row>
    <row r="1474" spans="1:9" x14ac:dyDescent="0.15">
      <c r="A1474" s="9">
        <v>1473</v>
      </c>
      <c r="B1474" s="9" t="s">
        <v>9</v>
      </c>
      <c r="C1474" s="9">
        <v>1926</v>
      </c>
      <c r="D1474" s="10">
        <v>45722</v>
      </c>
      <c r="E1474" s="11" t="str">
        <f>+HYPERLINK("http://trademark.i-assist.jp/data/china/image_1926th/82319975.pdf","82319975")</f>
        <v>82319975</v>
      </c>
      <c r="F1474" s="9" t="s">
        <v>4110</v>
      </c>
      <c r="G1474" s="12" t="s">
        <v>4111</v>
      </c>
      <c r="H1474" s="9" t="s">
        <v>4112</v>
      </c>
      <c r="I1474" s="10">
        <v>45629</v>
      </c>
    </row>
    <row r="1475" spans="1:9" x14ac:dyDescent="0.15">
      <c r="A1475" s="9">
        <v>1474</v>
      </c>
      <c r="B1475" s="9" t="s">
        <v>9</v>
      </c>
      <c r="C1475" s="9">
        <v>1926</v>
      </c>
      <c r="D1475" s="10">
        <v>45722</v>
      </c>
      <c r="E1475" s="11" t="str">
        <f>+HYPERLINK("http://trademark.i-assist.jp/data/china/image_1926th/82320276.pdf","82320276")</f>
        <v>82320276</v>
      </c>
      <c r="F1475" s="12" t="s">
        <v>4113</v>
      </c>
      <c r="G1475" s="9" t="s">
        <v>4114</v>
      </c>
      <c r="H1475" s="9" t="s">
        <v>4115</v>
      </c>
      <c r="I1475" s="10">
        <v>45629</v>
      </c>
    </row>
    <row r="1476" spans="1:9" x14ac:dyDescent="0.15">
      <c r="A1476" s="9">
        <v>1475</v>
      </c>
      <c r="B1476" s="9" t="s">
        <v>9</v>
      </c>
      <c r="C1476" s="9">
        <v>1926</v>
      </c>
      <c r="D1476" s="10">
        <v>45722</v>
      </c>
      <c r="E1476" s="11" t="str">
        <f>+HYPERLINK("http://trademark.i-assist.jp/data/china/image_1926th/82320331.pdf","82320331")</f>
        <v>82320331</v>
      </c>
      <c r="F1476" s="9" t="s">
        <v>4116</v>
      </c>
      <c r="G1476" s="9" t="s">
        <v>4117</v>
      </c>
      <c r="H1476" s="9" t="s">
        <v>4118</v>
      </c>
      <c r="I1476" s="10">
        <v>45629</v>
      </c>
    </row>
    <row r="1477" spans="1:9" x14ac:dyDescent="0.15">
      <c r="A1477" s="9">
        <v>1476</v>
      </c>
      <c r="B1477" s="9" t="s">
        <v>9</v>
      </c>
      <c r="C1477" s="9">
        <v>1926</v>
      </c>
      <c r="D1477" s="10">
        <v>45722</v>
      </c>
      <c r="E1477" s="11" t="str">
        <f>+HYPERLINK("http://trademark.i-assist.jp/data/china/image_1926th/82320554.pdf","82320554")</f>
        <v>82320554</v>
      </c>
      <c r="F1477" s="9" t="s">
        <v>4119</v>
      </c>
      <c r="G1477" s="9" t="s">
        <v>4120</v>
      </c>
      <c r="H1477" s="9" t="s">
        <v>4121</v>
      </c>
      <c r="I1477" s="10">
        <v>45629</v>
      </c>
    </row>
    <row r="1478" spans="1:9" x14ac:dyDescent="0.15">
      <c r="A1478" s="9">
        <v>1477</v>
      </c>
      <c r="B1478" s="9" t="s">
        <v>9</v>
      </c>
      <c r="C1478" s="9">
        <v>1926</v>
      </c>
      <c r="D1478" s="10">
        <v>45722</v>
      </c>
      <c r="E1478" s="11" t="str">
        <f>+HYPERLINK("http://trademark.i-assist.jp/data/china/image_1926th/82320767.pdf","82320767")</f>
        <v>82320767</v>
      </c>
      <c r="F1478" s="12" t="s">
        <v>4122</v>
      </c>
      <c r="G1478" s="9" t="s">
        <v>4123</v>
      </c>
      <c r="H1478" s="9" t="s">
        <v>4124</v>
      </c>
      <c r="I1478" s="10">
        <v>45629</v>
      </c>
    </row>
    <row r="1479" spans="1:9" x14ac:dyDescent="0.15">
      <c r="A1479" s="9">
        <v>1478</v>
      </c>
      <c r="B1479" s="9" t="s">
        <v>9</v>
      </c>
      <c r="C1479" s="9">
        <v>1926</v>
      </c>
      <c r="D1479" s="10">
        <v>45722</v>
      </c>
      <c r="E1479" s="11" t="str">
        <f>+HYPERLINK("http://trademark.i-assist.jp/data/china/image_1926th/82320837.pdf","82320837")</f>
        <v>82320837</v>
      </c>
      <c r="F1479" s="9" t="s">
        <v>4125</v>
      </c>
      <c r="G1479" s="9" t="s">
        <v>4126</v>
      </c>
      <c r="H1479" s="9" t="s">
        <v>4127</v>
      </c>
      <c r="I1479" s="10">
        <v>45629</v>
      </c>
    </row>
    <row r="1480" spans="1:9" x14ac:dyDescent="0.15">
      <c r="A1480" s="9">
        <v>1479</v>
      </c>
      <c r="B1480" s="9" t="s">
        <v>9</v>
      </c>
      <c r="C1480" s="9">
        <v>1926</v>
      </c>
      <c r="D1480" s="10">
        <v>45722</v>
      </c>
      <c r="E1480" s="11" t="str">
        <f>+HYPERLINK("http://trademark.i-assist.jp/data/china/image_1926th/82320944.pdf","82320944")</f>
        <v>82320944</v>
      </c>
      <c r="F1480" s="9" t="s">
        <v>4128</v>
      </c>
      <c r="G1480" s="9" t="s">
        <v>4129</v>
      </c>
      <c r="H1480" s="9" t="s">
        <v>4130</v>
      </c>
      <c r="I1480" s="10">
        <v>45629</v>
      </c>
    </row>
    <row r="1481" spans="1:9" x14ac:dyDescent="0.15">
      <c r="A1481" s="9">
        <v>1480</v>
      </c>
      <c r="B1481" s="9" t="s">
        <v>9</v>
      </c>
      <c r="C1481" s="9">
        <v>1926</v>
      </c>
      <c r="D1481" s="10">
        <v>45722</v>
      </c>
      <c r="E1481" s="11" t="str">
        <f>+HYPERLINK("http://trademark.i-assist.jp/data/china/image_1926th/82321049.pdf","82321049")</f>
        <v>82321049</v>
      </c>
      <c r="F1481" s="9" t="s">
        <v>4131</v>
      </c>
      <c r="G1481" s="9" t="s">
        <v>4132</v>
      </c>
      <c r="H1481" s="9" t="s">
        <v>4133</v>
      </c>
      <c r="I1481" s="10">
        <v>45629</v>
      </c>
    </row>
    <row r="1482" spans="1:9" x14ac:dyDescent="0.15">
      <c r="A1482" s="9">
        <v>1481</v>
      </c>
      <c r="B1482" s="9" t="s">
        <v>9</v>
      </c>
      <c r="C1482" s="9">
        <v>1926</v>
      </c>
      <c r="D1482" s="10">
        <v>45722</v>
      </c>
      <c r="E1482" s="11" t="str">
        <f>+HYPERLINK("http://trademark.i-assist.jp/data/china/image_1926th/82321616.pdf","82321616")</f>
        <v>82321616</v>
      </c>
      <c r="F1482" s="9" t="s">
        <v>4134</v>
      </c>
      <c r="G1482" s="9" t="s">
        <v>3898</v>
      </c>
      <c r="H1482" s="9" t="s">
        <v>4135</v>
      </c>
      <c r="I1482" s="10">
        <v>45629</v>
      </c>
    </row>
    <row r="1483" spans="1:9" x14ac:dyDescent="0.15">
      <c r="A1483" s="9">
        <v>1482</v>
      </c>
      <c r="B1483" s="9" t="s">
        <v>9</v>
      </c>
      <c r="C1483" s="9">
        <v>1926</v>
      </c>
      <c r="D1483" s="10">
        <v>45722</v>
      </c>
      <c r="E1483" s="11" t="str">
        <f>+HYPERLINK("http://trademark.i-assist.jp/data/china/image_1926th/82321799.pdf","82321799")</f>
        <v>82321799</v>
      </c>
      <c r="F1483" s="12" t="s">
        <v>4136</v>
      </c>
      <c r="G1483" s="9" t="s">
        <v>4137</v>
      </c>
      <c r="H1483" s="9" t="s">
        <v>4138</v>
      </c>
      <c r="I1483" s="10">
        <v>45629</v>
      </c>
    </row>
    <row r="1484" spans="1:9" x14ac:dyDescent="0.15">
      <c r="A1484" s="9">
        <v>1483</v>
      </c>
      <c r="B1484" s="9" t="s">
        <v>9</v>
      </c>
      <c r="C1484" s="9">
        <v>1926</v>
      </c>
      <c r="D1484" s="10">
        <v>45722</v>
      </c>
      <c r="E1484" s="11" t="str">
        <f>+HYPERLINK("http://trademark.i-assist.jp/data/china/image_1926th/82321939.pdf","82321939")</f>
        <v>82321939</v>
      </c>
      <c r="F1484" s="9" t="s">
        <v>4139</v>
      </c>
      <c r="G1484" s="12" t="s">
        <v>4140</v>
      </c>
      <c r="H1484" s="9" t="s">
        <v>4141</v>
      </c>
      <c r="I1484" s="10">
        <v>45629</v>
      </c>
    </row>
    <row r="1485" spans="1:9" x14ac:dyDescent="0.15">
      <c r="A1485" s="9">
        <v>1484</v>
      </c>
      <c r="B1485" s="9" t="s">
        <v>9</v>
      </c>
      <c r="C1485" s="9">
        <v>1926</v>
      </c>
      <c r="D1485" s="10">
        <v>45722</v>
      </c>
      <c r="E1485" s="11" t="str">
        <f>+HYPERLINK("http://trademark.i-assist.jp/data/china/image_1926th/82322817.pdf","82322817")</f>
        <v>82322817</v>
      </c>
      <c r="F1485" s="9" t="s">
        <v>4142</v>
      </c>
      <c r="G1485" s="12" t="s">
        <v>4143</v>
      </c>
      <c r="H1485" s="9" t="s">
        <v>4144</v>
      </c>
      <c r="I1485" s="10">
        <v>45629</v>
      </c>
    </row>
    <row r="1486" spans="1:9" x14ac:dyDescent="0.15">
      <c r="A1486" s="9">
        <v>1485</v>
      </c>
      <c r="B1486" s="9" t="s">
        <v>9</v>
      </c>
      <c r="C1486" s="9">
        <v>1926</v>
      </c>
      <c r="D1486" s="10">
        <v>45722</v>
      </c>
      <c r="E1486" s="11" t="str">
        <f>+HYPERLINK("http://trademark.i-assist.jp/data/china/image_1926th/82323202.pdf","82323202")</f>
        <v>82323202</v>
      </c>
      <c r="F1486" s="9" t="s">
        <v>4145</v>
      </c>
      <c r="G1486" s="9" t="s">
        <v>4146</v>
      </c>
      <c r="H1486" s="9" t="s">
        <v>4147</v>
      </c>
      <c r="I1486" s="10">
        <v>45629</v>
      </c>
    </row>
    <row r="1487" spans="1:9" x14ac:dyDescent="0.15">
      <c r="A1487" s="9">
        <v>1486</v>
      </c>
      <c r="B1487" s="9" t="s">
        <v>9</v>
      </c>
      <c r="C1487" s="9">
        <v>1926</v>
      </c>
      <c r="D1487" s="10">
        <v>45722</v>
      </c>
      <c r="E1487" s="11" t="str">
        <f>+HYPERLINK("http://trademark.i-assist.jp/data/china/image_1926th/82323353.pdf","82323353")</f>
        <v>82323353</v>
      </c>
      <c r="F1487" s="9" t="s">
        <v>4148</v>
      </c>
      <c r="G1487" s="12" t="s">
        <v>4149</v>
      </c>
      <c r="H1487" s="9" t="s">
        <v>4150</v>
      </c>
      <c r="I1487" s="10">
        <v>45629</v>
      </c>
    </row>
    <row r="1488" spans="1:9" x14ac:dyDescent="0.15">
      <c r="A1488" s="9">
        <v>1487</v>
      </c>
      <c r="B1488" s="9" t="s">
        <v>9</v>
      </c>
      <c r="C1488" s="9">
        <v>1926</v>
      </c>
      <c r="D1488" s="10">
        <v>45722</v>
      </c>
      <c r="E1488" s="11" t="str">
        <f>+HYPERLINK("http://trademark.i-assist.jp/data/china/image_1926th/82323708.pdf","82323708")</f>
        <v>82323708</v>
      </c>
      <c r="F1488" s="9" t="s">
        <v>4151</v>
      </c>
      <c r="G1488" s="9" t="s">
        <v>4152</v>
      </c>
      <c r="H1488" s="9" t="s">
        <v>4153</v>
      </c>
      <c r="I1488" s="10">
        <v>45629</v>
      </c>
    </row>
    <row r="1489" spans="1:9" x14ac:dyDescent="0.15">
      <c r="A1489" s="9">
        <v>1488</v>
      </c>
      <c r="B1489" s="9" t="s">
        <v>9</v>
      </c>
      <c r="C1489" s="9">
        <v>1926</v>
      </c>
      <c r="D1489" s="10">
        <v>45722</v>
      </c>
      <c r="E1489" s="11" t="str">
        <f>+HYPERLINK("http://trademark.i-assist.jp/data/china/image_1926th/82323731.pdf","82323731")</f>
        <v>82323731</v>
      </c>
      <c r="F1489" s="9" t="s">
        <v>4154</v>
      </c>
      <c r="G1489" s="9" t="s">
        <v>3907</v>
      </c>
      <c r="H1489" s="9" t="s">
        <v>4155</v>
      </c>
      <c r="I1489" s="10">
        <v>45629</v>
      </c>
    </row>
    <row r="1490" spans="1:9" x14ac:dyDescent="0.15">
      <c r="A1490" s="9">
        <v>1489</v>
      </c>
      <c r="B1490" s="9" t="s">
        <v>9</v>
      </c>
      <c r="C1490" s="9">
        <v>1926</v>
      </c>
      <c r="D1490" s="10">
        <v>45722</v>
      </c>
      <c r="E1490" s="11" t="str">
        <f>+HYPERLINK("http://trademark.i-assist.jp/data/china/image_1926th/82323788.pdf","82323788")</f>
        <v>82323788</v>
      </c>
      <c r="F1490" s="9" t="s">
        <v>4156</v>
      </c>
      <c r="G1490" s="9" t="s">
        <v>4157</v>
      </c>
      <c r="H1490" s="12" t="s">
        <v>4158</v>
      </c>
      <c r="I1490" s="10">
        <v>45629</v>
      </c>
    </row>
    <row r="1491" spans="1:9" x14ac:dyDescent="0.15">
      <c r="A1491" s="9">
        <v>1490</v>
      </c>
      <c r="B1491" s="9" t="s">
        <v>9</v>
      </c>
      <c r="C1491" s="9">
        <v>1926</v>
      </c>
      <c r="D1491" s="10">
        <v>45722</v>
      </c>
      <c r="E1491" s="11" t="str">
        <f>+HYPERLINK("http://trademark.i-assist.jp/data/china/image_1926th/82323812.pdf","82323812")</f>
        <v>82323812</v>
      </c>
      <c r="F1491" s="9" t="s">
        <v>4159</v>
      </c>
      <c r="G1491" s="9" t="s">
        <v>4160</v>
      </c>
      <c r="H1491" s="9" t="s">
        <v>4161</v>
      </c>
      <c r="I1491" s="10">
        <v>45629</v>
      </c>
    </row>
    <row r="1492" spans="1:9" x14ac:dyDescent="0.15">
      <c r="A1492" s="9">
        <v>1491</v>
      </c>
      <c r="B1492" s="9" t="s">
        <v>9</v>
      </c>
      <c r="C1492" s="9">
        <v>1926</v>
      </c>
      <c r="D1492" s="10">
        <v>45722</v>
      </c>
      <c r="E1492" s="11" t="str">
        <f>+HYPERLINK("http://trademark.i-assist.jp/data/china/image_1926th/82323999.pdf","82323999")</f>
        <v>82323999</v>
      </c>
      <c r="F1492" s="9" t="s">
        <v>4162</v>
      </c>
      <c r="G1492" s="9" t="s">
        <v>26</v>
      </c>
      <c r="H1492" s="9" t="s">
        <v>4163</v>
      </c>
      <c r="I1492" s="10">
        <v>45629</v>
      </c>
    </row>
    <row r="1493" spans="1:9" x14ac:dyDescent="0.15">
      <c r="A1493" s="9">
        <v>1492</v>
      </c>
      <c r="B1493" s="9" t="s">
        <v>9</v>
      </c>
      <c r="C1493" s="9">
        <v>1926</v>
      </c>
      <c r="D1493" s="10">
        <v>45722</v>
      </c>
      <c r="E1493" s="11" t="str">
        <f>+HYPERLINK("http://trademark.i-assist.jp/data/china/image_1926th/82324222.pdf","82324222")</f>
        <v>82324222</v>
      </c>
      <c r="F1493" s="9" t="s">
        <v>4164</v>
      </c>
      <c r="G1493" s="9" t="s">
        <v>4165</v>
      </c>
      <c r="H1493" s="9" t="s">
        <v>4166</v>
      </c>
      <c r="I1493" s="10">
        <v>45629</v>
      </c>
    </row>
    <row r="1494" spans="1:9" x14ac:dyDescent="0.15">
      <c r="A1494" s="9">
        <v>1493</v>
      </c>
      <c r="B1494" s="9" t="s">
        <v>9</v>
      </c>
      <c r="C1494" s="9">
        <v>1926</v>
      </c>
      <c r="D1494" s="10">
        <v>45722</v>
      </c>
      <c r="E1494" s="11" t="str">
        <f>+HYPERLINK("http://trademark.i-assist.jp/data/china/image_1926th/82324381.pdf","82324381")</f>
        <v>82324381</v>
      </c>
      <c r="F1494" s="12" t="s">
        <v>4167</v>
      </c>
      <c r="G1494" s="12" t="s">
        <v>4168</v>
      </c>
      <c r="H1494" s="12" t="s">
        <v>4169</v>
      </c>
      <c r="I1494" s="10">
        <v>45629</v>
      </c>
    </row>
    <row r="1495" spans="1:9" x14ac:dyDescent="0.15">
      <c r="A1495" s="9">
        <v>1494</v>
      </c>
      <c r="B1495" s="9" t="s">
        <v>9</v>
      </c>
      <c r="C1495" s="9">
        <v>1926</v>
      </c>
      <c r="D1495" s="10">
        <v>45722</v>
      </c>
      <c r="E1495" s="11" t="str">
        <f>+HYPERLINK("http://trademark.i-assist.jp/data/china/image_1926th/82324543.pdf","82324543")</f>
        <v>82324543</v>
      </c>
      <c r="F1495" s="9" t="s">
        <v>4170</v>
      </c>
      <c r="G1495" s="9" t="s">
        <v>4171</v>
      </c>
      <c r="H1495" s="9" t="s">
        <v>4172</v>
      </c>
      <c r="I1495" s="10">
        <v>45629</v>
      </c>
    </row>
    <row r="1496" spans="1:9" x14ac:dyDescent="0.15">
      <c r="A1496" s="9">
        <v>1495</v>
      </c>
      <c r="B1496" s="9" t="s">
        <v>9</v>
      </c>
      <c r="C1496" s="9">
        <v>1926</v>
      </c>
      <c r="D1496" s="10">
        <v>45722</v>
      </c>
      <c r="E1496" s="11" t="str">
        <f>+HYPERLINK("http://trademark.i-assist.jp/data/china/image_1926th/82324589.pdf","82324589")</f>
        <v>82324589</v>
      </c>
      <c r="F1496" s="9" t="s">
        <v>4173</v>
      </c>
      <c r="G1496" s="9" t="s">
        <v>3898</v>
      </c>
      <c r="H1496" s="9" t="s">
        <v>4174</v>
      </c>
      <c r="I1496" s="10">
        <v>45629</v>
      </c>
    </row>
    <row r="1497" spans="1:9" x14ac:dyDescent="0.15">
      <c r="A1497" s="9">
        <v>1496</v>
      </c>
      <c r="B1497" s="9" t="s">
        <v>9</v>
      </c>
      <c r="C1497" s="9">
        <v>1926</v>
      </c>
      <c r="D1497" s="10">
        <v>45722</v>
      </c>
      <c r="E1497" s="11" t="str">
        <f>+HYPERLINK("http://trademark.i-assist.jp/data/china/image_1926th/82324640.pdf","82324640")</f>
        <v>82324640</v>
      </c>
      <c r="F1497" s="9" t="s">
        <v>4175</v>
      </c>
      <c r="G1497" s="12" t="s">
        <v>4176</v>
      </c>
      <c r="H1497" s="9" t="s">
        <v>4177</v>
      </c>
      <c r="I1497" s="10">
        <v>45629</v>
      </c>
    </row>
    <row r="1498" spans="1:9" x14ac:dyDescent="0.15">
      <c r="A1498" s="9">
        <v>1497</v>
      </c>
      <c r="B1498" s="9" t="s">
        <v>9</v>
      </c>
      <c r="C1498" s="9">
        <v>1926</v>
      </c>
      <c r="D1498" s="10">
        <v>45722</v>
      </c>
      <c r="E1498" s="11" t="str">
        <f>+HYPERLINK("http://trademark.i-assist.jp/data/china/image_1926th/82324889.pdf","82324889")</f>
        <v>82324889</v>
      </c>
      <c r="F1498" s="9" t="s">
        <v>4178</v>
      </c>
      <c r="G1498" s="12" t="s">
        <v>4179</v>
      </c>
      <c r="H1498" s="9" t="s">
        <v>4180</v>
      </c>
      <c r="I1498" s="10">
        <v>45629</v>
      </c>
    </row>
    <row r="1499" spans="1:9" x14ac:dyDescent="0.15">
      <c r="A1499" s="9">
        <v>1498</v>
      </c>
      <c r="B1499" s="9" t="s">
        <v>9</v>
      </c>
      <c r="C1499" s="9">
        <v>1926</v>
      </c>
      <c r="D1499" s="10">
        <v>45722</v>
      </c>
      <c r="E1499" s="11" t="str">
        <f>+HYPERLINK("http://trademark.i-assist.jp/data/china/image_1926th/82325089.pdf","82325089")</f>
        <v>82325089</v>
      </c>
      <c r="F1499" s="9" t="s">
        <v>4181</v>
      </c>
      <c r="G1499" s="9" t="s">
        <v>26</v>
      </c>
      <c r="H1499" s="12" t="s">
        <v>4182</v>
      </c>
      <c r="I1499" s="10">
        <v>45629</v>
      </c>
    </row>
    <row r="1500" spans="1:9" x14ac:dyDescent="0.15">
      <c r="A1500" s="9">
        <v>1499</v>
      </c>
      <c r="B1500" s="9" t="s">
        <v>9</v>
      </c>
      <c r="C1500" s="9">
        <v>1926</v>
      </c>
      <c r="D1500" s="10">
        <v>45722</v>
      </c>
      <c r="E1500" s="11" t="str">
        <f>+HYPERLINK("http://trademark.i-assist.jp/data/china/image_1926th/82325110.pdf","82325110")</f>
        <v>82325110</v>
      </c>
      <c r="F1500" s="9" t="s">
        <v>4183</v>
      </c>
      <c r="G1500" s="9" t="s">
        <v>4184</v>
      </c>
      <c r="H1500" s="9" t="s">
        <v>4185</v>
      </c>
      <c r="I1500" s="10">
        <v>45629</v>
      </c>
    </row>
    <row r="1501" spans="1:9" x14ac:dyDescent="0.15">
      <c r="A1501" s="9">
        <v>1500</v>
      </c>
      <c r="B1501" s="9" t="s">
        <v>9</v>
      </c>
      <c r="C1501" s="9">
        <v>1926</v>
      </c>
      <c r="D1501" s="10">
        <v>45722</v>
      </c>
      <c r="E1501" s="11" t="str">
        <f>+HYPERLINK("http://trademark.i-assist.jp/data/china/image_1926th/82325312.pdf","82325312")</f>
        <v>82325312</v>
      </c>
      <c r="F1501" s="13" t="s">
        <v>4186</v>
      </c>
      <c r="G1501" s="9" t="s">
        <v>3915</v>
      </c>
      <c r="H1501" s="9" t="s">
        <v>4187</v>
      </c>
      <c r="I1501" s="10">
        <v>45629</v>
      </c>
    </row>
    <row r="1502" spans="1:9" x14ac:dyDescent="0.15">
      <c r="A1502" s="9">
        <v>1501</v>
      </c>
      <c r="B1502" s="9" t="s">
        <v>9</v>
      </c>
      <c r="C1502" s="9">
        <v>1926</v>
      </c>
      <c r="D1502" s="10">
        <v>45722</v>
      </c>
      <c r="E1502" s="11" t="str">
        <f>+HYPERLINK("http://trademark.i-assist.jp/data/china/image_1926th/82325342.pdf","82325342")</f>
        <v>82325342</v>
      </c>
      <c r="F1502" s="9" t="s">
        <v>4188</v>
      </c>
      <c r="G1502" s="9" t="s">
        <v>4189</v>
      </c>
      <c r="H1502" s="9" t="s">
        <v>4190</v>
      </c>
      <c r="I1502" s="10">
        <v>45629</v>
      </c>
    </row>
    <row r="1503" spans="1:9" x14ac:dyDescent="0.15">
      <c r="A1503" s="9">
        <v>1502</v>
      </c>
      <c r="B1503" s="9" t="s">
        <v>9</v>
      </c>
      <c r="C1503" s="9">
        <v>1926</v>
      </c>
      <c r="D1503" s="10">
        <v>45722</v>
      </c>
      <c r="E1503" s="11" t="str">
        <f>+HYPERLINK("http://trademark.i-assist.jp/data/china/image_1926th/82325351.pdf","82325351")</f>
        <v>82325351</v>
      </c>
      <c r="F1503" s="9" t="s">
        <v>4191</v>
      </c>
      <c r="G1503" s="9" t="s">
        <v>4192</v>
      </c>
      <c r="H1503" s="9" t="s">
        <v>4193</v>
      </c>
      <c r="I1503" s="10">
        <v>45629</v>
      </c>
    </row>
    <row r="1504" spans="1:9" x14ac:dyDescent="0.15">
      <c r="A1504" s="9">
        <v>1503</v>
      </c>
      <c r="B1504" s="9" t="s">
        <v>9</v>
      </c>
      <c r="C1504" s="9">
        <v>1926</v>
      </c>
      <c r="D1504" s="10">
        <v>45722</v>
      </c>
      <c r="E1504" s="11" t="str">
        <f>+HYPERLINK("http://trademark.i-assist.jp/data/china/image_1926th/82325366.pdf","82325366")</f>
        <v>82325366</v>
      </c>
      <c r="F1504" s="12" t="s">
        <v>20</v>
      </c>
      <c r="G1504" s="9" t="s">
        <v>4171</v>
      </c>
      <c r="H1504" s="9" t="s">
        <v>4194</v>
      </c>
      <c r="I1504" s="10">
        <v>45629</v>
      </c>
    </row>
    <row r="1505" spans="1:9" x14ac:dyDescent="0.15">
      <c r="A1505" s="9">
        <v>1504</v>
      </c>
      <c r="B1505" s="9" t="s">
        <v>9</v>
      </c>
      <c r="C1505" s="9">
        <v>1926</v>
      </c>
      <c r="D1505" s="10">
        <v>45722</v>
      </c>
      <c r="E1505" s="11" t="str">
        <f>+HYPERLINK("http://trademark.i-assist.jp/data/china/image_1926th/82325410.pdf","82325410")</f>
        <v>82325410</v>
      </c>
      <c r="F1505" s="9" t="s">
        <v>4195</v>
      </c>
      <c r="G1505" s="9" t="s">
        <v>4196</v>
      </c>
      <c r="H1505" s="9" t="s">
        <v>4197</v>
      </c>
      <c r="I1505" s="10">
        <v>45629</v>
      </c>
    </row>
    <row r="1506" spans="1:9" x14ac:dyDescent="0.15">
      <c r="A1506" s="9">
        <v>1505</v>
      </c>
      <c r="B1506" s="9" t="s">
        <v>9</v>
      </c>
      <c r="C1506" s="9">
        <v>1926</v>
      </c>
      <c r="D1506" s="10">
        <v>45722</v>
      </c>
      <c r="E1506" s="11" t="str">
        <f>+HYPERLINK("http://trademark.i-assist.jp/data/china/image_1926th/82325447.pdf","82325447")</f>
        <v>82325447</v>
      </c>
      <c r="F1506" s="9" t="s">
        <v>4198</v>
      </c>
      <c r="G1506" s="9" t="s">
        <v>3898</v>
      </c>
      <c r="H1506" s="9" t="s">
        <v>4199</v>
      </c>
      <c r="I1506" s="10">
        <v>45629</v>
      </c>
    </row>
    <row r="1507" spans="1:9" x14ac:dyDescent="0.15">
      <c r="A1507" s="9">
        <v>1506</v>
      </c>
      <c r="B1507" s="9" t="s">
        <v>9</v>
      </c>
      <c r="C1507" s="9">
        <v>1926</v>
      </c>
      <c r="D1507" s="10">
        <v>45722</v>
      </c>
      <c r="E1507" s="11" t="str">
        <f>+HYPERLINK("http://trademark.i-assist.jp/data/china/image_1926th/82325674.pdf","82325674")</f>
        <v>82325674</v>
      </c>
      <c r="F1507" s="9" t="s">
        <v>4200</v>
      </c>
      <c r="G1507" s="9" t="s">
        <v>4189</v>
      </c>
      <c r="H1507" s="9" t="s">
        <v>4201</v>
      </c>
      <c r="I1507" s="10">
        <v>45629</v>
      </c>
    </row>
    <row r="1508" spans="1:9" x14ac:dyDescent="0.15">
      <c r="A1508" s="9">
        <v>1507</v>
      </c>
      <c r="B1508" s="9" t="s">
        <v>9</v>
      </c>
      <c r="C1508" s="9">
        <v>1926</v>
      </c>
      <c r="D1508" s="10">
        <v>45722</v>
      </c>
      <c r="E1508" s="11" t="str">
        <f>+HYPERLINK("http://trademark.i-assist.jp/data/china/image_1926th/82326439.pdf","82326439")</f>
        <v>82326439</v>
      </c>
      <c r="F1508" s="9" t="s">
        <v>4202</v>
      </c>
      <c r="G1508" s="12" t="s">
        <v>4203</v>
      </c>
      <c r="H1508" s="9" t="s">
        <v>4204</v>
      </c>
      <c r="I1508" s="10">
        <v>45629</v>
      </c>
    </row>
    <row r="1509" spans="1:9" x14ac:dyDescent="0.15">
      <c r="A1509" s="9">
        <v>1508</v>
      </c>
      <c r="B1509" s="9" t="s">
        <v>9</v>
      </c>
      <c r="C1509" s="9">
        <v>1926</v>
      </c>
      <c r="D1509" s="10">
        <v>45722</v>
      </c>
      <c r="E1509" s="11" t="str">
        <f>+HYPERLINK("http://trademark.i-assist.jp/data/china/image_1926th/82326544.pdf","82326544")</f>
        <v>82326544</v>
      </c>
      <c r="F1509" s="9" t="s">
        <v>4205</v>
      </c>
      <c r="G1509" s="9" t="s">
        <v>4206</v>
      </c>
      <c r="H1509" s="9" t="s">
        <v>4207</v>
      </c>
      <c r="I1509" s="10">
        <v>45629</v>
      </c>
    </row>
    <row r="1510" spans="1:9" x14ac:dyDescent="0.15">
      <c r="A1510" s="9">
        <v>1509</v>
      </c>
      <c r="B1510" s="9" t="s">
        <v>9</v>
      </c>
      <c r="C1510" s="9">
        <v>1926</v>
      </c>
      <c r="D1510" s="10">
        <v>45722</v>
      </c>
      <c r="E1510" s="11" t="str">
        <f>+HYPERLINK("http://trademark.i-assist.jp/data/china/image_1926th/82327139.pdf","82327139")</f>
        <v>82327139</v>
      </c>
      <c r="F1510" s="9" t="s">
        <v>4208</v>
      </c>
      <c r="G1510" s="9" t="s">
        <v>4209</v>
      </c>
      <c r="H1510" s="9" t="s">
        <v>4210</v>
      </c>
      <c r="I1510" s="10">
        <v>45629</v>
      </c>
    </row>
    <row r="1511" spans="1:9" x14ac:dyDescent="0.15">
      <c r="A1511" s="9">
        <v>1510</v>
      </c>
      <c r="B1511" s="9" t="s">
        <v>9</v>
      </c>
      <c r="C1511" s="9">
        <v>1926</v>
      </c>
      <c r="D1511" s="10">
        <v>45722</v>
      </c>
      <c r="E1511" s="11" t="str">
        <f>+HYPERLINK("http://trademark.i-assist.jp/data/china/image_1926th/82327215.pdf","82327215")</f>
        <v>82327215</v>
      </c>
      <c r="F1511" s="12" t="s">
        <v>4211</v>
      </c>
      <c r="G1511" s="9" t="s">
        <v>4212</v>
      </c>
      <c r="H1511" s="9" t="s">
        <v>4213</v>
      </c>
      <c r="I1511" s="10">
        <v>45629</v>
      </c>
    </row>
    <row r="1512" spans="1:9" x14ac:dyDescent="0.15">
      <c r="A1512" s="9">
        <v>1511</v>
      </c>
      <c r="B1512" s="9" t="s">
        <v>9</v>
      </c>
      <c r="C1512" s="9">
        <v>1926</v>
      </c>
      <c r="D1512" s="10">
        <v>45722</v>
      </c>
      <c r="E1512" s="11" t="str">
        <f>+HYPERLINK("http://trademark.i-assist.jp/data/china/image_1926th/82327500.pdf","82327500")</f>
        <v>82327500</v>
      </c>
      <c r="F1512" s="9" t="s">
        <v>4214</v>
      </c>
      <c r="G1512" s="9" t="s">
        <v>4043</v>
      </c>
      <c r="H1512" s="9" t="s">
        <v>4215</v>
      </c>
      <c r="I1512" s="10">
        <v>45629</v>
      </c>
    </row>
    <row r="1513" spans="1:9" x14ac:dyDescent="0.15">
      <c r="A1513" s="9">
        <v>1512</v>
      </c>
      <c r="B1513" s="9" t="s">
        <v>9</v>
      </c>
      <c r="C1513" s="9">
        <v>1926</v>
      </c>
      <c r="D1513" s="10">
        <v>45722</v>
      </c>
      <c r="E1513" s="11" t="str">
        <f>+HYPERLINK("http://trademark.i-assist.jp/data/china/image_1926th/82327721.pdf","82327721")</f>
        <v>82327721</v>
      </c>
      <c r="F1513" s="9" t="s">
        <v>4216</v>
      </c>
      <c r="G1513" s="9" t="s">
        <v>4217</v>
      </c>
      <c r="H1513" s="9" t="s">
        <v>4218</v>
      </c>
      <c r="I1513" s="10">
        <v>45629</v>
      </c>
    </row>
    <row r="1514" spans="1:9" x14ac:dyDescent="0.15">
      <c r="A1514" s="9">
        <v>1513</v>
      </c>
      <c r="B1514" s="9" t="s">
        <v>9</v>
      </c>
      <c r="C1514" s="9">
        <v>1926</v>
      </c>
      <c r="D1514" s="10">
        <v>45722</v>
      </c>
      <c r="E1514" s="11" t="str">
        <f>+HYPERLINK("http://trademark.i-assist.jp/data/china/image_1926th/82327854.pdf","82327854")</f>
        <v>82327854</v>
      </c>
      <c r="F1514" s="12" t="s">
        <v>4219</v>
      </c>
      <c r="G1514" s="12" t="s">
        <v>4220</v>
      </c>
      <c r="H1514" s="9" t="s">
        <v>4221</v>
      </c>
      <c r="I1514" s="10">
        <v>45629</v>
      </c>
    </row>
    <row r="1515" spans="1:9" x14ac:dyDescent="0.15">
      <c r="A1515" s="9">
        <v>1514</v>
      </c>
      <c r="B1515" s="9" t="s">
        <v>9</v>
      </c>
      <c r="C1515" s="9">
        <v>1926</v>
      </c>
      <c r="D1515" s="10">
        <v>45722</v>
      </c>
      <c r="E1515" s="11" t="str">
        <f>+HYPERLINK("http://trademark.i-assist.jp/data/china/image_1926th/82327878.pdf","82327878")</f>
        <v>82327878</v>
      </c>
      <c r="F1515" s="9" t="s">
        <v>4222</v>
      </c>
      <c r="G1515" s="12" t="s">
        <v>4223</v>
      </c>
      <c r="H1515" s="9" t="s">
        <v>4224</v>
      </c>
      <c r="I1515" s="10">
        <v>45629</v>
      </c>
    </row>
    <row r="1516" spans="1:9" x14ac:dyDescent="0.15">
      <c r="A1516" s="9">
        <v>1515</v>
      </c>
      <c r="B1516" s="9" t="s">
        <v>9</v>
      </c>
      <c r="C1516" s="9">
        <v>1926</v>
      </c>
      <c r="D1516" s="10">
        <v>45722</v>
      </c>
      <c r="E1516" s="11" t="str">
        <f>+HYPERLINK("http://trademark.i-assist.jp/data/china/image_1926th/82327967.pdf","82327967")</f>
        <v>82327967</v>
      </c>
      <c r="F1516" s="12" t="s">
        <v>4225</v>
      </c>
      <c r="G1516" s="9" t="s">
        <v>3907</v>
      </c>
      <c r="H1516" s="9" t="s">
        <v>4226</v>
      </c>
      <c r="I1516" s="10">
        <v>45629</v>
      </c>
    </row>
    <row r="1517" spans="1:9" x14ac:dyDescent="0.15">
      <c r="A1517" s="9">
        <v>1516</v>
      </c>
      <c r="B1517" s="9" t="s">
        <v>9</v>
      </c>
      <c r="C1517" s="9">
        <v>1926</v>
      </c>
      <c r="D1517" s="10">
        <v>45722</v>
      </c>
      <c r="E1517" s="11" t="str">
        <f>+HYPERLINK("http://trademark.i-assist.jp/data/china/image_1926th/82328055.pdf","82328055")</f>
        <v>82328055</v>
      </c>
      <c r="F1517" s="9" t="s">
        <v>4227</v>
      </c>
      <c r="G1517" s="12" t="s">
        <v>172</v>
      </c>
      <c r="H1517" s="9" t="s">
        <v>4228</v>
      </c>
      <c r="I1517" s="10">
        <v>45629</v>
      </c>
    </row>
    <row r="1518" spans="1:9" x14ac:dyDescent="0.15">
      <c r="A1518" s="9">
        <v>1517</v>
      </c>
      <c r="B1518" s="9" t="s">
        <v>9</v>
      </c>
      <c r="C1518" s="9">
        <v>1926</v>
      </c>
      <c r="D1518" s="10">
        <v>45722</v>
      </c>
      <c r="E1518" s="11" t="str">
        <f>+HYPERLINK("http://trademark.i-assist.jp/data/china/image_1926th/82328218.pdf","82328218")</f>
        <v>82328218</v>
      </c>
      <c r="F1518" s="9" t="s">
        <v>4229</v>
      </c>
      <c r="G1518" s="9" t="s">
        <v>4230</v>
      </c>
      <c r="H1518" s="12" t="s">
        <v>4231</v>
      </c>
      <c r="I1518" s="10">
        <v>45629</v>
      </c>
    </row>
    <row r="1519" spans="1:9" x14ac:dyDescent="0.15">
      <c r="A1519" s="9">
        <v>1518</v>
      </c>
      <c r="B1519" s="9" t="s">
        <v>9</v>
      </c>
      <c r="C1519" s="9">
        <v>1926</v>
      </c>
      <c r="D1519" s="10">
        <v>45722</v>
      </c>
      <c r="E1519" s="11" t="str">
        <f>+HYPERLINK("http://trademark.i-assist.jp/data/china/image_1926th/82328324.pdf","82328324")</f>
        <v>82328324</v>
      </c>
      <c r="F1519" s="12" t="s">
        <v>4232</v>
      </c>
      <c r="G1519" s="9" t="s">
        <v>4233</v>
      </c>
      <c r="H1519" s="12" t="s">
        <v>4234</v>
      </c>
      <c r="I1519" s="10">
        <v>45629</v>
      </c>
    </row>
    <row r="1520" spans="1:9" x14ac:dyDescent="0.15">
      <c r="A1520" s="9">
        <v>1519</v>
      </c>
      <c r="B1520" s="9" t="s">
        <v>9</v>
      </c>
      <c r="C1520" s="9">
        <v>1926</v>
      </c>
      <c r="D1520" s="10">
        <v>45722</v>
      </c>
      <c r="E1520" s="11" t="str">
        <f>+HYPERLINK("http://trademark.i-assist.jp/data/china/image_1926th/82328373.pdf","82328373")</f>
        <v>82328373</v>
      </c>
      <c r="F1520" s="9" t="s">
        <v>4235</v>
      </c>
      <c r="G1520" s="9" t="s">
        <v>176</v>
      </c>
      <c r="H1520" s="9" t="s">
        <v>4236</v>
      </c>
      <c r="I1520" s="10">
        <v>45629</v>
      </c>
    </row>
    <row r="1521" spans="1:9" x14ac:dyDescent="0.15">
      <c r="A1521" s="9">
        <v>1520</v>
      </c>
      <c r="B1521" s="9" t="s">
        <v>9</v>
      </c>
      <c r="C1521" s="9">
        <v>1926</v>
      </c>
      <c r="D1521" s="10">
        <v>45722</v>
      </c>
      <c r="E1521" s="11" t="str">
        <f>+HYPERLINK("http://trademark.i-assist.jp/data/china/image_1926th/82328400.pdf","82328400")</f>
        <v>82328400</v>
      </c>
      <c r="F1521" s="12" t="s">
        <v>4237</v>
      </c>
      <c r="G1521" s="9" t="s">
        <v>4238</v>
      </c>
      <c r="H1521" s="9" t="s">
        <v>4239</v>
      </c>
      <c r="I1521" s="10">
        <v>45629</v>
      </c>
    </row>
    <row r="1522" spans="1:9" x14ac:dyDescent="0.15">
      <c r="A1522" s="9">
        <v>1521</v>
      </c>
      <c r="B1522" s="9" t="s">
        <v>9</v>
      </c>
      <c r="C1522" s="9">
        <v>1926</v>
      </c>
      <c r="D1522" s="10">
        <v>45722</v>
      </c>
      <c r="E1522" s="11" t="str">
        <f>+HYPERLINK("http://trademark.i-assist.jp/data/china/image_1926th/82328564.pdf","82328564")</f>
        <v>82328564</v>
      </c>
      <c r="F1522" s="9" t="s">
        <v>4240</v>
      </c>
      <c r="G1522" s="9" t="s">
        <v>4075</v>
      </c>
      <c r="H1522" s="12" t="s">
        <v>4241</v>
      </c>
      <c r="I1522" s="10">
        <v>45629</v>
      </c>
    </row>
    <row r="1523" spans="1:9" x14ac:dyDescent="0.15">
      <c r="A1523" s="9">
        <v>1522</v>
      </c>
      <c r="B1523" s="9" t="s">
        <v>9</v>
      </c>
      <c r="C1523" s="9">
        <v>1926</v>
      </c>
      <c r="D1523" s="10">
        <v>45722</v>
      </c>
      <c r="E1523" s="11" t="str">
        <f>+HYPERLINK("http://trademark.i-assist.jp/data/china/image_1926th/82328768.pdf","82328768")</f>
        <v>82328768</v>
      </c>
      <c r="F1523" s="9" t="s">
        <v>4242</v>
      </c>
      <c r="G1523" s="9" t="s">
        <v>4038</v>
      </c>
      <c r="H1523" s="9" t="s">
        <v>4243</v>
      </c>
      <c r="I1523" s="10">
        <v>45629</v>
      </c>
    </row>
    <row r="1524" spans="1:9" x14ac:dyDescent="0.15">
      <c r="A1524" s="9">
        <v>1523</v>
      </c>
      <c r="B1524" s="9" t="s">
        <v>9</v>
      </c>
      <c r="C1524" s="9">
        <v>1926</v>
      </c>
      <c r="D1524" s="10">
        <v>45722</v>
      </c>
      <c r="E1524" s="11" t="str">
        <f>+HYPERLINK("http://trademark.i-assist.jp/data/china/image_1926th/82328785.pdf","82328785")</f>
        <v>82328785</v>
      </c>
      <c r="F1524" s="9" t="s">
        <v>4244</v>
      </c>
      <c r="G1524" s="9" t="s">
        <v>4245</v>
      </c>
      <c r="H1524" s="9" t="s">
        <v>4246</v>
      </c>
      <c r="I1524" s="10">
        <v>45629</v>
      </c>
    </row>
    <row r="1525" spans="1:9" x14ac:dyDescent="0.15">
      <c r="A1525" s="9">
        <v>1524</v>
      </c>
      <c r="B1525" s="9" t="s">
        <v>9</v>
      </c>
      <c r="C1525" s="9">
        <v>1926</v>
      </c>
      <c r="D1525" s="10">
        <v>45722</v>
      </c>
      <c r="E1525" s="11" t="str">
        <f>+HYPERLINK("http://trademark.i-assist.jp/data/china/image_1926th/82328804.pdf","82328804")</f>
        <v>82328804</v>
      </c>
      <c r="F1525" s="9" t="s">
        <v>4247</v>
      </c>
      <c r="G1525" s="12" t="s">
        <v>4248</v>
      </c>
      <c r="H1525" s="12" t="s">
        <v>4249</v>
      </c>
      <c r="I1525" s="10">
        <v>45629</v>
      </c>
    </row>
    <row r="1526" spans="1:9" x14ac:dyDescent="0.15">
      <c r="A1526" s="9">
        <v>1525</v>
      </c>
      <c r="B1526" s="9" t="s">
        <v>9</v>
      </c>
      <c r="C1526" s="9">
        <v>1926</v>
      </c>
      <c r="D1526" s="10">
        <v>45722</v>
      </c>
      <c r="E1526" s="11" t="str">
        <f>+HYPERLINK("http://trademark.i-assist.jp/data/china/image_1926th/82328917.pdf","82328917")</f>
        <v>82328917</v>
      </c>
      <c r="F1526" s="9" t="s">
        <v>4250</v>
      </c>
      <c r="G1526" s="9" t="s">
        <v>4251</v>
      </c>
      <c r="H1526" s="9" t="s">
        <v>4252</v>
      </c>
      <c r="I1526" s="10">
        <v>45629</v>
      </c>
    </row>
    <row r="1527" spans="1:9" x14ac:dyDescent="0.15">
      <c r="A1527" s="9">
        <v>1526</v>
      </c>
      <c r="B1527" s="9" t="s">
        <v>9</v>
      </c>
      <c r="C1527" s="9">
        <v>1926</v>
      </c>
      <c r="D1527" s="10">
        <v>45722</v>
      </c>
      <c r="E1527" s="11" t="str">
        <f>+HYPERLINK("http://trademark.i-assist.jp/data/china/image_1926th/82329021.pdf","82329021")</f>
        <v>82329021</v>
      </c>
      <c r="F1527" s="9" t="s">
        <v>4253</v>
      </c>
      <c r="G1527" s="12" t="s">
        <v>4254</v>
      </c>
      <c r="H1527" s="9" t="s">
        <v>4255</v>
      </c>
      <c r="I1527" s="10">
        <v>45629</v>
      </c>
    </row>
    <row r="1528" spans="1:9" x14ac:dyDescent="0.15">
      <c r="A1528" s="9">
        <v>1527</v>
      </c>
      <c r="B1528" s="9" t="s">
        <v>9</v>
      </c>
      <c r="C1528" s="9">
        <v>1926</v>
      </c>
      <c r="D1528" s="10">
        <v>45722</v>
      </c>
      <c r="E1528" s="11" t="str">
        <f>+HYPERLINK("http://trademark.i-assist.jp/data/china/image_1926th/82329090.pdf","82329090")</f>
        <v>82329090</v>
      </c>
      <c r="F1528" s="9" t="s">
        <v>4256</v>
      </c>
      <c r="G1528" s="12" t="s">
        <v>4257</v>
      </c>
      <c r="H1528" s="9" t="s">
        <v>4258</v>
      </c>
      <c r="I1528" s="10">
        <v>45629</v>
      </c>
    </row>
    <row r="1529" spans="1:9" x14ac:dyDescent="0.15">
      <c r="A1529" s="9">
        <v>1528</v>
      </c>
      <c r="B1529" s="9" t="s">
        <v>9</v>
      </c>
      <c r="C1529" s="9">
        <v>1926</v>
      </c>
      <c r="D1529" s="10">
        <v>45722</v>
      </c>
      <c r="E1529" s="11" t="str">
        <f>+HYPERLINK("http://trademark.i-assist.jp/data/china/image_1926th/82329103.pdf","82329103")</f>
        <v>82329103</v>
      </c>
      <c r="F1529" s="9" t="s">
        <v>4259</v>
      </c>
      <c r="G1529" s="12" t="s">
        <v>4257</v>
      </c>
      <c r="H1529" s="9" t="s">
        <v>4260</v>
      </c>
      <c r="I1529" s="10">
        <v>45629</v>
      </c>
    </row>
    <row r="1530" spans="1:9" x14ac:dyDescent="0.15">
      <c r="A1530" s="9">
        <v>1529</v>
      </c>
      <c r="B1530" s="9" t="s">
        <v>9</v>
      </c>
      <c r="C1530" s="9">
        <v>1926</v>
      </c>
      <c r="D1530" s="10">
        <v>45722</v>
      </c>
      <c r="E1530" s="11" t="str">
        <f>+HYPERLINK("http://trademark.i-assist.jp/data/china/image_1926th/82329380.pdf","82329380")</f>
        <v>82329380</v>
      </c>
      <c r="F1530" s="9" t="s">
        <v>4261</v>
      </c>
      <c r="G1530" s="12" t="s">
        <v>4262</v>
      </c>
      <c r="H1530" s="9" t="s">
        <v>4263</v>
      </c>
      <c r="I1530" s="10">
        <v>45629</v>
      </c>
    </row>
    <row r="1531" spans="1:9" x14ac:dyDescent="0.15">
      <c r="A1531" s="9">
        <v>1530</v>
      </c>
      <c r="B1531" s="9" t="s">
        <v>9</v>
      </c>
      <c r="C1531" s="9">
        <v>1926</v>
      </c>
      <c r="D1531" s="10">
        <v>45722</v>
      </c>
      <c r="E1531" s="11" t="str">
        <f>+HYPERLINK("http://trademark.i-assist.jp/data/china/image_1926th/82329516.pdf","82329516")</f>
        <v>82329516</v>
      </c>
      <c r="F1531" s="9" t="s">
        <v>4264</v>
      </c>
      <c r="G1531" s="9" t="s">
        <v>26</v>
      </c>
      <c r="H1531" s="9" t="s">
        <v>4265</v>
      </c>
      <c r="I1531" s="10">
        <v>45629</v>
      </c>
    </row>
    <row r="1532" spans="1:9" x14ac:dyDescent="0.15">
      <c r="A1532" s="9">
        <v>1531</v>
      </c>
      <c r="B1532" s="9" t="s">
        <v>9</v>
      </c>
      <c r="C1532" s="9">
        <v>1926</v>
      </c>
      <c r="D1532" s="10">
        <v>45722</v>
      </c>
      <c r="E1532" s="11" t="str">
        <f>+HYPERLINK("http://trademark.i-assist.jp/data/china/image_1926th/82329582.pdf","82329582")</f>
        <v>82329582</v>
      </c>
      <c r="F1532" s="9" t="s">
        <v>4266</v>
      </c>
      <c r="G1532" s="9" t="s">
        <v>3898</v>
      </c>
      <c r="H1532" s="9" t="s">
        <v>4267</v>
      </c>
      <c r="I1532" s="10">
        <v>45629</v>
      </c>
    </row>
    <row r="1533" spans="1:9" x14ac:dyDescent="0.15">
      <c r="A1533" s="9">
        <v>1532</v>
      </c>
      <c r="B1533" s="9" t="s">
        <v>9</v>
      </c>
      <c r="C1533" s="9">
        <v>1926</v>
      </c>
      <c r="D1533" s="10">
        <v>45722</v>
      </c>
      <c r="E1533" s="11" t="str">
        <f>+HYPERLINK("http://trademark.i-assist.jp/data/china/image_1926th/82329662.pdf","82329662")</f>
        <v>82329662</v>
      </c>
      <c r="F1533" s="12" t="s">
        <v>4268</v>
      </c>
      <c r="G1533" s="9" t="s">
        <v>26</v>
      </c>
      <c r="H1533" s="9" t="s">
        <v>4269</v>
      </c>
      <c r="I1533" s="10">
        <v>45629</v>
      </c>
    </row>
    <row r="1534" spans="1:9" x14ac:dyDescent="0.15">
      <c r="A1534" s="9">
        <v>1533</v>
      </c>
      <c r="B1534" s="9" t="s">
        <v>9</v>
      </c>
      <c r="C1534" s="9">
        <v>1926</v>
      </c>
      <c r="D1534" s="10">
        <v>45722</v>
      </c>
      <c r="E1534" s="11" t="str">
        <f>+HYPERLINK("http://trademark.i-assist.jp/data/china/image_1926th/82329678.pdf","82329678")</f>
        <v>82329678</v>
      </c>
      <c r="F1534" s="9" t="s">
        <v>4270</v>
      </c>
      <c r="G1534" s="9" t="s">
        <v>4084</v>
      </c>
      <c r="H1534" s="9" t="s">
        <v>4271</v>
      </c>
      <c r="I1534" s="10">
        <v>45629</v>
      </c>
    </row>
    <row r="1535" spans="1:9" x14ac:dyDescent="0.15">
      <c r="A1535" s="9">
        <v>1534</v>
      </c>
      <c r="B1535" s="9" t="s">
        <v>9</v>
      </c>
      <c r="C1535" s="9">
        <v>1926</v>
      </c>
      <c r="D1535" s="10">
        <v>45722</v>
      </c>
      <c r="E1535" s="11" t="str">
        <f>+HYPERLINK("http://trademark.i-assist.jp/data/china/image_1926th/82329679.pdf","82329679")</f>
        <v>82329679</v>
      </c>
      <c r="F1535" s="9" t="s">
        <v>4272</v>
      </c>
      <c r="G1535" s="9" t="s">
        <v>26</v>
      </c>
      <c r="H1535" s="9" t="s">
        <v>4273</v>
      </c>
      <c r="I1535" s="10">
        <v>45629</v>
      </c>
    </row>
    <row r="1536" spans="1:9" x14ac:dyDescent="0.15">
      <c r="A1536" s="9">
        <v>1535</v>
      </c>
      <c r="B1536" s="9" t="s">
        <v>9</v>
      </c>
      <c r="C1536" s="9">
        <v>1926</v>
      </c>
      <c r="D1536" s="10">
        <v>45722</v>
      </c>
      <c r="E1536" s="11" t="str">
        <f>+HYPERLINK("http://trademark.i-assist.jp/data/china/image_1926th/82329683.pdf","82329683")</f>
        <v>82329683</v>
      </c>
      <c r="F1536" s="9" t="s">
        <v>4274</v>
      </c>
      <c r="G1536" s="12" t="s">
        <v>4275</v>
      </c>
      <c r="H1536" s="9" t="s">
        <v>4276</v>
      </c>
      <c r="I1536" s="10">
        <v>45629</v>
      </c>
    </row>
    <row r="1537" spans="1:9" x14ac:dyDescent="0.15">
      <c r="A1537" s="9">
        <v>1536</v>
      </c>
      <c r="B1537" s="9" t="s">
        <v>9</v>
      </c>
      <c r="C1537" s="9">
        <v>1926</v>
      </c>
      <c r="D1537" s="10">
        <v>45722</v>
      </c>
      <c r="E1537" s="11" t="str">
        <f>+HYPERLINK("http://trademark.i-assist.jp/data/china/image_1926th/82329804.pdf","82329804")</f>
        <v>82329804</v>
      </c>
      <c r="F1537" s="9" t="s">
        <v>4277</v>
      </c>
      <c r="G1537" s="9" t="s">
        <v>4278</v>
      </c>
      <c r="H1537" s="9" t="s">
        <v>4279</v>
      </c>
      <c r="I1537" s="10">
        <v>45629</v>
      </c>
    </row>
    <row r="1538" spans="1:9" x14ac:dyDescent="0.15">
      <c r="A1538" s="9">
        <v>1537</v>
      </c>
      <c r="B1538" s="9" t="s">
        <v>9</v>
      </c>
      <c r="C1538" s="9">
        <v>1926</v>
      </c>
      <c r="D1538" s="10">
        <v>45722</v>
      </c>
      <c r="E1538" s="11" t="str">
        <f>+HYPERLINK("http://trademark.i-assist.jp/data/china/image_1926th/82329810.pdf","82329810")</f>
        <v>82329810</v>
      </c>
      <c r="F1538" s="9" t="s">
        <v>4280</v>
      </c>
      <c r="G1538" s="9" t="s">
        <v>33</v>
      </c>
      <c r="H1538" s="9" t="s">
        <v>4281</v>
      </c>
      <c r="I1538" s="10">
        <v>45629</v>
      </c>
    </row>
    <row r="1539" spans="1:9" x14ac:dyDescent="0.15">
      <c r="A1539" s="9">
        <v>1538</v>
      </c>
      <c r="B1539" s="9" t="s">
        <v>9</v>
      </c>
      <c r="C1539" s="9">
        <v>1926</v>
      </c>
      <c r="D1539" s="10">
        <v>45722</v>
      </c>
      <c r="E1539" s="11" t="str">
        <f>+HYPERLINK("http://trademark.i-assist.jp/data/china/image_1926th/82329838.pdf","82329838")</f>
        <v>82329838</v>
      </c>
      <c r="F1539" s="9" t="s">
        <v>4282</v>
      </c>
      <c r="G1539" s="9" t="s">
        <v>26</v>
      </c>
      <c r="H1539" s="12" t="s">
        <v>4283</v>
      </c>
      <c r="I1539" s="10">
        <v>45629</v>
      </c>
    </row>
    <row r="1540" spans="1:9" x14ac:dyDescent="0.15">
      <c r="A1540" s="9">
        <v>1539</v>
      </c>
      <c r="B1540" s="9" t="s">
        <v>9</v>
      </c>
      <c r="C1540" s="9">
        <v>1926</v>
      </c>
      <c r="D1540" s="10">
        <v>45722</v>
      </c>
      <c r="E1540" s="11" t="str">
        <f>+HYPERLINK("http://trademark.i-assist.jp/data/china/image_1926th/82329862.pdf","82329862")</f>
        <v>82329862</v>
      </c>
      <c r="F1540" s="12" t="s">
        <v>4284</v>
      </c>
      <c r="G1540" s="9" t="s">
        <v>4033</v>
      </c>
      <c r="H1540" s="9" t="s">
        <v>4285</v>
      </c>
      <c r="I1540" s="10">
        <v>45629</v>
      </c>
    </row>
    <row r="1541" spans="1:9" x14ac:dyDescent="0.15">
      <c r="A1541" s="9">
        <v>1540</v>
      </c>
      <c r="B1541" s="9" t="s">
        <v>9</v>
      </c>
      <c r="C1541" s="9">
        <v>1926</v>
      </c>
      <c r="D1541" s="10">
        <v>45722</v>
      </c>
      <c r="E1541" s="11" t="str">
        <f>+HYPERLINK("http://trademark.i-assist.jp/data/china/image_1926th/82330911.pdf","82330911")</f>
        <v>82330911</v>
      </c>
      <c r="F1541" s="9" t="s">
        <v>4286</v>
      </c>
      <c r="G1541" s="9" t="s">
        <v>4287</v>
      </c>
      <c r="H1541" s="12" t="s">
        <v>4288</v>
      </c>
      <c r="I1541" s="10">
        <v>45629</v>
      </c>
    </row>
    <row r="1542" spans="1:9" x14ac:dyDescent="0.15">
      <c r="A1542" s="9">
        <v>1541</v>
      </c>
      <c r="B1542" s="9" t="s">
        <v>9</v>
      </c>
      <c r="C1542" s="9">
        <v>1926</v>
      </c>
      <c r="D1542" s="10">
        <v>45722</v>
      </c>
      <c r="E1542" s="11" t="str">
        <f>+HYPERLINK("http://trademark.i-assist.jp/data/china/image_1926th/82331012.pdf","82331012")</f>
        <v>82331012</v>
      </c>
      <c r="F1542" s="9" t="s">
        <v>4289</v>
      </c>
      <c r="G1542" s="12" t="s">
        <v>4290</v>
      </c>
      <c r="H1542" s="9" t="s">
        <v>4291</v>
      </c>
      <c r="I1542" s="10">
        <v>45629</v>
      </c>
    </row>
    <row r="1543" spans="1:9" x14ac:dyDescent="0.15">
      <c r="A1543" s="9">
        <v>1542</v>
      </c>
      <c r="B1543" s="9" t="s">
        <v>9</v>
      </c>
      <c r="C1543" s="9">
        <v>1926</v>
      </c>
      <c r="D1543" s="10">
        <v>45722</v>
      </c>
      <c r="E1543" s="11" t="str">
        <f>+HYPERLINK("http://trademark.i-assist.jp/data/china/image_1926th/82331252.pdf","82331252")</f>
        <v>82331252</v>
      </c>
      <c r="F1543" s="9" t="s">
        <v>4292</v>
      </c>
      <c r="G1543" s="12" t="s">
        <v>4293</v>
      </c>
      <c r="H1543" s="9" t="s">
        <v>4294</v>
      </c>
      <c r="I1543" s="10">
        <v>45629</v>
      </c>
    </row>
    <row r="1544" spans="1:9" x14ac:dyDescent="0.15">
      <c r="A1544" s="9">
        <v>1543</v>
      </c>
      <c r="B1544" s="9" t="s">
        <v>9</v>
      </c>
      <c r="C1544" s="9">
        <v>1926</v>
      </c>
      <c r="D1544" s="10">
        <v>45722</v>
      </c>
      <c r="E1544" s="11" t="str">
        <f>+HYPERLINK("http://trademark.i-assist.jp/data/china/image_1926th/82331316.pdf","82331316")</f>
        <v>82331316</v>
      </c>
      <c r="F1544" s="9" t="s">
        <v>4295</v>
      </c>
      <c r="G1544" s="9" t="s">
        <v>170</v>
      </c>
      <c r="H1544" s="9" t="s">
        <v>4296</v>
      </c>
      <c r="I1544" s="10">
        <v>45629</v>
      </c>
    </row>
    <row r="1545" spans="1:9" x14ac:dyDescent="0.15">
      <c r="A1545" s="9">
        <v>1544</v>
      </c>
      <c r="B1545" s="9" t="s">
        <v>9</v>
      </c>
      <c r="C1545" s="9">
        <v>1926</v>
      </c>
      <c r="D1545" s="10">
        <v>45722</v>
      </c>
      <c r="E1545" s="11" t="str">
        <f>+HYPERLINK("http://trademark.i-assist.jp/data/china/image_1926th/82331385.pdf","82331385")</f>
        <v>82331385</v>
      </c>
      <c r="F1545" s="9" t="s">
        <v>4297</v>
      </c>
      <c r="G1545" s="9" t="s">
        <v>3907</v>
      </c>
      <c r="H1545" s="9" t="s">
        <v>4298</v>
      </c>
      <c r="I1545" s="10">
        <v>45629</v>
      </c>
    </row>
    <row r="1546" spans="1:9" x14ac:dyDescent="0.15">
      <c r="A1546" s="9">
        <v>1545</v>
      </c>
      <c r="B1546" s="9" t="s">
        <v>9</v>
      </c>
      <c r="C1546" s="9">
        <v>1926</v>
      </c>
      <c r="D1546" s="10">
        <v>45722</v>
      </c>
      <c r="E1546" s="11" t="str">
        <f>+HYPERLINK("http://trademark.i-assist.jp/data/china/image_1926th/82331513.pdf","82331513")</f>
        <v>82331513</v>
      </c>
      <c r="F1546" s="9" t="s">
        <v>4299</v>
      </c>
      <c r="G1546" s="9" t="s">
        <v>4196</v>
      </c>
      <c r="H1546" s="9" t="s">
        <v>4300</v>
      </c>
      <c r="I1546" s="10">
        <v>45629</v>
      </c>
    </row>
    <row r="1547" spans="1:9" x14ac:dyDescent="0.15">
      <c r="A1547" s="9">
        <v>1546</v>
      </c>
      <c r="B1547" s="9" t="s">
        <v>9</v>
      </c>
      <c r="C1547" s="9">
        <v>1926</v>
      </c>
      <c r="D1547" s="10">
        <v>45722</v>
      </c>
      <c r="E1547" s="11" t="str">
        <f>+HYPERLINK("http://trademark.i-assist.jp/data/china/image_1926th/82331656.pdf","82331656")</f>
        <v>82331656</v>
      </c>
      <c r="F1547" s="9" t="s">
        <v>4301</v>
      </c>
      <c r="G1547" s="12" t="s">
        <v>4302</v>
      </c>
      <c r="H1547" s="9" t="s">
        <v>4303</v>
      </c>
      <c r="I1547" s="10">
        <v>45629</v>
      </c>
    </row>
    <row r="1548" spans="1:9" x14ac:dyDescent="0.15">
      <c r="A1548" s="9">
        <v>1547</v>
      </c>
      <c r="B1548" s="9" t="s">
        <v>9</v>
      </c>
      <c r="C1548" s="9">
        <v>1926</v>
      </c>
      <c r="D1548" s="10">
        <v>45722</v>
      </c>
      <c r="E1548" s="11" t="str">
        <f>+HYPERLINK("http://trademark.i-assist.jp/data/china/image_1926th/82332192.pdf","82332192")</f>
        <v>82332192</v>
      </c>
      <c r="F1548" s="12" t="s">
        <v>4304</v>
      </c>
      <c r="G1548" s="12" t="s">
        <v>3924</v>
      </c>
      <c r="H1548" s="9" t="s">
        <v>4305</v>
      </c>
      <c r="I1548" s="10">
        <v>45629</v>
      </c>
    </row>
    <row r="1549" spans="1:9" x14ac:dyDescent="0.15">
      <c r="A1549" s="9">
        <v>1548</v>
      </c>
      <c r="B1549" s="9" t="s">
        <v>9</v>
      </c>
      <c r="C1549" s="9">
        <v>1926</v>
      </c>
      <c r="D1549" s="10">
        <v>45722</v>
      </c>
      <c r="E1549" s="11" t="str">
        <f>+HYPERLINK("http://trademark.i-assist.jp/data/china/image_1926th/82332293.pdf","82332293")</f>
        <v>82332293</v>
      </c>
      <c r="F1549" s="9" t="s">
        <v>4306</v>
      </c>
      <c r="G1549" s="9" t="s">
        <v>4084</v>
      </c>
      <c r="H1549" s="9" t="s">
        <v>4307</v>
      </c>
      <c r="I1549" s="10">
        <v>45629</v>
      </c>
    </row>
    <row r="1550" spans="1:9" x14ac:dyDescent="0.15">
      <c r="A1550" s="9">
        <v>1549</v>
      </c>
      <c r="B1550" s="9" t="s">
        <v>9</v>
      </c>
      <c r="C1550" s="9">
        <v>1926</v>
      </c>
      <c r="D1550" s="10">
        <v>45722</v>
      </c>
      <c r="E1550" s="11" t="str">
        <f>+HYPERLINK("http://trademark.i-assist.jp/data/china/image_1926th/82332294.pdf","82332294")</f>
        <v>82332294</v>
      </c>
      <c r="F1550" s="12" t="s">
        <v>4308</v>
      </c>
      <c r="G1550" s="12" t="s">
        <v>4309</v>
      </c>
      <c r="H1550" s="9" t="s">
        <v>4310</v>
      </c>
      <c r="I1550" s="10">
        <v>45629</v>
      </c>
    </row>
    <row r="1551" spans="1:9" x14ac:dyDescent="0.15">
      <c r="A1551" s="9">
        <v>1550</v>
      </c>
      <c r="B1551" s="9" t="s">
        <v>9</v>
      </c>
      <c r="C1551" s="9">
        <v>1926</v>
      </c>
      <c r="D1551" s="10">
        <v>45722</v>
      </c>
      <c r="E1551" s="11" t="str">
        <f>+HYPERLINK("http://trademark.i-assist.jp/data/china/image_1926th/82332329.pdf","82332329")</f>
        <v>82332329</v>
      </c>
      <c r="F1551" s="9" t="s">
        <v>4311</v>
      </c>
      <c r="G1551" s="12" t="s">
        <v>4312</v>
      </c>
      <c r="H1551" s="9" t="s">
        <v>4313</v>
      </c>
      <c r="I1551" s="10">
        <v>45629</v>
      </c>
    </row>
    <row r="1552" spans="1:9" x14ac:dyDescent="0.15">
      <c r="A1552" s="9">
        <v>1551</v>
      </c>
      <c r="B1552" s="9" t="s">
        <v>9</v>
      </c>
      <c r="C1552" s="9">
        <v>1926</v>
      </c>
      <c r="D1552" s="10">
        <v>45722</v>
      </c>
      <c r="E1552" s="11" t="str">
        <f>+HYPERLINK("http://trademark.i-assist.jp/data/china/image_1926th/82332388.pdf","82332388")</f>
        <v>82332388</v>
      </c>
      <c r="F1552" s="9" t="s">
        <v>4314</v>
      </c>
      <c r="G1552" s="9" t="s">
        <v>4315</v>
      </c>
      <c r="H1552" s="9" t="s">
        <v>4316</v>
      </c>
      <c r="I1552" s="10">
        <v>45629</v>
      </c>
    </row>
    <row r="1553" spans="1:9" x14ac:dyDescent="0.15">
      <c r="A1553" s="9">
        <v>1552</v>
      </c>
      <c r="B1553" s="9" t="s">
        <v>9</v>
      </c>
      <c r="C1553" s="9">
        <v>1926</v>
      </c>
      <c r="D1553" s="10">
        <v>45722</v>
      </c>
      <c r="E1553" s="11" t="str">
        <f>+HYPERLINK("http://trademark.i-assist.jp/data/china/image_1926th/82332411.pdf","82332411")</f>
        <v>82332411</v>
      </c>
      <c r="F1553" s="9" t="s">
        <v>4317</v>
      </c>
      <c r="G1553" s="9" t="s">
        <v>4075</v>
      </c>
      <c r="H1553" s="9" t="s">
        <v>4318</v>
      </c>
      <c r="I1553" s="10">
        <v>45629</v>
      </c>
    </row>
    <row r="1554" spans="1:9" x14ac:dyDescent="0.15">
      <c r="A1554" s="9">
        <v>1553</v>
      </c>
      <c r="B1554" s="9" t="s">
        <v>9</v>
      </c>
      <c r="C1554" s="9">
        <v>1926</v>
      </c>
      <c r="D1554" s="10">
        <v>45722</v>
      </c>
      <c r="E1554" s="11" t="str">
        <f>+HYPERLINK("http://trademark.i-assist.jp/data/china/image_1926th/82332459.pdf","82332459")</f>
        <v>82332459</v>
      </c>
      <c r="F1554" s="9" t="s">
        <v>4319</v>
      </c>
      <c r="G1554" s="9" t="s">
        <v>4075</v>
      </c>
      <c r="H1554" s="12" t="s">
        <v>4320</v>
      </c>
      <c r="I1554" s="10">
        <v>45629</v>
      </c>
    </row>
    <row r="1555" spans="1:9" x14ac:dyDescent="0.15">
      <c r="A1555" s="9">
        <v>1554</v>
      </c>
      <c r="B1555" s="9" t="s">
        <v>9</v>
      </c>
      <c r="C1555" s="9">
        <v>1926</v>
      </c>
      <c r="D1555" s="10">
        <v>45722</v>
      </c>
      <c r="E1555" s="11" t="str">
        <f>+HYPERLINK("http://trademark.i-assist.jp/data/china/image_1926th/82332582.pdf","82332582")</f>
        <v>82332582</v>
      </c>
      <c r="F1555" s="9" t="s">
        <v>4321</v>
      </c>
      <c r="G1555" s="9" t="s">
        <v>4322</v>
      </c>
      <c r="H1555" s="9" t="s">
        <v>4323</v>
      </c>
      <c r="I1555" s="10">
        <v>45629</v>
      </c>
    </row>
    <row r="1556" spans="1:9" x14ac:dyDescent="0.15">
      <c r="A1556" s="9">
        <v>1555</v>
      </c>
      <c r="B1556" s="9" t="s">
        <v>9</v>
      </c>
      <c r="C1556" s="9">
        <v>1926</v>
      </c>
      <c r="D1556" s="10">
        <v>45722</v>
      </c>
      <c r="E1556" s="11" t="str">
        <f>+HYPERLINK("http://trademark.i-assist.jp/data/china/image_1926th/82332980.pdf","82332980")</f>
        <v>82332980</v>
      </c>
      <c r="F1556" s="9" t="s">
        <v>4324</v>
      </c>
      <c r="G1556" s="9" t="s">
        <v>4325</v>
      </c>
      <c r="H1556" s="9" t="s">
        <v>4326</v>
      </c>
      <c r="I1556" s="10">
        <v>45629</v>
      </c>
    </row>
    <row r="1557" spans="1:9" x14ac:dyDescent="0.15">
      <c r="A1557" s="9">
        <v>1556</v>
      </c>
      <c r="B1557" s="9" t="s">
        <v>9</v>
      </c>
      <c r="C1557" s="9">
        <v>1926</v>
      </c>
      <c r="D1557" s="10">
        <v>45722</v>
      </c>
      <c r="E1557" s="11" t="str">
        <f>+HYPERLINK("http://trademark.i-assist.jp/data/china/image_1926th/82333040.pdf","82333040")</f>
        <v>82333040</v>
      </c>
      <c r="F1557" s="12" t="s">
        <v>4327</v>
      </c>
      <c r="G1557" s="12" t="s">
        <v>4328</v>
      </c>
      <c r="H1557" s="12" t="s">
        <v>4329</v>
      </c>
      <c r="I1557" s="10">
        <v>45629</v>
      </c>
    </row>
    <row r="1558" spans="1:9" x14ac:dyDescent="0.15">
      <c r="A1558" s="9">
        <v>1557</v>
      </c>
      <c r="B1558" s="9" t="s">
        <v>9</v>
      </c>
      <c r="C1558" s="9">
        <v>1926</v>
      </c>
      <c r="D1558" s="10">
        <v>45722</v>
      </c>
      <c r="E1558" s="11" t="str">
        <f>+HYPERLINK("http://trademark.i-assist.jp/data/china/image_1926th/82333463.pdf","82333463")</f>
        <v>82333463</v>
      </c>
      <c r="F1558" s="9" t="s">
        <v>4330</v>
      </c>
      <c r="G1558" s="9" t="s">
        <v>4331</v>
      </c>
      <c r="H1558" s="9" t="s">
        <v>4332</v>
      </c>
      <c r="I1558" s="10">
        <v>45629</v>
      </c>
    </row>
    <row r="1559" spans="1:9" x14ac:dyDescent="0.15">
      <c r="A1559" s="9">
        <v>1558</v>
      </c>
      <c r="B1559" s="9" t="s">
        <v>9</v>
      </c>
      <c r="C1559" s="9">
        <v>1926</v>
      </c>
      <c r="D1559" s="10">
        <v>45722</v>
      </c>
      <c r="E1559" s="11" t="str">
        <f>+HYPERLINK("http://trademark.i-assist.jp/data/china/image_1926th/82333684.pdf","82333684")</f>
        <v>82333684</v>
      </c>
      <c r="F1559" s="9" t="s">
        <v>4333</v>
      </c>
      <c r="G1559" s="9" t="s">
        <v>4334</v>
      </c>
      <c r="H1559" s="9" t="s">
        <v>4335</v>
      </c>
      <c r="I1559" s="10">
        <v>45629</v>
      </c>
    </row>
    <row r="1560" spans="1:9" x14ac:dyDescent="0.15">
      <c r="A1560" s="9">
        <v>1559</v>
      </c>
      <c r="B1560" s="9" t="s">
        <v>9</v>
      </c>
      <c r="C1560" s="9">
        <v>1926</v>
      </c>
      <c r="D1560" s="10">
        <v>45722</v>
      </c>
      <c r="E1560" s="11" t="str">
        <f>+HYPERLINK("http://trademark.i-assist.jp/data/china/image_1926th/82333748.pdf","82333748")</f>
        <v>82333748</v>
      </c>
      <c r="F1560" s="9" t="s">
        <v>4336</v>
      </c>
      <c r="G1560" s="9" t="s">
        <v>4337</v>
      </c>
      <c r="H1560" s="9" t="s">
        <v>4338</v>
      </c>
      <c r="I1560" s="10">
        <v>45629</v>
      </c>
    </row>
    <row r="1561" spans="1:9" x14ac:dyDescent="0.15">
      <c r="A1561" s="9">
        <v>1560</v>
      </c>
      <c r="B1561" s="9" t="s">
        <v>9</v>
      </c>
      <c r="C1561" s="9">
        <v>1926</v>
      </c>
      <c r="D1561" s="10">
        <v>45722</v>
      </c>
      <c r="E1561" s="11" t="str">
        <f>+HYPERLINK("http://trademark.i-assist.jp/data/china/image_1926th/82333966.pdf","82333966")</f>
        <v>82333966</v>
      </c>
      <c r="F1561" s="12" t="s">
        <v>4339</v>
      </c>
      <c r="G1561" s="9" t="s">
        <v>4120</v>
      </c>
      <c r="H1561" s="12" t="s">
        <v>4340</v>
      </c>
      <c r="I1561" s="10">
        <v>45629</v>
      </c>
    </row>
    <row r="1562" spans="1:9" x14ac:dyDescent="0.15">
      <c r="A1562" s="9">
        <v>1561</v>
      </c>
      <c r="B1562" s="9" t="s">
        <v>9</v>
      </c>
      <c r="C1562" s="9">
        <v>1926</v>
      </c>
      <c r="D1562" s="10">
        <v>45722</v>
      </c>
      <c r="E1562" s="11" t="str">
        <f>+HYPERLINK("http://trademark.i-assist.jp/data/china/image_1926th/82334159.pdf","82334159")</f>
        <v>82334159</v>
      </c>
      <c r="F1562" s="12" t="s">
        <v>4341</v>
      </c>
      <c r="G1562" s="12" t="s">
        <v>4342</v>
      </c>
      <c r="H1562" s="9" t="s">
        <v>4343</v>
      </c>
      <c r="I1562" s="10">
        <v>45629</v>
      </c>
    </row>
    <row r="1563" spans="1:9" x14ac:dyDescent="0.15">
      <c r="A1563" s="9">
        <v>1562</v>
      </c>
      <c r="B1563" s="9" t="s">
        <v>9</v>
      </c>
      <c r="C1563" s="9">
        <v>1926</v>
      </c>
      <c r="D1563" s="10">
        <v>45722</v>
      </c>
      <c r="E1563" s="11" t="str">
        <f>+HYPERLINK("http://trademark.i-assist.jp/data/china/image_1926th/82334260.pdf","82334260")</f>
        <v>82334260</v>
      </c>
      <c r="F1563" s="9" t="s">
        <v>4344</v>
      </c>
      <c r="G1563" s="9" t="s">
        <v>3907</v>
      </c>
      <c r="H1563" s="9" t="s">
        <v>4345</v>
      </c>
      <c r="I1563" s="10">
        <v>45629</v>
      </c>
    </row>
    <row r="1564" spans="1:9" x14ac:dyDescent="0.15">
      <c r="A1564" s="9">
        <v>1563</v>
      </c>
      <c r="B1564" s="9" t="s">
        <v>9</v>
      </c>
      <c r="C1564" s="9">
        <v>1926</v>
      </c>
      <c r="D1564" s="10">
        <v>45722</v>
      </c>
      <c r="E1564" s="11" t="str">
        <f>+HYPERLINK("http://trademark.i-assist.jp/data/china/image_1926th/82334308.pdf","82334308")</f>
        <v>82334308</v>
      </c>
      <c r="F1564" s="9" t="s">
        <v>4018</v>
      </c>
      <c r="G1564" s="9" t="s">
        <v>4019</v>
      </c>
      <c r="H1564" s="9" t="s">
        <v>4346</v>
      </c>
      <c r="I1564" s="10">
        <v>45629</v>
      </c>
    </row>
    <row r="1565" spans="1:9" x14ac:dyDescent="0.15">
      <c r="A1565" s="9">
        <v>1564</v>
      </c>
      <c r="B1565" s="9" t="s">
        <v>9</v>
      </c>
      <c r="C1565" s="9">
        <v>1926</v>
      </c>
      <c r="D1565" s="10">
        <v>45722</v>
      </c>
      <c r="E1565" s="11" t="str">
        <f>+HYPERLINK("http://trademark.i-assist.jp/data/china/image_1926th/82334547.pdf","82334547")</f>
        <v>82334547</v>
      </c>
      <c r="F1565" s="12" t="s">
        <v>20</v>
      </c>
      <c r="G1565" s="12" t="s">
        <v>4347</v>
      </c>
      <c r="H1565" s="9" t="s">
        <v>4348</v>
      </c>
      <c r="I1565" s="10">
        <v>45629</v>
      </c>
    </row>
    <row r="1566" spans="1:9" x14ac:dyDescent="0.15">
      <c r="A1566" s="9">
        <v>1565</v>
      </c>
      <c r="B1566" s="9" t="s">
        <v>9</v>
      </c>
      <c r="C1566" s="9">
        <v>1926</v>
      </c>
      <c r="D1566" s="10">
        <v>45722</v>
      </c>
      <c r="E1566" s="11" t="str">
        <f>+HYPERLINK("http://trademark.i-assist.jp/data/china/image_1926th/82334861.pdf","82334861")</f>
        <v>82334861</v>
      </c>
      <c r="F1566" s="9" t="s">
        <v>4349</v>
      </c>
      <c r="G1566" s="9" t="s">
        <v>170</v>
      </c>
      <c r="H1566" s="12" t="s">
        <v>4350</v>
      </c>
      <c r="I1566" s="10">
        <v>45629</v>
      </c>
    </row>
    <row r="1567" spans="1:9" x14ac:dyDescent="0.15">
      <c r="A1567" s="9">
        <v>1566</v>
      </c>
      <c r="B1567" s="9" t="s">
        <v>9</v>
      </c>
      <c r="C1567" s="9">
        <v>1926</v>
      </c>
      <c r="D1567" s="10">
        <v>45722</v>
      </c>
      <c r="E1567" s="11" t="str">
        <f>+HYPERLINK("http://trademark.i-assist.jp/data/china/image_1926th/82335051.pdf","82335051")</f>
        <v>82335051</v>
      </c>
      <c r="F1567" s="9" t="s">
        <v>4351</v>
      </c>
      <c r="G1567" s="9" t="s">
        <v>4352</v>
      </c>
      <c r="H1567" s="9" t="s">
        <v>4353</v>
      </c>
      <c r="I1567" s="10">
        <v>45629</v>
      </c>
    </row>
    <row r="1568" spans="1:9" x14ac:dyDescent="0.15">
      <c r="A1568" s="9">
        <v>1567</v>
      </c>
      <c r="B1568" s="9" t="s">
        <v>9</v>
      </c>
      <c r="C1568" s="9">
        <v>1926</v>
      </c>
      <c r="D1568" s="10">
        <v>45722</v>
      </c>
      <c r="E1568" s="11" t="str">
        <f>+HYPERLINK("http://trademark.i-assist.jp/data/china/image_1926th/82335166.pdf","82335166")</f>
        <v>82335166</v>
      </c>
      <c r="F1568" s="12" t="s">
        <v>4354</v>
      </c>
      <c r="G1568" s="9" t="s">
        <v>158</v>
      </c>
      <c r="H1568" s="9" t="s">
        <v>4355</v>
      </c>
      <c r="I1568" s="10">
        <v>45629</v>
      </c>
    </row>
    <row r="1569" spans="1:9" x14ac:dyDescent="0.15">
      <c r="A1569" s="9">
        <v>1568</v>
      </c>
      <c r="B1569" s="9" t="s">
        <v>9</v>
      </c>
      <c r="C1569" s="9">
        <v>1926</v>
      </c>
      <c r="D1569" s="10">
        <v>45722</v>
      </c>
      <c r="E1569" s="11" t="str">
        <f>+HYPERLINK("http://trademark.i-assist.jp/data/china/image_1926th/82335179.pdf","82335179")</f>
        <v>82335179</v>
      </c>
      <c r="F1569" s="9" t="s">
        <v>4356</v>
      </c>
      <c r="G1569" s="9" t="s">
        <v>4357</v>
      </c>
      <c r="H1569" s="9" t="s">
        <v>4358</v>
      </c>
      <c r="I1569" s="10">
        <v>45629</v>
      </c>
    </row>
    <row r="1570" spans="1:9" x14ac:dyDescent="0.15">
      <c r="A1570" s="9">
        <v>1569</v>
      </c>
      <c r="B1570" s="9" t="s">
        <v>9</v>
      </c>
      <c r="C1570" s="9">
        <v>1926</v>
      </c>
      <c r="D1570" s="10">
        <v>45722</v>
      </c>
      <c r="E1570" s="11" t="str">
        <f>+HYPERLINK("http://trademark.i-assist.jp/data/china/image_1926th/82335571.pdf","82335571")</f>
        <v>82335571</v>
      </c>
      <c r="F1570" s="9" t="s">
        <v>4359</v>
      </c>
      <c r="G1570" s="9" t="s">
        <v>4360</v>
      </c>
      <c r="H1570" s="9" t="s">
        <v>4361</v>
      </c>
      <c r="I1570" s="10">
        <v>45629</v>
      </c>
    </row>
    <row r="1571" spans="1:9" x14ac:dyDescent="0.15">
      <c r="A1571" s="9">
        <v>1570</v>
      </c>
      <c r="B1571" s="9" t="s">
        <v>9</v>
      </c>
      <c r="C1571" s="9">
        <v>1926</v>
      </c>
      <c r="D1571" s="10">
        <v>45722</v>
      </c>
      <c r="E1571" s="11" t="str">
        <f>+HYPERLINK("http://trademark.i-assist.jp/data/china/image_1926th/82335994.pdf","82335994")</f>
        <v>82335994</v>
      </c>
      <c r="F1571" s="9" t="s">
        <v>4362</v>
      </c>
      <c r="G1571" s="9" t="s">
        <v>171</v>
      </c>
      <c r="H1571" s="9" t="s">
        <v>4363</v>
      </c>
      <c r="I1571" s="10">
        <v>45629</v>
      </c>
    </row>
    <row r="1572" spans="1:9" x14ac:dyDescent="0.15">
      <c r="A1572" s="9">
        <v>1571</v>
      </c>
      <c r="B1572" s="9" t="s">
        <v>9</v>
      </c>
      <c r="C1572" s="9">
        <v>1926</v>
      </c>
      <c r="D1572" s="10">
        <v>45722</v>
      </c>
      <c r="E1572" s="11" t="str">
        <f>+HYPERLINK("http://trademark.i-assist.jp/data/china/image_1926th/82336002.pdf","82336002")</f>
        <v>82336002</v>
      </c>
      <c r="F1572" s="9" t="s">
        <v>4364</v>
      </c>
      <c r="G1572" s="9" t="s">
        <v>4238</v>
      </c>
      <c r="H1572" s="9" t="s">
        <v>4365</v>
      </c>
      <c r="I1572" s="10">
        <v>45629</v>
      </c>
    </row>
    <row r="1573" spans="1:9" x14ac:dyDescent="0.15">
      <c r="A1573" s="9">
        <v>1572</v>
      </c>
      <c r="B1573" s="9" t="s">
        <v>9</v>
      </c>
      <c r="C1573" s="9">
        <v>1926</v>
      </c>
      <c r="D1573" s="10">
        <v>45722</v>
      </c>
      <c r="E1573" s="11" t="str">
        <f>+HYPERLINK("http://trademark.i-assist.jp/data/china/image_1926th/82336022.pdf","82336022")</f>
        <v>82336022</v>
      </c>
      <c r="F1573" s="12" t="s">
        <v>4366</v>
      </c>
      <c r="G1573" s="12" t="s">
        <v>4367</v>
      </c>
      <c r="H1573" s="9" t="s">
        <v>4368</v>
      </c>
      <c r="I1573" s="10">
        <v>45629</v>
      </c>
    </row>
    <row r="1574" spans="1:9" x14ac:dyDescent="0.15">
      <c r="A1574" s="9">
        <v>1573</v>
      </c>
      <c r="B1574" s="9" t="s">
        <v>9</v>
      </c>
      <c r="C1574" s="9">
        <v>1926</v>
      </c>
      <c r="D1574" s="10">
        <v>45722</v>
      </c>
      <c r="E1574" s="11" t="str">
        <f>+HYPERLINK("http://trademark.i-assist.jp/data/china/image_1926th/82336065.pdf","82336065")</f>
        <v>82336065</v>
      </c>
      <c r="F1574" s="12" t="s">
        <v>4369</v>
      </c>
      <c r="G1574" s="9" t="s">
        <v>4370</v>
      </c>
      <c r="H1574" s="9" t="s">
        <v>4371</v>
      </c>
      <c r="I1574" s="10">
        <v>45629</v>
      </c>
    </row>
    <row r="1575" spans="1:9" x14ac:dyDescent="0.15">
      <c r="A1575" s="9">
        <v>1574</v>
      </c>
      <c r="B1575" s="9" t="s">
        <v>9</v>
      </c>
      <c r="C1575" s="9">
        <v>1926</v>
      </c>
      <c r="D1575" s="10">
        <v>45722</v>
      </c>
      <c r="E1575" s="11" t="str">
        <f>+HYPERLINK("http://trademark.i-assist.jp/data/china/image_1926th/82336638.pdf","82336638")</f>
        <v>82336638</v>
      </c>
      <c r="F1575" s="12" t="s">
        <v>4372</v>
      </c>
      <c r="G1575" s="9" t="s">
        <v>4373</v>
      </c>
      <c r="H1575" s="9" t="s">
        <v>4374</v>
      </c>
      <c r="I1575" s="10">
        <v>45629</v>
      </c>
    </row>
    <row r="1576" spans="1:9" x14ac:dyDescent="0.15">
      <c r="A1576" s="9">
        <v>1575</v>
      </c>
      <c r="B1576" s="9" t="s">
        <v>9</v>
      </c>
      <c r="C1576" s="9">
        <v>1926</v>
      </c>
      <c r="D1576" s="10">
        <v>45722</v>
      </c>
      <c r="E1576" s="11" t="str">
        <f>+HYPERLINK("http://trademark.i-assist.jp/data/china/image_1926th/82336660.pdf","82336660")</f>
        <v>82336660</v>
      </c>
      <c r="F1576" s="9" t="s">
        <v>4375</v>
      </c>
      <c r="G1576" s="9" t="s">
        <v>3907</v>
      </c>
      <c r="H1576" s="9" t="s">
        <v>4376</v>
      </c>
      <c r="I1576" s="10">
        <v>45629</v>
      </c>
    </row>
    <row r="1577" spans="1:9" x14ac:dyDescent="0.15">
      <c r="A1577" s="9">
        <v>1576</v>
      </c>
      <c r="B1577" s="9" t="s">
        <v>9</v>
      </c>
      <c r="C1577" s="9">
        <v>1926</v>
      </c>
      <c r="D1577" s="10">
        <v>45722</v>
      </c>
      <c r="E1577" s="11" t="str">
        <f>+HYPERLINK("http://trademark.i-assist.jp/data/china/image_1926th/82336686.pdf","82336686")</f>
        <v>82336686</v>
      </c>
      <c r="F1577" s="12" t="s">
        <v>4377</v>
      </c>
      <c r="G1577" s="9" t="s">
        <v>4196</v>
      </c>
      <c r="H1577" s="9" t="s">
        <v>4378</v>
      </c>
      <c r="I1577" s="10">
        <v>45629</v>
      </c>
    </row>
    <row r="1578" spans="1:9" x14ac:dyDescent="0.15">
      <c r="A1578" s="9">
        <v>1577</v>
      </c>
      <c r="B1578" s="9" t="s">
        <v>9</v>
      </c>
      <c r="C1578" s="9">
        <v>1926</v>
      </c>
      <c r="D1578" s="10">
        <v>45722</v>
      </c>
      <c r="E1578" s="11" t="str">
        <f>+HYPERLINK("http://trademark.i-assist.jp/data/china/image_1926th/82336693.pdf","82336693")</f>
        <v>82336693</v>
      </c>
      <c r="F1578" s="12" t="s">
        <v>4379</v>
      </c>
      <c r="G1578" s="9" t="s">
        <v>3907</v>
      </c>
      <c r="H1578" s="9" t="s">
        <v>4380</v>
      </c>
      <c r="I1578" s="10">
        <v>45629</v>
      </c>
    </row>
    <row r="1579" spans="1:9" x14ac:dyDescent="0.15">
      <c r="A1579" s="9">
        <v>1578</v>
      </c>
      <c r="B1579" s="9" t="s">
        <v>9</v>
      </c>
      <c r="C1579" s="9">
        <v>1926</v>
      </c>
      <c r="D1579" s="10">
        <v>45722</v>
      </c>
      <c r="E1579" s="11" t="str">
        <f>+HYPERLINK("http://trademark.i-assist.jp/data/china/image_1926th/82336705.pdf","82336705")</f>
        <v>82336705</v>
      </c>
      <c r="F1579" s="9" t="s">
        <v>4381</v>
      </c>
      <c r="G1579" s="9" t="s">
        <v>4196</v>
      </c>
      <c r="H1579" s="9" t="s">
        <v>4382</v>
      </c>
      <c r="I1579" s="10">
        <v>45629</v>
      </c>
    </row>
    <row r="1580" spans="1:9" x14ac:dyDescent="0.15">
      <c r="A1580" s="9">
        <v>1579</v>
      </c>
      <c r="B1580" s="9" t="s">
        <v>9</v>
      </c>
      <c r="C1580" s="9">
        <v>1926</v>
      </c>
      <c r="D1580" s="10">
        <v>45722</v>
      </c>
      <c r="E1580" s="11" t="str">
        <f>+HYPERLINK("http://trademark.i-assist.jp/data/china/image_1926th/82336706.pdf","82336706")</f>
        <v>82336706</v>
      </c>
      <c r="F1580" s="12" t="s">
        <v>4383</v>
      </c>
      <c r="G1580" s="9" t="s">
        <v>3907</v>
      </c>
      <c r="H1580" s="9" t="s">
        <v>4384</v>
      </c>
      <c r="I1580" s="10">
        <v>45629</v>
      </c>
    </row>
    <row r="1581" spans="1:9" x14ac:dyDescent="0.15">
      <c r="A1581" s="9">
        <v>1580</v>
      </c>
      <c r="B1581" s="9" t="s">
        <v>9</v>
      </c>
      <c r="C1581" s="9">
        <v>1926</v>
      </c>
      <c r="D1581" s="10">
        <v>45722</v>
      </c>
      <c r="E1581" s="11" t="str">
        <f>+HYPERLINK("http://trademark.i-assist.jp/data/china/image_1926th/82336932.pdf","82336932")</f>
        <v>82336932</v>
      </c>
      <c r="F1581" s="12" t="s">
        <v>4385</v>
      </c>
      <c r="G1581" s="12" t="s">
        <v>4386</v>
      </c>
      <c r="H1581" s="12" t="s">
        <v>4387</v>
      </c>
      <c r="I1581" s="10">
        <v>45629</v>
      </c>
    </row>
    <row r="1582" spans="1:9" x14ac:dyDescent="0.15">
      <c r="A1582" s="9">
        <v>1581</v>
      </c>
      <c r="B1582" s="9" t="s">
        <v>9</v>
      </c>
      <c r="C1582" s="9">
        <v>1926</v>
      </c>
      <c r="D1582" s="10">
        <v>45722</v>
      </c>
      <c r="E1582" s="11" t="str">
        <f>+HYPERLINK("http://trademark.i-assist.jp/data/china/image_1926th/82337916.pdf","82337916")</f>
        <v>82337916</v>
      </c>
      <c r="F1582" s="9" t="s">
        <v>4388</v>
      </c>
      <c r="G1582" s="12" t="s">
        <v>4389</v>
      </c>
      <c r="H1582" s="12" t="s">
        <v>4390</v>
      </c>
      <c r="I1582" s="10">
        <v>45629</v>
      </c>
    </row>
    <row r="1583" spans="1:9" x14ac:dyDescent="0.15">
      <c r="A1583" s="9">
        <v>1582</v>
      </c>
      <c r="B1583" s="9" t="s">
        <v>9</v>
      </c>
      <c r="C1583" s="9">
        <v>1926</v>
      </c>
      <c r="D1583" s="10">
        <v>45722</v>
      </c>
      <c r="E1583" s="11" t="str">
        <f>+HYPERLINK("http://trademark.i-assist.jp/data/china/image_1926th/82337929.pdf","82337929")</f>
        <v>82337929</v>
      </c>
      <c r="F1583" s="9" t="s">
        <v>4391</v>
      </c>
      <c r="G1583" s="12" t="s">
        <v>4143</v>
      </c>
      <c r="H1583" s="9" t="s">
        <v>4392</v>
      </c>
      <c r="I1583" s="10">
        <v>45629</v>
      </c>
    </row>
    <row r="1584" spans="1:9" x14ac:dyDescent="0.15">
      <c r="A1584" s="9">
        <v>1583</v>
      </c>
      <c r="B1584" s="9" t="s">
        <v>9</v>
      </c>
      <c r="C1584" s="9">
        <v>1926</v>
      </c>
      <c r="D1584" s="10">
        <v>45722</v>
      </c>
      <c r="E1584" s="11" t="str">
        <f>+HYPERLINK("http://trademark.i-assist.jp/data/china/image_1926th/82338010.pdf","82338010")</f>
        <v>82338010</v>
      </c>
      <c r="F1584" s="9" t="s">
        <v>4393</v>
      </c>
      <c r="G1584" s="9" t="s">
        <v>4394</v>
      </c>
      <c r="H1584" s="9" t="s">
        <v>4395</v>
      </c>
      <c r="I1584" s="10">
        <v>45630</v>
      </c>
    </row>
    <row r="1585" spans="1:9" x14ac:dyDescent="0.15">
      <c r="A1585" s="9">
        <v>1584</v>
      </c>
      <c r="B1585" s="9" t="s">
        <v>9</v>
      </c>
      <c r="C1585" s="9">
        <v>1926</v>
      </c>
      <c r="D1585" s="10">
        <v>45722</v>
      </c>
      <c r="E1585" s="11" t="str">
        <f>+HYPERLINK("http://trademark.i-assist.jp/data/china/image_1926th/82338116.pdf","82338116")</f>
        <v>82338116</v>
      </c>
      <c r="F1585" s="12" t="s">
        <v>4396</v>
      </c>
      <c r="G1585" s="9" t="s">
        <v>4397</v>
      </c>
      <c r="H1585" s="9" t="s">
        <v>4398</v>
      </c>
      <c r="I1585" s="10">
        <v>45630</v>
      </c>
    </row>
    <row r="1586" spans="1:9" x14ac:dyDescent="0.15">
      <c r="A1586" s="9">
        <v>1585</v>
      </c>
      <c r="B1586" s="9" t="s">
        <v>9</v>
      </c>
      <c r="C1586" s="9">
        <v>1926</v>
      </c>
      <c r="D1586" s="10">
        <v>45722</v>
      </c>
      <c r="E1586" s="11" t="str">
        <f>+HYPERLINK("http://trademark.i-assist.jp/data/china/image_1926th/82338532.pdf","82338532")</f>
        <v>82338532</v>
      </c>
      <c r="F1586" s="9" t="s">
        <v>4399</v>
      </c>
      <c r="G1586" s="9" t="s">
        <v>4400</v>
      </c>
      <c r="H1586" s="9" t="s">
        <v>4401</v>
      </c>
      <c r="I1586" s="10">
        <v>45630</v>
      </c>
    </row>
    <row r="1587" spans="1:9" x14ac:dyDescent="0.15">
      <c r="A1587" s="9">
        <v>1586</v>
      </c>
      <c r="B1587" s="9" t="s">
        <v>9</v>
      </c>
      <c r="C1587" s="9">
        <v>1926</v>
      </c>
      <c r="D1587" s="10">
        <v>45722</v>
      </c>
      <c r="E1587" s="11" t="str">
        <f>+HYPERLINK("http://trademark.i-assist.jp/data/china/image_1926th/82339036.pdf","82339036")</f>
        <v>82339036</v>
      </c>
      <c r="F1587" s="12" t="s">
        <v>20</v>
      </c>
      <c r="G1587" s="9" t="s">
        <v>147</v>
      </c>
      <c r="H1587" s="9" t="s">
        <v>4402</v>
      </c>
      <c r="I1587" s="10">
        <v>45630</v>
      </c>
    </row>
    <row r="1588" spans="1:9" x14ac:dyDescent="0.15">
      <c r="A1588" s="9">
        <v>1587</v>
      </c>
      <c r="B1588" s="9" t="s">
        <v>9</v>
      </c>
      <c r="C1588" s="9">
        <v>1926</v>
      </c>
      <c r="D1588" s="10">
        <v>45722</v>
      </c>
      <c r="E1588" s="11" t="str">
        <f>+HYPERLINK("http://trademark.i-assist.jp/data/china/image_1926th/82339121.pdf","82339121")</f>
        <v>82339121</v>
      </c>
      <c r="F1588" s="9" t="s">
        <v>4403</v>
      </c>
      <c r="G1588" s="9" t="s">
        <v>4404</v>
      </c>
      <c r="H1588" s="9" t="s">
        <v>4405</v>
      </c>
      <c r="I1588" s="10">
        <v>45630</v>
      </c>
    </row>
    <row r="1589" spans="1:9" x14ac:dyDescent="0.15">
      <c r="A1589" s="9">
        <v>1588</v>
      </c>
      <c r="B1589" s="9" t="s">
        <v>9</v>
      </c>
      <c r="C1589" s="9">
        <v>1926</v>
      </c>
      <c r="D1589" s="10">
        <v>45722</v>
      </c>
      <c r="E1589" s="11" t="str">
        <f>+HYPERLINK("http://trademark.i-assist.jp/data/china/image_1926th/82339206.pdf","82339206")</f>
        <v>82339206</v>
      </c>
      <c r="F1589" s="9" t="s">
        <v>4406</v>
      </c>
      <c r="G1589" s="9" t="s">
        <v>4407</v>
      </c>
      <c r="H1589" s="9" t="s">
        <v>4408</v>
      </c>
      <c r="I1589" s="10">
        <v>45630</v>
      </c>
    </row>
    <row r="1590" spans="1:9" x14ac:dyDescent="0.15">
      <c r="A1590" s="9">
        <v>1589</v>
      </c>
      <c r="B1590" s="9" t="s">
        <v>9</v>
      </c>
      <c r="C1590" s="9">
        <v>1926</v>
      </c>
      <c r="D1590" s="10">
        <v>45722</v>
      </c>
      <c r="E1590" s="11" t="str">
        <f>+HYPERLINK("http://trademark.i-assist.jp/data/china/image_1926th/82339326.pdf","82339326")</f>
        <v>82339326</v>
      </c>
      <c r="F1590" s="12" t="s">
        <v>4409</v>
      </c>
      <c r="G1590" s="12" t="s">
        <v>4410</v>
      </c>
      <c r="H1590" s="12" t="s">
        <v>4411</v>
      </c>
      <c r="I1590" s="10">
        <v>45630</v>
      </c>
    </row>
    <row r="1591" spans="1:9" x14ac:dyDescent="0.15">
      <c r="A1591" s="9">
        <v>1590</v>
      </c>
      <c r="B1591" s="9" t="s">
        <v>9</v>
      </c>
      <c r="C1591" s="9">
        <v>1926</v>
      </c>
      <c r="D1591" s="10">
        <v>45722</v>
      </c>
      <c r="E1591" s="11" t="str">
        <f>+HYPERLINK("http://trademark.i-assist.jp/data/china/image_1926th/82339527.pdf","82339527")</f>
        <v>82339527</v>
      </c>
      <c r="F1591" s="9" t="s">
        <v>4412</v>
      </c>
      <c r="G1591" s="9" t="s">
        <v>4413</v>
      </c>
      <c r="H1591" s="9" t="s">
        <v>4414</v>
      </c>
      <c r="I1591" s="10">
        <v>45630</v>
      </c>
    </row>
    <row r="1592" spans="1:9" x14ac:dyDescent="0.15">
      <c r="A1592" s="9">
        <v>1591</v>
      </c>
      <c r="B1592" s="9" t="s">
        <v>9</v>
      </c>
      <c r="C1592" s="9">
        <v>1926</v>
      </c>
      <c r="D1592" s="10">
        <v>45722</v>
      </c>
      <c r="E1592" s="11" t="str">
        <f>+HYPERLINK("http://trademark.i-assist.jp/data/china/image_1926th/82339632.pdf","82339632")</f>
        <v>82339632</v>
      </c>
      <c r="F1592" s="12" t="s">
        <v>4415</v>
      </c>
      <c r="G1592" s="9" t="s">
        <v>4416</v>
      </c>
      <c r="H1592" s="9" t="s">
        <v>4417</v>
      </c>
      <c r="I1592" s="10">
        <v>45630</v>
      </c>
    </row>
    <row r="1593" spans="1:9" x14ac:dyDescent="0.15">
      <c r="A1593" s="9">
        <v>1592</v>
      </c>
      <c r="B1593" s="9" t="s">
        <v>9</v>
      </c>
      <c r="C1593" s="9">
        <v>1926</v>
      </c>
      <c r="D1593" s="10">
        <v>45722</v>
      </c>
      <c r="E1593" s="11" t="str">
        <f>+HYPERLINK("http://trademark.i-assist.jp/data/china/image_1926th/82339642.pdf","82339642")</f>
        <v>82339642</v>
      </c>
      <c r="F1593" s="9" t="s">
        <v>4418</v>
      </c>
      <c r="G1593" s="9" t="s">
        <v>4419</v>
      </c>
      <c r="H1593" s="9" t="s">
        <v>4420</v>
      </c>
      <c r="I1593" s="10">
        <v>45630</v>
      </c>
    </row>
    <row r="1594" spans="1:9" x14ac:dyDescent="0.15">
      <c r="A1594" s="9">
        <v>1593</v>
      </c>
      <c r="B1594" s="9" t="s">
        <v>9</v>
      </c>
      <c r="C1594" s="9">
        <v>1926</v>
      </c>
      <c r="D1594" s="10">
        <v>45722</v>
      </c>
      <c r="E1594" s="11" t="str">
        <f>+HYPERLINK("http://trademark.i-assist.jp/data/china/image_1926th/82339956.pdf","82339956")</f>
        <v>82339956</v>
      </c>
      <c r="F1594" s="9" t="s">
        <v>4421</v>
      </c>
      <c r="G1594" s="12" t="s">
        <v>4422</v>
      </c>
      <c r="H1594" s="9" t="s">
        <v>4423</v>
      </c>
      <c r="I1594" s="10">
        <v>45630</v>
      </c>
    </row>
    <row r="1595" spans="1:9" x14ac:dyDescent="0.15">
      <c r="A1595" s="9">
        <v>1594</v>
      </c>
      <c r="B1595" s="9" t="s">
        <v>9</v>
      </c>
      <c r="C1595" s="9">
        <v>1926</v>
      </c>
      <c r="D1595" s="10">
        <v>45722</v>
      </c>
      <c r="E1595" s="11" t="str">
        <f>+HYPERLINK("http://trademark.i-assist.jp/data/china/image_1926th/82340616.pdf","82340616")</f>
        <v>82340616</v>
      </c>
      <c r="F1595" s="9" t="s">
        <v>4424</v>
      </c>
      <c r="G1595" s="9" t="s">
        <v>4425</v>
      </c>
      <c r="H1595" s="12" t="s">
        <v>4426</v>
      </c>
      <c r="I1595" s="10">
        <v>45630</v>
      </c>
    </row>
    <row r="1596" spans="1:9" x14ac:dyDescent="0.15">
      <c r="A1596" s="9">
        <v>1595</v>
      </c>
      <c r="B1596" s="9" t="s">
        <v>9</v>
      </c>
      <c r="C1596" s="9">
        <v>1926</v>
      </c>
      <c r="D1596" s="10">
        <v>45722</v>
      </c>
      <c r="E1596" s="11" t="str">
        <f>+HYPERLINK("http://trademark.i-assist.jp/data/china/image_1926th/82340847.pdf","82340847")</f>
        <v>82340847</v>
      </c>
      <c r="F1596" s="9" t="s">
        <v>4427</v>
      </c>
      <c r="G1596" s="9" t="s">
        <v>4404</v>
      </c>
      <c r="H1596" s="9" t="s">
        <v>4428</v>
      </c>
      <c r="I1596" s="10">
        <v>45630</v>
      </c>
    </row>
    <row r="1597" spans="1:9" x14ac:dyDescent="0.15">
      <c r="A1597" s="9">
        <v>1596</v>
      </c>
      <c r="B1597" s="9" t="s">
        <v>9</v>
      </c>
      <c r="C1597" s="9">
        <v>1926</v>
      </c>
      <c r="D1597" s="10">
        <v>45722</v>
      </c>
      <c r="E1597" s="11" t="str">
        <f>+HYPERLINK("http://trademark.i-assist.jp/data/china/image_1926th/82341209.pdf","82341209")</f>
        <v>82341209</v>
      </c>
      <c r="F1597" s="9" t="s">
        <v>4429</v>
      </c>
      <c r="G1597" s="9" t="s">
        <v>4430</v>
      </c>
      <c r="H1597" s="12" t="s">
        <v>4431</v>
      </c>
      <c r="I1597" s="10">
        <v>45630</v>
      </c>
    </row>
    <row r="1598" spans="1:9" x14ac:dyDescent="0.15">
      <c r="A1598" s="9">
        <v>1597</v>
      </c>
      <c r="B1598" s="9" t="s">
        <v>9</v>
      </c>
      <c r="C1598" s="9">
        <v>1926</v>
      </c>
      <c r="D1598" s="10">
        <v>45722</v>
      </c>
      <c r="E1598" s="11" t="str">
        <f>+HYPERLINK("http://trademark.i-assist.jp/data/china/image_1926th/82341271.pdf","82341271")</f>
        <v>82341271</v>
      </c>
      <c r="F1598" s="9" t="s">
        <v>4432</v>
      </c>
      <c r="G1598" s="9" t="s">
        <v>4433</v>
      </c>
      <c r="H1598" s="9" t="s">
        <v>4434</v>
      </c>
      <c r="I1598" s="10">
        <v>45630</v>
      </c>
    </row>
    <row r="1599" spans="1:9" x14ac:dyDescent="0.15">
      <c r="A1599" s="9">
        <v>1598</v>
      </c>
      <c r="B1599" s="9" t="s">
        <v>9</v>
      </c>
      <c r="C1599" s="9">
        <v>1926</v>
      </c>
      <c r="D1599" s="10">
        <v>45722</v>
      </c>
      <c r="E1599" s="11" t="str">
        <f>+HYPERLINK("http://trademark.i-assist.jp/data/china/image_1926th/82341332.pdf","82341332")</f>
        <v>82341332</v>
      </c>
      <c r="F1599" s="13" t="s">
        <v>4435</v>
      </c>
      <c r="G1599" s="9" t="s">
        <v>4413</v>
      </c>
      <c r="H1599" s="9" t="s">
        <v>4436</v>
      </c>
      <c r="I1599" s="10">
        <v>45630</v>
      </c>
    </row>
    <row r="1600" spans="1:9" x14ac:dyDescent="0.15">
      <c r="A1600" s="9">
        <v>1599</v>
      </c>
      <c r="B1600" s="9" t="s">
        <v>9</v>
      </c>
      <c r="C1600" s="9">
        <v>1926</v>
      </c>
      <c r="D1600" s="10">
        <v>45722</v>
      </c>
      <c r="E1600" s="11" t="str">
        <f>+HYPERLINK("http://trademark.i-assist.jp/data/china/image_1926th/82341405.pdf","82341405")</f>
        <v>82341405</v>
      </c>
      <c r="F1600" s="12" t="s">
        <v>4437</v>
      </c>
      <c r="G1600" s="12" t="s">
        <v>4438</v>
      </c>
      <c r="H1600" s="9" t="s">
        <v>4439</v>
      </c>
      <c r="I1600" s="10">
        <v>45630</v>
      </c>
    </row>
    <row r="1601" spans="1:9" x14ac:dyDescent="0.15">
      <c r="A1601" s="9">
        <v>1600</v>
      </c>
      <c r="B1601" s="9" t="s">
        <v>9</v>
      </c>
      <c r="C1601" s="9">
        <v>1926</v>
      </c>
      <c r="D1601" s="10">
        <v>45722</v>
      </c>
      <c r="E1601" s="11" t="str">
        <f>+HYPERLINK("http://trademark.i-assist.jp/data/china/image_1926th/82341633.pdf","82341633")</f>
        <v>82341633</v>
      </c>
      <c r="F1601" s="9" t="s">
        <v>4440</v>
      </c>
      <c r="G1601" s="9" t="s">
        <v>4441</v>
      </c>
      <c r="H1601" s="9" t="s">
        <v>4442</v>
      </c>
      <c r="I1601" s="10">
        <v>45630</v>
      </c>
    </row>
    <row r="1602" spans="1:9" x14ac:dyDescent="0.15">
      <c r="A1602" s="9">
        <v>1601</v>
      </c>
      <c r="B1602" s="9" t="s">
        <v>9</v>
      </c>
      <c r="C1602" s="9">
        <v>1926</v>
      </c>
      <c r="D1602" s="10">
        <v>45722</v>
      </c>
      <c r="E1602" s="11" t="str">
        <f>+HYPERLINK("http://trademark.i-assist.jp/data/china/image_1926th/82341661.pdf","82341661")</f>
        <v>82341661</v>
      </c>
      <c r="F1602" s="9" t="s">
        <v>4443</v>
      </c>
      <c r="G1602" s="9" t="s">
        <v>4444</v>
      </c>
      <c r="H1602" s="9" t="s">
        <v>4445</v>
      </c>
      <c r="I1602" s="10">
        <v>45630</v>
      </c>
    </row>
    <row r="1603" spans="1:9" x14ac:dyDescent="0.15">
      <c r="A1603" s="9">
        <v>1602</v>
      </c>
      <c r="B1603" s="9" t="s">
        <v>9</v>
      </c>
      <c r="C1603" s="9">
        <v>1926</v>
      </c>
      <c r="D1603" s="10">
        <v>45722</v>
      </c>
      <c r="E1603" s="11" t="str">
        <f>+HYPERLINK("http://trademark.i-assist.jp/data/china/image_1926th/82341817.pdf","82341817")</f>
        <v>82341817</v>
      </c>
      <c r="F1603" s="9" t="s">
        <v>4446</v>
      </c>
      <c r="G1603" s="12" t="s">
        <v>4447</v>
      </c>
      <c r="H1603" s="9" t="s">
        <v>4448</v>
      </c>
      <c r="I1603" s="10">
        <v>45630</v>
      </c>
    </row>
    <row r="1604" spans="1:9" x14ac:dyDescent="0.15">
      <c r="A1604" s="9">
        <v>1603</v>
      </c>
      <c r="B1604" s="9" t="s">
        <v>9</v>
      </c>
      <c r="C1604" s="9">
        <v>1926</v>
      </c>
      <c r="D1604" s="10">
        <v>45722</v>
      </c>
      <c r="E1604" s="11" t="str">
        <f>+HYPERLINK("http://trademark.i-assist.jp/data/china/image_1926th/82342535.pdf","82342535")</f>
        <v>82342535</v>
      </c>
      <c r="F1604" s="9" t="s">
        <v>4449</v>
      </c>
      <c r="G1604" s="12" t="s">
        <v>4450</v>
      </c>
      <c r="H1604" s="12" t="s">
        <v>4451</v>
      </c>
      <c r="I1604" s="10">
        <v>45630</v>
      </c>
    </row>
    <row r="1605" spans="1:9" x14ac:dyDescent="0.15">
      <c r="A1605" s="9">
        <v>1604</v>
      </c>
      <c r="B1605" s="9" t="s">
        <v>9</v>
      </c>
      <c r="C1605" s="9">
        <v>1926</v>
      </c>
      <c r="D1605" s="10">
        <v>45722</v>
      </c>
      <c r="E1605" s="11" t="str">
        <f>+HYPERLINK("http://trademark.i-assist.jp/data/china/image_1926th/82342573.pdf","82342573")</f>
        <v>82342573</v>
      </c>
      <c r="F1605" s="9" t="s">
        <v>4452</v>
      </c>
      <c r="G1605" s="12" t="s">
        <v>4453</v>
      </c>
      <c r="H1605" s="9" t="s">
        <v>4454</v>
      </c>
      <c r="I1605" s="10">
        <v>45630</v>
      </c>
    </row>
    <row r="1606" spans="1:9" x14ac:dyDescent="0.15">
      <c r="A1606" s="9">
        <v>1605</v>
      </c>
      <c r="B1606" s="9" t="s">
        <v>9</v>
      </c>
      <c r="C1606" s="9">
        <v>1926</v>
      </c>
      <c r="D1606" s="10">
        <v>45722</v>
      </c>
      <c r="E1606" s="11" t="str">
        <f>+HYPERLINK("http://trademark.i-assist.jp/data/china/image_1926th/82342750.pdf","82342750")</f>
        <v>82342750</v>
      </c>
      <c r="F1606" s="9" t="s">
        <v>4455</v>
      </c>
      <c r="G1606" s="12" t="s">
        <v>4456</v>
      </c>
      <c r="H1606" s="9" t="s">
        <v>4457</v>
      </c>
      <c r="I1606" s="10">
        <v>45630</v>
      </c>
    </row>
    <row r="1607" spans="1:9" x14ac:dyDescent="0.15">
      <c r="A1607" s="9">
        <v>1606</v>
      </c>
      <c r="B1607" s="9" t="s">
        <v>9</v>
      </c>
      <c r="C1607" s="9">
        <v>1926</v>
      </c>
      <c r="D1607" s="10">
        <v>45722</v>
      </c>
      <c r="E1607" s="11" t="str">
        <f>+HYPERLINK("http://trademark.i-assist.jp/data/china/image_1926th/82342754.pdf","82342754")</f>
        <v>82342754</v>
      </c>
      <c r="F1607" s="9" t="s">
        <v>4458</v>
      </c>
      <c r="G1607" s="9" t="s">
        <v>3644</v>
      </c>
      <c r="H1607" s="9" t="s">
        <v>4459</v>
      </c>
      <c r="I1607" s="10">
        <v>45630</v>
      </c>
    </row>
    <row r="1608" spans="1:9" x14ac:dyDescent="0.15">
      <c r="A1608" s="9">
        <v>1607</v>
      </c>
      <c r="B1608" s="9" t="s">
        <v>9</v>
      </c>
      <c r="C1608" s="9">
        <v>1926</v>
      </c>
      <c r="D1608" s="10">
        <v>45722</v>
      </c>
      <c r="E1608" s="11" t="str">
        <f>+HYPERLINK("http://trademark.i-assist.jp/data/china/image_1926th/82342915.pdf","82342915")</f>
        <v>82342915</v>
      </c>
      <c r="F1608" s="9" t="s">
        <v>4460</v>
      </c>
      <c r="G1608" s="9" t="s">
        <v>4461</v>
      </c>
      <c r="H1608" s="9" t="s">
        <v>4462</v>
      </c>
      <c r="I1608" s="10">
        <v>45630</v>
      </c>
    </row>
    <row r="1609" spans="1:9" x14ac:dyDescent="0.15">
      <c r="A1609" s="9">
        <v>1608</v>
      </c>
      <c r="B1609" s="9" t="s">
        <v>9</v>
      </c>
      <c r="C1609" s="9">
        <v>1926</v>
      </c>
      <c r="D1609" s="10">
        <v>45722</v>
      </c>
      <c r="E1609" s="11" t="str">
        <f>+HYPERLINK("http://trademark.i-assist.jp/data/china/image_1926th/82343527.pdf","82343527")</f>
        <v>82343527</v>
      </c>
      <c r="F1609" s="12" t="s">
        <v>4463</v>
      </c>
      <c r="G1609" s="9" t="s">
        <v>4419</v>
      </c>
      <c r="H1609" s="9" t="s">
        <v>4464</v>
      </c>
      <c r="I1609" s="10">
        <v>45630</v>
      </c>
    </row>
    <row r="1610" spans="1:9" x14ac:dyDescent="0.15">
      <c r="A1610" s="9">
        <v>1609</v>
      </c>
      <c r="B1610" s="9" t="s">
        <v>9</v>
      </c>
      <c r="C1610" s="9">
        <v>1926</v>
      </c>
      <c r="D1610" s="10">
        <v>45722</v>
      </c>
      <c r="E1610" s="11" t="str">
        <f>+HYPERLINK("http://trademark.i-assist.jp/data/china/image_1926th/82343541.pdf","82343541")</f>
        <v>82343541</v>
      </c>
      <c r="F1610" s="9" t="s">
        <v>4465</v>
      </c>
      <c r="G1610" s="9" t="s">
        <v>4466</v>
      </c>
      <c r="H1610" s="9" t="s">
        <v>4467</v>
      </c>
      <c r="I1610" s="10">
        <v>45630</v>
      </c>
    </row>
    <row r="1611" spans="1:9" x14ac:dyDescent="0.15">
      <c r="A1611" s="9">
        <v>1610</v>
      </c>
      <c r="B1611" s="9" t="s">
        <v>9</v>
      </c>
      <c r="C1611" s="9">
        <v>1926</v>
      </c>
      <c r="D1611" s="10">
        <v>45722</v>
      </c>
      <c r="E1611" s="11" t="str">
        <f>+HYPERLINK("http://trademark.i-assist.jp/data/china/image_1926th/82343630.pdf","82343630")</f>
        <v>82343630</v>
      </c>
      <c r="F1611" s="9" t="s">
        <v>4468</v>
      </c>
      <c r="G1611" s="9" t="s">
        <v>4469</v>
      </c>
      <c r="H1611" s="12" t="s">
        <v>4470</v>
      </c>
      <c r="I1611" s="10">
        <v>45630</v>
      </c>
    </row>
    <row r="1612" spans="1:9" x14ac:dyDescent="0.15">
      <c r="A1612" s="9">
        <v>1611</v>
      </c>
      <c r="B1612" s="9" t="s">
        <v>9</v>
      </c>
      <c r="C1612" s="9">
        <v>1926</v>
      </c>
      <c r="D1612" s="10">
        <v>45722</v>
      </c>
      <c r="E1612" s="11" t="str">
        <f>+HYPERLINK("http://trademark.i-assist.jp/data/china/image_1926th/82344059.pdf","82344059")</f>
        <v>82344059</v>
      </c>
      <c r="F1612" s="13" t="s">
        <v>4471</v>
      </c>
      <c r="G1612" s="9" t="s">
        <v>4472</v>
      </c>
      <c r="H1612" s="9" t="s">
        <v>4473</v>
      </c>
      <c r="I1612" s="10">
        <v>45630</v>
      </c>
    </row>
    <row r="1613" spans="1:9" x14ac:dyDescent="0.15">
      <c r="A1613" s="9">
        <v>1612</v>
      </c>
      <c r="B1613" s="9" t="s">
        <v>9</v>
      </c>
      <c r="C1613" s="9">
        <v>1926</v>
      </c>
      <c r="D1613" s="10">
        <v>45722</v>
      </c>
      <c r="E1613" s="11" t="str">
        <f>+HYPERLINK("http://trademark.i-assist.jp/data/china/image_1926th/82344163.pdf","82344163")</f>
        <v>82344163</v>
      </c>
      <c r="F1613" s="9" t="s">
        <v>4474</v>
      </c>
      <c r="G1613" s="12" t="s">
        <v>4475</v>
      </c>
      <c r="H1613" s="9" t="s">
        <v>4476</v>
      </c>
      <c r="I1613" s="10">
        <v>45630</v>
      </c>
    </row>
    <row r="1614" spans="1:9" x14ac:dyDescent="0.15">
      <c r="A1614" s="9">
        <v>1613</v>
      </c>
      <c r="B1614" s="9" t="s">
        <v>9</v>
      </c>
      <c r="C1614" s="9">
        <v>1926</v>
      </c>
      <c r="D1614" s="10">
        <v>45722</v>
      </c>
      <c r="E1614" s="11" t="str">
        <f>+HYPERLINK("http://trademark.i-assist.jp/data/china/image_1926th/82344376.pdf","82344376")</f>
        <v>82344376</v>
      </c>
      <c r="F1614" s="9" t="s">
        <v>4477</v>
      </c>
      <c r="G1614" s="9" t="s">
        <v>4478</v>
      </c>
      <c r="H1614" s="9" t="s">
        <v>4479</v>
      </c>
      <c r="I1614" s="10">
        <v>45630</v>
      </c>
    </row>
    <row r="1615" spans="1:9" x14ac:dyDescent="0.15">
      <c r="A1615" s="9">
        <v>1614</v>
      </c>
      <c r="B1615" s="9" t="s">
        <v>9</v>
      </c>
      <c r="C1615" s="9">
        <v>1926</v>
      </c>
      <c r="D1615" s="10">
        <v>45722</v>
      </c>
      <c r="E1615" s="11" t="str">
        <f>+HYPERLINK("http://trademark.i-assist.jp/data/china/image_1926th/82344499.pdf","82344499")</f>
        <v>82344499</v>
      </c>
      <c r="F1615" s="9" t="s">
        <v>4480</v>
      </c>
      <c r="G1615" s="9" t="s">
        <v>4481</v>
      </c>
      <c r="H1615" s="9" t="s">
        <v>4482</v>
      </c>
      <c r="I1615" s="10">
        <v>45630</v>
      </c>
    </row>
    <row r="1616" spans="1:9" x14ac:dyDescent="0.15">
      <c r="A1616" s="9">
        <v>1615</v>
      </c>
      <c r="B1616" s="9" t="s">
        <v>9</v>
      </c>
      <c r="C1616" s="9">
        <v>1926</v>
      </c>
      <c r="D1616" s="10">
        <v>45722</v>
      </c>
      <c r="E1616" s="11" t="str">
        <f>+HYPERLINK("http://trademark.i-assist.jp/data/china/image_1926th/82344501.pdf","82344501")</f>
        <v>82344501</v>
      </c>
      <c r="F1616" s="9" t="s">
        <v>4483</v>
      </c>
      <c r="G1616" s="9" t="s">
        <v>4484</v>
      </c>
      <c r="H1616" s="9" t="s">
        <v>4485</v>
      </c>
      <c r="I1616" s="10">
        <v>45630</v>
      </c>
    </row>
    <row r="1617" spans="1:9" x14ac:dyDescent="0.15">
      <c r="A1617" s="9">
        <v>1616</v>
      </c>
      <c r="B1617" s="9" t="s">
        <v>9</v>
      </c>
      <c r="C1617" s="9">
        <v>1926</v>
      </c>
      <c r="D1617" s="10">
        <v>45722</v>
      </c>
      <c r="E1617" s="11" t="str">
        <f>+HYPERLINK("http://trademark.i-assist.jp/data/china/image_1926th/82345313.pdf","82345313")</f>
        <v>82345313</v>
      </c>
      <c r="F1617" s="9" t="s">
        <v>4486</v>
      </c>
      <c r="G1617" s="9" t="s">
        <v>4487</v>
      </c>
      <c r="H1617" s="9" t="s">
        <v>4488</v>
      </c>
      <c r="I1617" s="10">
        <v>45630</v>
      </c>
    </row>
    <row r="1618" spans="1:9" x14ac:dyDescent="0.15">
      <c r="A1618" s="9">
        <v>1617</v>
      </c>
      <c r="B1618" s="9" t="s">
        <v>9</v>
      </c>
      <c r="C1618" s="9">
        <v>1926</v>
      </c>
      <c r="D1618" s="10">
        <v>45722</v>
      </c>
      <c r="E1618" s="11" t="str">
        <f>+HYPERLINK("http://trademark.i-assist.jp/data/china/image_1926th/82345390.pdf","82345390")</f>
        <v>82345390</v>
      </c>
      <c r="F1618" s="9" t="s">
        <v>4489</v>
      </c>
      <c r="G1618" s="9" t="s">
        <v>4490</v>
      </c>
      <c r="H1618" s="9" t="s">
        <v>4491</v>
      </c>
      <c r="I1618" s="10">
        <v>45630</v>
      </c>
    </row>
    <row r="1619" spans="1:9" x14ac:dyDescent="0.15">
      <c r="A1619" s="9">
        <v>1618</v>
      </c>
      <c r="B1619" s="9" t="s">
        <v>9</v>
      </c>
      <c r="C1619" s="9">
        <v>1926</v>
      </c>
      <c r="D1619" s="10">
        <v>45722</v>
      </c>
      <c r="E1619" s="11" t="str">
        <f>+HYPERLINK("http://trademark.i-assist.jp/data/china/image_1926th/82345750.pdf","82345750")</f>
        <v>82345750</v>
      </c>
      <c r="F1619" s="9" t="s">
        <v>4492</v>
      </c>
      <c r="G1619" s="9" t="s">
        <v>4493</v>
      </c>
      <c r="H1619" s="9" t="s">
        <v>4494</v>
      </c>
      <c r="I1619" s="10">
        <v>45630</v>
      </c>
    </row>
    <row r="1620" spans="1:9" x14ac:dyDescent="0.15">
      <c r="A1620" s="9">
        <v>1619</v>
      </c>
      <c r="B1620" s="9" t="s">
        <v>9</v>
      </c>
      <c r="C1620" s="9">
        <v>1926</v>
      </c>
      <c r="D1620" s="10">
        <v>45722</v>
      </c>
      <c r="E1620" s="11" t="str">
        <f>+HYPERLINK("http://trademark.i-assist.jp/data/china/image_1926th/82346210.pdf","82346210")</f>
        <v>82346210</v>
      </c>
      <c r="F1620" s="9" t="s">
        <v>4495</v>
      </c>
      <c r="G1620" s="9" t="s">
        <v>4481</v>
      </c>
      <c r="H1620" s="9" t="s">
        <v>4496</v>
      </c>
      <c r="I1620" s="10">
        <v>45630</v>
      </c>
    </row>
    <row r="1621" spans="1:9" x14ac:dyDescent="0.15">
      <c r="A1621" s="9">
        <v>1620</v>
      </c>
      <c r="B1621" s="9" t="s">
        <v>9</v>
      </c>
      <c r="C1621" s="9">
        <v>1926</v>
      </c>
      <c r="D1621" s="10">
        <v>45722</v>
      </c>
      <c r="E1621" s="11" t="str">
        <f>+HYPERLINK("http://trademark.i-assist.jp/data/china/image_1926th/82346376.pdf","82346376")</f>
        <v>82346376</v>
      </c>
      <c r="F1621" s="13" t="s">
        <v>4497</v>
      </c>
      <c r="G1621" s="9" t="s">
        <v>4498</v>
      </c>
      <c r="H1621" s="9" t="s">
        <v>4499</v>
      </c>
      <c r="I1621" s="10">
        <v>45630</v>
      </c>
    </row>
    <row r="1622" spans="1:9" x14ac:dyDescent="0.15">
      <c r="A1622" s="9">
        <v>1621</v>
      </c>
      <c r="B1622" s="9" t="s">
        <v>9</v>
      </c>
      <c r="C1622" s="9">
        <v>1926</v>
      </c>
      <c r="D1622" s="10">
        <v>45722</v>
      </c>
      <c r="E1622" s="11" t="str">
        <f>+HYPERLINK("http://trademark.i-assist.jp/data/china/image_1926th/82346881.pdf","82346881")</f>
        <v>82346881</v>
      </c>
      <c r="F1622" s="9" t="s">
        <v>4500</v>
      </c>
      <c r="G1622" s="9" t="s">
        <v>181</v>
      </c>
      <c r="H1622" s="9" t="s">
        <v>4501</v>
      </c>
      <c r="I1622" s="10">
        <v>45630</v>
      </c>
    </row>
    <row r="1623" spans="1:9" x14ac:dyDescent="0.15">
      <c r="A1623" s="9">
        <v>1622</v>
      </c>
      <c r="B1623" s="9" t="s">
        <v>9</v>
      </c>
      <c r="C1623" s="9">
        <v>1926</v>
      </c>
      <c r="D1623" s="10">
        <v>45722</v>
      </c>
      <c r="E1623" s="11" t="str">
        <f>+HYPERLINK("http://trademark.i-assist.jp/data/china/image_1926th/82347061.pdf","82347061")</f>
        <v>82347061</v>
      </c>
      <c r="F1623" s="9" t="s">
        <v>4502</v>
      </c>
      <c r="G1623" s="9" t="s">
        <v>4503</v>
      </c>
      <c r="H1623" s="9" t="s">
        <v>4504</v>
      </c>
      <c r="I1623" s="10">
        <v>45630</v>
      </c>
    </row>
    <row r="1624" spans="1:9" x14ac:dyDescent="0.15">
      <c r="A1624" s="9">
        <v>1623</v>
      </c>
      <c r="B1624" s="9" t="s">
        <v>9</v>
      </c>
      <c r="C1624" s="9">
        <v>1926</v>
      </c>
      <c r="D1624" s="10">
        <v>45722</v>
      </c>
      <c r="E1624" s="11" t="str">
        <f>+HYPERLINK("http://trademark.i-assist.jp/data/china/image_1926th/82347694.pdf","82347694")</f>
        <v>82347694</v>
      </c>
      <c r="F1624" s="9" t="s">
        <v>4505</v>
      </c>
      <c r="G1624" s="9" t="s">
        <v>4506</v>
      </c>
      <c r="H1624" s="9" t="s">
        <v>4507</v>
      </c>
      <c r="I1624" s="10">
        <v>45630</v>
      </c>
    </row>
    <row r="1625" spans="1:9" x14ac:dyDescent="0.15">
      <c r="A1625" s="9">
        <v>1624</v>
      </c>
      <c r="B1625" s="9" t="s">
        <v>9</v>
      </c>
      <c r="C1625" s="9">
        <v>1926</v>
      </c>
      <c r="D1625" s="10">
        <v>45722</v>
      </c>
      <c r="E1625" s="11" t="str">
        <f>+HYPERLINK("http://trademark.i-assist.jp/data/china/image_1926th/82347975.pdf","82347975")</f>
        <v>82347975</v>
      </c>
      <c r="F1625" s="9" t="s">
        <v>4508</v>
      </c>
      <c r="G1625" s="9" t="s">
        <v>4509</v>
      </c>
      <c r="H1625" s="9" t="s">
        <v>4510</v>
      </c>
      <c r="I1625" s="10">
        <v>45630</v>
      </c>
    </row>
    <row r="1626" spans="1:9" x14ac:dyDescent="0.15">
      <c r="A1626" s="9">
        <v>1625</v>
      </c>
      <c r="B1626" s="9" t="s">
        <v>9</v>
      </c>
      <c r="C1626" s="9">
        <v>1926</v>
      </c>
      <c r="D1626" s="10">
        <v>45722</v>
      </c>
      <c r="E1626" s="11" t="str">
        <f>+HYPERLINK("http://trademark.i-assist.jp/data/china/image_1926th/82348219.pdf","82348219")</f>
        <v>82348219</v>
      </c>
      <c r="F1626" s="9" t="s">
        <v>4511</v>
      </c>
      <c r="G1626" s="9" t="s">
        <v>4512</v>
      </c>
      <c r="H1626" s="9" t="s">
        <v>4513</v>
      </c>
      <c r="I1626" s="10">
        <v>45630</v>
      </c>
    </row>
    <row r="1627" spans="1:9" x14ac:dyDescent="0.15">
      <c r="A1627" s="9">
        <v>1626</v>
      </c>
      <c r="B1627" s="9" t="s">
        <v>9</v>
      </c>
      <c r="C1627" s="9">
        <v>1926</v>
      </c>
      <c r="D1627" s="10">
        <v>45722</v>
      </c>
      <c r="E1627" s="11" t="str">
        <f>+HYPERLINK("http://trademark.i-assist.jp/data/china/image_1926th/82348256.pdf","82348256")</f>
        <v>82348256</v>
      </c>
      <c r="F1627" s="9" t="s">
        <v>4514</v>
      </c>
      <c r="G1627" s="9" t="s">
        <v>4515</v>
      </c>
      <c r="H1627" s="9" t="s">
        <v>4516</v>
      </c>
      <c r="I1627" s="10">
        <v>45630</v>
      </c>
    </row>
    <row r="1628" spans="1:9" x14ac:dyDescent="0.15">
      <c r="A1628" s="9">
        <v>1627</v>
      </c>
      <c r="B1628" s="9" t="s">
        <v>9</v>
      </c>
      <c r="C1628" s="9">
        <v>1926</v>
      </c>
      <c r="D1628" s="10">
        <v>45722</v>
      </c>
      <c r="E1628" s="11" t="str">
        <f>+HYPERLINK("http://trademark.i-assist.jp/data/china/image_1926th/82348699.pdf","82348699")</f>
        <v>82348699</v>
      </c>
      <c r="F1628" s="9" t="s">
        <v>4517</v>
      </c>
      <c r="G1628" s="9" t="s">
        <v>3185</v>
      </c>
      <c r="H1628" s="9" t="s">
        <v>4518</v>
      </c>
      <c r="I1628" s="10">
        <v>45630</v>
      </c>
    </row>
    <row r="1629" spans="1:9" x14ac:dyDescent="0.15">
      <c r="A1629" s="9">
        <v>1628</v>
      </c>
      <c r="B1629" s="9" t="s">
        <v>9</v>
      </c>
      <c r="C1629" s="9">
        <v>1926</v>
      </c>
      <c r="D1629" s="10">
        <v>45722</v>
      </c>
      <c r="E1629" s="11" t="str">
        <f>+HYPERLINK("http://trademark.i-assist.jp/data/china/image_1926th/82348942.pdf","82348942")</f>
        <v>82348942</v>
      </c>
      <c r="F1629" s="12" t="s">
        <v>4519</v>
      </c>
      <c r="G1629" s="9" t="s">
        <v>4520</v>
      </c>
      <c r="H1629" s="9" t="s">
        <v>4521</v>
      </c>
      <c r="I1629" s="10">
        <v>45630</v>
      </c>
    </row>
    <row r="1630" spans="1:9" x14ac:dyDescent="0.15">
      <c r="A1630" s="9">
        <v>1629</v>
      </c>
      <c r="B1630" s="9" t="s">
        <v>9</v>
      </c>
      <c r="C1630" s="9">
        <v>1926</v>
      </c>
      <c r="D1630" s="10">
        <v>45722</v>
      </c>
      <c r="E1630" s="11" t="str">
        <f>+HYPERLINK("http://trademark.i-assist.jp/data/china/image_1926th/82349058.pdf","82349058")</f>
        <v>82349058</v>
      </c>
      <c r="F1630" s="12" t="s">
        <v>4522</v>
      </c>
      <c r="G1630" s="12" t="s">
        <v>4523</v>
      </c>
      <c r="H1630" s="12" t="s">
        <v>4524</v>
      </c>
      <c r="I1630" s="10">
        <v>45630</v>
      </c>
    </row>
    <row r="1631" spans="1:9" x14ac:dyDescent="0.15">
      <c r="A1631" s="9">
        <v>1630</v>
      </c>
      <c r="B1631" s="9" t="s">
        <v>9</v>
      </c>
      <c r="C1631" s="9">
        <v>1926</v>
      </c>
      <c r="D1631" s="10">
        <v>45722</v>
      </c>
      <c r="E1631" s="11" t="str">
        <f>+HYPERLINK("http://trademark.i-assist.jp/data/china/image_1926th/82349701.pdf","82349701")</f>
        <v>82349701</v>
      </c>
      <c r="F1631" s="9" t="s">
        <v>4525</v>
      </c>
      <c r="G1631" s="9" t="s">
        <v>4526</v>
      </c>
      <c r="H1631" s="9" t="s">
        <v>4527</v>
      </c>
      <c r="I1631" s="10">
        <v>45630</v>
      </c>
    </row>
    <row r="1632" spans="1:9" x14ac:dyDescent="0.15">
      <c r="A1632" s="9">
        <v>1631</v>
      </c>
      <c r="B1632" s="9" t="s">
        <v>9</v>
      </c>
      <c r="C1632" s="9">
        <v>1926</v>
      </c>
      <c r="D1632" s="10">
        <v>45722</v>
      </c>
      <c r="E1632" s="11" t="str">
        <f>+HYPERLINK("http://trademark.i-assist.jp/data/china/image_1926th/82349800.pdf","82349800")</f>
        <v>82349800</v>
      </c>
      <c r="F1632" s="9" t="s">
        <v>4528</v>
      </c>
      <c r="G1632" s="12" t="s">
        <v>4529</v>
      </c>
      <c r="H1632" s="9" t="s">
        <v>4530</v>
      </c>
      <c r="I1632" s="10">
        <v>45630</v>
      </c>
    </row>
    <row r="1633" spans="1:9" x14ac:dyDescent="0.15">
      <c r="A1633" s="9">
        <v>1632</v>
      </c>
      <c r="B1633" s="9" t="s">
        <v>9</v>
      </c>
      <c r="C1633" s="9">
        <v>1926</v>
      </c>
      <c r="D1633" s="10">
        <v>45722</v>
      </c>
      <c r="E1633" s="11" t="str">
        <f>+HYPERLINK("http://trademark.i-assist.jp/data/china/image_1926th/82349843.pdf","82349843")</f>
        <v>82349843</v>
      </c>
      <c r="F1633" s="9" t="s">
        <v>4531</v>
      </c>
      <c r="G1633" s="9" t="s">
        <v>4532</v>
      </c>
      <c r="H1633" s="9" t="s">
        <v>4533</v>
      </c>
      <c r="I1633" s="10">
        <v>45630</v>
      </c>
    </row>
    <row r="1634" spans="1:9" x14ac:dyDescent="0.15">
      <c r="A1634" s="9">
        <v>1633</v>
      </c>
      <c r="B1634" s="9" t="s">
        <v>9</v>
      </c>
      <c r="C1634" s="9">
        <v>1926</v>
      </c>
      <c r="D1634" s="10">
        <v>45722</v>
      </c>
      <c r="E1634" s="11" t="str">
        <f>+HYPERLINK("http://trademark.i-assist.jp/data/china/image_1926th/82350175.pdf","82350175")</f>
        <v>82350175</v>
      </c>
      <c r="F1634" s="9" t="s">
        <v>4534</v>
      </c>
      <c r="G1634" s="12" t="s">
        <v>4535</v>
      </c>
      <c r="H1634" s="9" t="s">
        <v>4536</v>
      </c>
      <c r="I1634" s="10">
        <v>45630</v>
      </c>
    </row>
    <row r="1635" spans="1:9" x14ac:dyDescent="0.15">
      <c r="A1635" s="9">
        <v>1634</v>
      </c>
      <c r="B1635" s="9" t="s">
        <v>9</v>
      </c>
      <c r="C1635" s="9">
        <v>1926</v>
      </c>
      <c r="D1635" s="10">
        <v>45722</v>
      </c>
      <c r="E1635" s="11" t="str">
        <f>+HYPERLINK("http://trademark.i-assist.jp/data/china/image_1926th/82350714.pdf","82350714")</f>
        <v>82350714</v>
      </c>
      <c r="F1635" s="9" t="s">
        <v>4537</v>
      </c>
      <c r="G1635" s="9" t="s">
        <v>4538</v>
      </c>
      <c r="H1635" s="9" t="s">
        <v>4539</v>
      </c>
      <c r="I1635" s="10">
        <v>45630</v>
      </c>
    </row>
    <row r="1636" spans="1:9" x14ac:dyDescent="0.15">
      <c r="A1636" s="9">
        <v>1635</v>
      </c>
      <c r="B1636" s="9" t="s">
        <v>9</v>
      </c>
      <c r="C1636" s="9">
        <v>1926</v>
      </c>
      <c r="D1636" s="10">
        <v>45722</v>
      </c>
      <c r="E1636" s="11" t="str">
        <f>+HYPERLINK("http://trademark.i-assist.jp/data/china/image_1926th/82351078.pdf","82351078")</f>
        <v>82351078</v>
      </c>
      <c r="F1636" s="12" t="s">
        <v>4540</v>
      </c>
      <c r="G1636" s="9" t="s">
        <v>4541</v>
      </c>
      <c r="H1636" s="9" t="s">
        <v>4542</v>
      </c>
      <c r="I1636" s="10">
        <v>45630</v>
      </c>
    </row>
    <row r="1637" spans="1:9" x14ac:dyDescent="0.15">
      <c r="A1637" s="9">
        <v>1636</v>
      </c>
      <c r="B1637" s="9" t="s">
        <v>9</v>
      </c>
      <c r="C1637" s="9">
        <v>1926</v>
      </c>
      <c r="D1637" s="10">
        <v>45722</v>
      </c>
      <c r="E1637" s="11" t="str">
        <f>+HYPERLINK("http://trademark.i-assist.jp/data/china/image_1926th/82351149.pdf","82351149")</f>
        <v>82351149</v>
      </c>
      <c r="F1637" s="12" t="s">
        <v>4543</v>
      </c>
      <c r="G1637" s="9" t="s">
        <v>4544</v>
      </c>
      <c r="H1637" s="9" t="s">
        <v>4545</v>
      </c>
      <c r="I1637" s="10">
        <v>45630</v>
      </c>
    </row>
    <row r="1638" spans="1:9" x14ac:dyDescent="0.15">
      <c r="A1638" s="9">
        <v>1637</v>
      </c>
      <c r="B1638" s="9" t="s">
        <v>9</v>
      </c>
      <c r="C1638" s="9">
        <v>1926</v>
      </c>
      <c r="D1638" s="10">
        <v>45722</v>
      </c>
      <c r="E1638" s="11" t="str">
        <f>+HYPERLINK("http://trademark.i-assist.jp/data/china/image_1926th/82351219.pdf","82351219")</f>
        <v>82351219</v>
      </c>
      <c r="F1638" s="9" t="s">
        <v>4546</v>
      </c>
      <c r="G1638" s="12" t="s">
        <v>4547</v>
      </c>
      <c r="H1638" s="9" t="s">
        <v>4548</v>
      </c>
      <c r="I1638" s="10">
        <v>45630</v>
      </c>
    </row>
    <row r="1639" spans="1:9" x14ac:dyDescent="0.15">
      <c r="A1639" s="9">
        <v>1638</v>
      </c>
      <c r="B1639" s="9" t="s">
        <v>9</v>
      </c>
      <c r="C1639" s="9">
        <v>1926</v>
      </c>
      <c r="D1639" s="10">
        <v>45722</v>
      </c>
      <c r="E1639" s="11" t="str">
        <f>+HYPERLINK("http://trademark.i-assist.jp/data/china/image_1926th/82351279.pdf","82351279")</f>
        <v>82351279</v>
      </c>
      <c r="F1639" s="9" t="s">
        <v>4549</v>
      </c>
      <c r="G1639" s="12" t="s">
        <v>132</v>
      </c>
      <c r="H1639" s="9" t="s">
        <v>4550</v>
      </c>
      <c r="I1639" s="10">
        <v>45630</v>
      </c>
    </row>
    <row r="1640" spans="1:9" x14ac:dyDescent="0.15">
      <c r="A1640" s="9">
        <v>1639</v>
      </c>
      <c r="B1640" s="9" t="s">
        <v>9</v>
      </c>
      <c r="C1640" s="9">
        <v>1926</v>
      </c>
      <c r="D1640" s="10">
        <v>45722</v>
      </c>
      <c r="E1640" s="11" t="str">
        <f>+HYPERLINK("http://trademark.i-assist.jp/data/china/image_1926th/82351457.pdf","82351457")</f>
        <v>82351457</v>
      </c>
      <c r="F1640" s="9" t="s">
        <v>4551</v>
      </c>
      <c r="G1640" s="9" t="s">
        <v>4552</v>
      </c>
      <c r="H1640" s="9" t="s">
        <v>4553</v>
      </c>
      <c r="I1640" s="10">
        <v>45630</v>
      </c>
    </row>
    <row r="1641" spans="1:9" x14ac:dyDescent="0.15">
      <c r="A1641" s="9">
        <v>1640</v>
      </c>
      <c r="B1641" s="9" t="s">
        <v>9</v>
      </c>
      <c r="C1641" s="9">
        <v>1926</v>
      </c>
      <c r="D1641" s="10">
        <v>45722</v>
      </c>
      <c r="E1641" s="11" t="str">
        <f>+HYPERLINK("http://trademark.i-assist.jp/data/china/image_1926th/82351797.pdf","82351797")</f>
        <v>82351797</v>
      </c>
      <c r="F1641" s="9" t="s">
        <v>4554</v>
      </c>
      <c r="G1641" s="12" t="s">
        <v>4555</v>
      </c>
      <c r="H1641" s="9" t="s">
        <v>4556</v>
      </c>
      <c r="I1641" s="10">
        <v>45630</v>
      </c>
    </row>
    <row r="1642" spans="1:9" x14ac:dyDescent="0.15">
      <c r="A1642" s="9">
        <v>1641</v>
      </c>
      <c r="B1642" s="9" t="s">
        <v>9</v>
      </c>
      <c r="C1642" s="9">
        <v>1926</v>
      </c>
      <c r="D1642" s="10">
        <v>45722</v>
      </c>
      <c r="E1642" s="11" t="str">
        <f>+HYPERLINK("http://trademark.i-assist.jp/data/china/image_1926th/82351806.pdf","82351806")</f>
        <v>82351806</v>
      </c>
      <c r="F1642" s="12" t="s">
        <v>20</v>
      </c>
      <c r="G1642" s="9" t="s">
        <v>4557</v>
      </c>
      <c r="H1642" s="9" t="s">
        <v>4558</v>
      </c>
      <c r="I1642" s="10">
        <v>45630</v>
      </c>
    </row>
    <row r="1643" spans="1:9" x14ac:dyDescent="0.15">
      <c r="A1643" s="9">
        <v>1642</v>
      </c>
      <c r="B1643" s="9" t="s">
        <v>9</v>
      </c>
      <c r="C1643" s="9">
        <v>1926</v>
      </c>
      <c r="D1643" s="10">
        <v>45722</v>
      </c>
      <c r="E1643" s="11" t="str">
        <f>+HYPERLINK("http://trademark.i-assist.jp/data/china/image_1926th/82351874.pdf","82351874")</f>
        <v>82351874</v>
      </c>
      <c r="F1643" s="9" t="s">
        <v>4559</v>
      </c>
      <c r="G1643" s="9" t="s">
        <v>4560</v>
      </c>
      <c r="H1643" s="9" t="s">
        <v>4561</v>
      </c>
      <c r="I1643" s="10">
        <v>45630</v>
      </c>
    </row>
    <row r="1644" spans="1:9" x14ac:dyDescent="0.15">
      <c r="A1644" s="9">
        <v>1643</v>
      </c>
      <c r="B1644" s="9" t="s">
        <v>9</v>
      </c>
      <c r="C1644" s="9">
        <v>1926</v>
      </c>
      <c r="D1644" s="10">
        <v>45722</v>
      </c>
      <c r="E1644" s="11" t="str">
        <f>+HYPERLINK("http://trademark.i-assist.jp/data/china/image_1926th/82351893.pdf","82351893")</f>
        <v>82351893</v>
      </c>
      <c r="F1644" s="9" t="s">
        <v>4562</v>
      </c>
      <c r="G1644" s="9" t="s">
        <v>4563</v>
      </c>
      <c r="H1644" s="9" t="s">
        <v>4564</v>
      </c>
      <c r="I1644" s="10">
        <v>45630</v>
      </c>
    </row>
    <row r="1645" spans="1:9" x14ac:dyDescent="0.15">
      <c r="A1645" s="9">
        <v>1644</v>
      </c>
      <c r="B1645" s="9" t="s">
        <v>9</v>
      </c>
      <c r="C1645" s="9">
        <v>1926</v>
      </c>
      <c r="D1645" s="10">
        <v>45722</v>
      </c>
      <c r="E1645" s="11" t="str">
        <f>+HYPERLINK("http://trademark.i-assist.jp/data/china/image_1926th/82352165.pdf","82352165")</f>
        <v>82352165</v>
      </c>
      <c r="F1645" s="9" t="s">
        <v>4565</v>
      </c>
      <c r="G1645" s="12" t="s">
        <v>4566</v>
      </c>
      <c r="H1645" s="9" t="s">
        <v>4567</v>
      </c>
      <c r="I1645" s="10">
        <v>45630</v>
      </c>
    </row>
    <row r="1646" spans="1:9" x14ac:dyDescent="0.15">
      <c r="A1646" s="9">
        <v>1645</v>
      </c>
      <c r="B1646" s="9" t="s">
        <v>9</v>
      </c>
      <c r="C1646" s="9">
        <v>1926</v>
      </c>
      <c r="D1646" s="10">
        <v>45722</v>
      </c>
      <c r="E1646" s="11" t="str">
        <f>+HYPERLINK("http://trademark.i-assist.jp/data/china/image_1926th/82352167.pdf","82352167")</f>
        <v>82352167</v>
      </c>
      <c r="F1646" s="9" t="s">
        <v>4568</v>
      </c>
      <c r="G1646" s="9" t="s">
        <v>4569</v>
      </c>
      <c r="H1646" s="9" t="s">
        <v>4570</v>
      </c>
      <c r="I1646" s="10">
        <v>45630</v>
      </c>
    </row>
    <row r="1647" spans="1:9" x14ac:dyDescent="0.15">
      <c r="A1647" s="9">
        <v>1646</v>
      </c>
      <c r="B1647" s="9" t="s">
        <v>9</v>
      </c>
      <c r="C1647" s="9">
        <v>1926</v>
      </c>
      <c r="D1647" s="10">
        <v>45722</v>
      </c>
      <c r="E1647" s="11" t="str">
        <f>+HYPERLINK("http://trademark.i-assist.jp/data/china/image_1926th/82352451.pdf","82352451")</f>
        <v>82352451</v>
      </c>
      <c r="F1647" s="9" t="s">
        <v>4571</v>
      </c>
      <c r="G1647" s="9" t="s">
        <v>4425</v>
      </c>
      <c r="H1647" s="9" t="s">
        <v>4572</v>
      </c>
      <c r="I1647" s="10">
        <v>45630</v>
      </c>
    </row>
    <row r="1648" spans="1:9" x14ac:dyDescent="0.15">
      <c r="A1648" s="9">
        <v>1647</v>
      </c>
      <c r="B1648" s="9" t="s">
        <v>9</v>
      </c>
      <c r="C1648" s="9">
        <v>1926</v>
      </c>
      <c r="D1648" s="10">
        <v>45722</v>
      </c>
      <c r="E1648" s="11" t="str">
        <f>+HYPERLINK("http://trademark.i-assist.jp/data/china/image_1926th/82352543.pdf","82352543")</f>
        <v>82352543</v>
      </c>
      <c r="F1648" s="12" t="s">
        <v>4573</v>
      </c>
      <c r="G1648" s="12" t="s">
        <v>4574</v>
      </c>
      <c r="H1648" s="12" t="s">
        <v>4575</v>
      </c>
      <c r="I1648" s="10">
        <v>45630</v>
      </c>
    </row>
    <row r="1649" spans="1:9" x14ac:dyDescent="0.15">
      <c r="A1649" s="9">
        <v>1648</v>
      </c>
      <c r="B1649" s="9" t="s">
        <v>9</v>
      </c>
      <c r="C1649" s="9">
        <v>1926</v>
      </c>
      <c r="D1649" s="10">
        <v>45722</v>
      </c>
      <c r="E1649" s="11" t="str">
        <f>+HYPERLINK("http://trademark.i-assist.jp/data/china/image_1926th/82352837.pdf","82352837")</f>
        <v>82352837</v>
      </c>
      <c r="F1649" s="9" t="s">
        <v>4576</v>
      </c>
      <c r="G1649" s="9" t="s">
        <v>4577</v>
      </c>
      <c r="H1649" s="9" t="s">
        <v>4578</v>
      </c>
      <c r="I1649" s="10">
        <v>45630</v>
      </c>
    </row>
    <row r="1650" spans="1:9" x14ac:dyDescent="0.15">
      <c r="A1650" s="9">
        <v>1649</v>
      </c>
      <c r="B1650" s="9" t="s">
        <v>9</v>
      </c>
      <c r="C1650" s="9">
        <v>1926</v>
      </c>
      <c r="D1650" s="10">
        <v>45722</v>
      </c>
      <c r="E1650" s="11" t="str">
        <f>+HYPERLINK("http://trademark.i-assist.jp/data/china/image_1926th/82352846.pdf","82352846")</f>
        <v>82352846</v>
      </c>
      <c r="F1650" s="9" t="s">
        <v>4579</v>
      </c>
      <c r="G1650" s="12" t="s">
        <v>4580</v>
      </c>
      <c r="H1650" s="9" t="s">
        <v>4581</v>
      </c>
      <c r="I1650" s="10">
        <v>45630</v>
      </c>
    </row>
    <row r="1651" spans="1:9" x14ac:dyDescent="0.15">
      <c r="A1651" s="9">
        <v>1650</v>
      </c>
      <c r="B1651" s="9" t="s">
        <v>9</v>
      </c>
      <c r="C1651" s="9">
        <v>1926</v>
      </c>
      <c r="D1651" s="10">
        <v>45722</v>
      </c>
      <c r="E1651" s="11" t="str">
        <f>+HYPERLINK("http://trademark.i-assist.jp/data/china/image_1926th/82353021.pdf","82353021")</f>
        <v>82353021</v>
      </c>
      <c r="F1651" s="9" t="s">
        <v>4582</v>
      </c>
      <c r="G1651" s="9" t="s">
        <v>4583</v>
      </c>
      <c r="H1651" s="9" t="s">
        <v>4584</v>
      </c>
      <c r="I1651" s="10">
        <v>45630</v>
      </c>
    </row>
    <row r="1652" spans="1:9" x14ac:dyDescent="0.15">
      <c r="A1652" s="9">
        <v>1651</v>
      </c>
      <c r="B1652" s="9" t="s">
        <v>9</v>
      </c>
      <c r="C1652" s="9">
        <v>1926</v>
      </c>
      <c r="D1652" s="10">
        <v>45722</v>
      </c>
      <c r="E1652" s="11" t="str">
        <f>+HYPERLINK("http://trademark.i-assist.jp/data/china/image_1926th/82353059.pdf","82353059")</f>
        <v>82353059</v>
      </c>
      <c r="F1652" s="9" t="s">
        <v>4585</v>
      </c>
      <c r="G1652" s="9" t="s">
        <v>4586</v>
      </c>
      <c r="H1652" s="9" t="s">
        <v>4587</v>
      </c>
      <c r="I1652" s="10">
        <v>45630</v>
      </c>
    </row>
    <row r="1653" spans="1:9" x14ac:dyDescent="0.15">
      <c r="A1653" s="9">
        <v>1652</v>
      </c>
      <c r="B1653" s="9" t="s">
        <v>9</v>
      </c>
      <c r="C1653" s="9">
        <v>1926</v>
      </c>
      <c r="D1653" s="10">
        <v>45722</v>
      </c>
      <c r="E1653" s="11" t="str">
        <f>+HYPERLINK("http://trademark.i-assist.jp/data/china/image_1926th/82353154.pdf","82353154")</f>
        <v>82353154</v>
      </c>
      <c r="F1653" s="9" t="s">
        <v>4588</v>
      </c>
      <c r="G1653" s="9" t="s">
        <v>4589</v>
      </c>
      <c r="H1653" s="9" t="s">
        <v>4590</v>
      </c>
      <c r="I1653" s="10">
        <v>45630</v>
      </c>
    </row>
    <row r="1654" spans="1:9" x14ac:dyDescent="0.15">
      <c r="A1654" s="9">
        <v>1653</v>
      </c>
      <c r="B1654" s="9" t="s">
        <v>9</v>
      </c>
      <c r="C1654" s="9">
        <v>1926</v>
      </c>
      <c r="D1654" s="10">
        <v>45722</v>
      </c>
      <c r="E1654" s="11" t="str">
        <f>+HYPERLINK("http://trademark.i-assist.jp/data/china/image_1926th/82353318.pdf","82353318")</f>
        <v>82353318</v>
      </c>
      <c r="F1654" s="9" t="s">
        <v>4591</v>
      </c>
      <c r="G1654" s="12" t="s">
        <v>4592</v>
      </c>
      <c r="H1654" s="9" t="s">
        <v>4593</v>
      </c>
      <c r="I1654" s="10">
        <v>45630</v>
      </c>
    </row>
    <row r="1655" spans="1:9" x14ac:dyDescent="0.15">
      <c r="A1655" s="9">
        <v>1654</v>
      </c>
      <c r="B1655" s="9" t="s">
        <v>9</v>
      </c>
      <c r="C1655" s="9">
        <v>1926</v>
      </c>
      <c r="D1655" s="10">
        <v>45722</v>
      </c>
      <c r="E1655" s="11" t="str">
        <f>+HYPERLINK("http://trademark.i-assist.jp/data/china/image_1926th/82353499.pdf","82353499")</f>
        <v>82353499</v>
      </c>
      <c r="F1655" s="9" t="s">
        <v>4594</v>
      </c>
      <c r="G1655" s="9" t="s">
        <v>4595</v>
      </c>
      <c r="H1655" s="9" t="s">
        <v>4596</v>
      </c>
      <c r="I1655" s="10">
        <v>45630</v>
      </c>
    </row>
    <row r="1656" spans="1:9" x14ac:dyDescent="0.15">
      <c r="A1656" s="9">
        <v>1655</v>
      </c>
      <c r="B1656" s="9" t="s">
        <v>9</v>
      </c>
      <c r="C1656" s="9">
        <v>1926</v>
      </c>
      <c r="D1656" s="10">
        <v>45722</v>
      </c>
      <c r="E1656" s="11" t="str">
        <f>+HYPERLINK("http://trademark.i-assist.jp/data/china/image_1926th/82353537.pdf","82353537")</f>
        <v>82353537</v>
      </c>
      <c r="F1656" s="9" t="s">
        <v>4597</v>
      </c>
      <c r="G1656" s="9" t="s">
        <v>4598</v>
      </c>
      <c r="H1656" s="9" t="s">
        <v>4599</v>
      </c>
      <c r="I1656" s="10">
        <v>45630</v>
      </c>
    </row>
    <row r="1657" spans="1:9" x14ac:dyDescent="0.15">
      <c r="A1657" s="9">
        <v>1656</v>
      </c>
      <c r="B1657" s="9" t="s">
        <v>9</v>
      </c>
      <c r="C1657" s="9">
        <v>1926</v>
      </c>
      <c r="D1657" s="10">
        <v>45722</v>
      </c>
      <c r="E1657" s="11" t="str">
        <f>+HYPERLINK("http://trademark.i-assist.jp/data/china/image_1926th/82353700.pdf","82353700")</f>
        <v>82353700</v>
      </c>
      <c r="F1657" s="9" t="s">
        <v>4600</v>
      </c>
      <c r="G1657" s="9" t="s">
        <v>4601</v>
      </c>
      <c r="H1657" s="9" t="s">
        <v>4602</v>
      </c>
      <c r="I1657" s="10">
        <v>45630</v>
      </c>
    </row>
    <row r="1658" spans="1:9" x14ac:dyDescent="0.15">
      <c r="A1658" s="9">
        <v>1657</v>
      </c>
      <c r="B1658" s="9" t="s">
        <v>9</v>
      </c>
      <c r="C1658" s="9">
        <v>1926</v>
      </c>
      <c r="D1658" s="10">
        <v>45722</v>
      </c>
      <c r="E1658" s="11" t="str">
        <f>+HYPERLINK("http://trademark.i-assist.jp/data/china/image_1926th/82353708.pdf","82353708")</f>
        <v>82353708</v>
      </c>
      <c r="F1658" s="9" t="s">
        <v>4603</v>
      </c>
      <c r="G1658" s="9" t="s">
        <v>4604</v>
      </c>
      <c r="H1658" s="9" t="s">
        <v>4605</v>
      </c>
      <c r="I1658" s="10">
        <v>45630</v>
      </c>
    </row>
    <row r="1659" spans="1:9" x14ac:dyDescent="0.15">
      <c r="A1659" s="9">
        <v>1658</v>
      </c>
      <c r="B1659" s="9" t="s">
        <v>9</v>
      </c>
      <c r="C1659" s="9">
        <v>1926</v>
      </c>
      <c r="D1659" s="10">
        <v>45722</v>
      </c>
      <c r="E1659" s="11" t="str">
        <f>+HYPERLINK("http://trademark.i-assist.jp/data/china/image_1926th/82353776.pdf","82353776")</f>
        <v>82353776</v>
      </c>
      <c r="F1659" s="9" t="s">
        <v>4606</v>
      </c>
      <c r="G1659" s="9" t="s">
        <v>179</v>
      </c>
      <c r="H1659" s="9" t="s">
        <v>4607</v>
      </c>
      <c r="I1659" s="10">
        <v>45630</v>
      </c>
    </row>
    <row r="1660" spans="1:9" x14ac:dyDescent="0.15">
      <c r="A1660" s="9">
        <v>1659</v>
      </c>
      <c r="B1660" s="9" t="s">
        <v>9</v>
      </c>
      <c r="C1660" s="9">
        <v>1926</v>
      </c>
      <c r="D1660" s="10">
        <v>45722</v>
      </c>
      <c r="E1660" s="11" t="str">
        <f>+HYPERLINK("http://trademark.i-assist.jp/data/china/image_1926th/82353983.pdf","82353983")</f>
        <v>82353983</v>
      </c>
      <c r="F1660" s="9" t="s">
        <v>4608</v>
      </c>
      <c r="G1660" s="9" t="s">
        <v>4609</v>
      </c>
      <c r="H1660" s="9" t="s">
        <v>4610</v>
      </c>
      <c r="I1660" s="10">
        <v>45630</v>
      </c>
    </row>
    <row r="1661" spans="1:9" x14ac:dyDescent="0.15">
      <c r="A1661" s="9">
        <v>1660</v>
      </c>
      <c r="B1661" s="9" t="s">
        <v>9</v>
      </c>
      <c r="C1661" s="9">
        <v>1926</v>
      </c>
      <c r="D1661" s="10">
        <v>45722</v>
      </c>
      <c r="E1661" s="11" t="str">
        <f>+HYPERLINK("http://trademark.i-assist.jp/data/china/image_1926th/82354049.pdf","82354049")</f>
        <v>82354049</v>
      </c>
      <c r="F1661" s="9" t="s">
        <v>4611</v>
      </c>
      <c r="G1661" s="9" t="s">
        <v>4478</v>
      </c>
      <c r="H1661" s="12" t="s">
        <v>4612</v>
      </c>
      <c r="I1661" s="10">
        <v>45630</v>
      </c>
    </row>
    <row r="1662" spans="1:9" x14ac:dyDescent="0.15">
      <c r="A1662" s="9">
        <v>1661</v>
      </c>
      <c r="B1662" s="9" t="s">
        <v>9</v>
      </c>
      <c r="C1662" s="9">
        <v>1926</v>
      </c>
      <c r="D1662" s="10">
        <v>45722</v>
      </c>
      <c r="E1662" s="11" t="str">
        <f>+HYPERLINK("http://trademark.i-assist.jp/data/china/image_1926th/82354637.pdf","82354637")</f>
        <v>82354637</v>
      </c>
      <c r="F1662" s="12" t="s">
        <v>20</v>
      </c>
      <c r="G1662" s="9" t="s">
        <v>4613</v>
      </c>
      <c r="H1662" s="12" t="s">
        <v>4614</v>
      </c>
      <c r="I1662" s="10">
        <v>45630</v>
      </c>
    </row>
    <row r="1663" spans="1:9" x14ac:dyDescent="0.15">
      <c r="A1663" s="9">
        <v>1662</v>
      </c>
      <c r="B1663" s="9" t="s">
        <v>9</v>
      </c>
      <c r="C1663" s="9">
        <v>1926</v>
      </c>
      <c r="D1663" s="10">
        <v>45722</v>
      </c>
      <c r="E1663" s="11" t="str">
        <f>+HYPERLINK("http://trademark.i-assist.jp/data/china/image_1926th/82354766.pdf","82354766")</f>
        <v>82354766</v>
      </c>
      <c r="F1663" s="9" t="s">
        <v>4615</v>
      </c>
      <c r="G1663" s="12" t="s">
        <v>132</v>
      </c>
      <c r="H1663" s="9" t="s">
        <v>4616</v>
      </c>
      <c r="I1663" s="10">
        <v>45630</v>
      </c>
    </row>
    <row r="1664" spans="1:9" x14ac:dyDescent="0.15">
      <c r="A1664" s="9">
        <v>1663</v>
      </c>
      <c r="B1664" s="9" t="s">
        <v>9</v>
      </c>
      <c r="C1664" s="9">
        <v>1926</v>
      </c>
      <c r="D1664" s="10">
        <v>45722</v>
      </c>
      <c r="E1664" s="11" t="str">
        <f>+HYPERLINK("http://trademark.i-assist.jp/data/china/image_1926th/82355187.pdf","82355187")</f>
        <v>82355187</v>
      </c>
      <c r="F1664" s="9" t="s">
        <v>4617</v>
      </c>
      <c r="G1664" s="9" t="s">
        <v>4618</v>
      </c>
      <c r="H1664" s="12" t="s">
        <v>4619</v>
      </c>
      <c r="I1664" s="10">
        <v>45630</v>
      </c>
    </row>
    <row r="1665" spans="1:9" x14ac:dyDescent="0.15">
      <c r="A1665" s="9">
        <v>1664</v>
      </c>
      <c r="B1665" s="9" t="s">
        <v>9</v>
      </c>
      <c r="C1665" s="9">
        <v>1926</v>
      </c>
      <c r="D1665" s="10">
        <v>45722</v>
      </c>
      <c r="E1665" s="11" t="str">
        <f>+HYPERLINK("http://trademark.i-assist.jp/data/china/image_1926th/82355547.pdf","82355547")</f>
        <v>82355547</v>
      </c>
      <c r="F1665" s="9" t="s">
        <v>4620</v>
      </c>
      <c r="G1665" s="9" t="s">
        <v>4621</v>
      </c>
      <c r="H1665" s="9" t="s">
        <v>4622</v>
      </c>
      <c r="I1665" s="10">
        <v>45630</v>
      </c>
    </row>
    <row r="1666" spans="1:9" x14ac:dyDescent="0.15">
      <c r="A1666" s="9">
        <v>1665</v>
      </c>
      <c r="B1666" s="9" t="s">
        <v>9</v>
      </c>
      <c r="C1666" s="9">
        <v>1926</v>
      </c>
      <c r="D1666" s="10">
        <v>45722</v>
      </c>
      <c r="E1666" s="11" t="str">
        <f>+HYPERLINK("http://trademark.i-assist.jp/data/china/image_1926th/82355568.pdf","82355568")</f>
        <v>82355568</v>
      </c>
      <c r="F1666" s="12" t="s">
        <v>4623</v>
      </c>
      <c r="G1666" s="9" t="s">
        <v>4624</v>
      </c>
      <c r="H1666" s="9" t="s">
        <v>4625</v>
      </c>
      <c r="I1666" s="10">
        <v>45630</v>
      </c>
    </row>
    <row r="1667" spans="1:9" x14ac:dyDescent="0.15">
      <c r="A1667" s="9">
        <v>1666</v>
      </c>
      <c r="B1667" s="9" t="s">
        <v>9</v>
      </c>
      <c r="C1667" s="9">
        <v>1926</v>
      </c>
      <c r="D1667" s="10">
        <v>45722</v>
      </c>
      <c r="E1667" s="11" t="str">
        <f>+HYPERLINK("http://trademark.i-assist.jp/data/china/image_1926th/82355652.pdf","82355652")</f>
        <v>82355652</v>
      </c>
      <c r="F1667" s="9" t="s">
        <v>4626</v>
      </c>
      <c r="G1667" s="9" t="s">
        <v>4627</v>
      </c>
      <c r="H1667" s="9" t="s">
        <v>4628</v>
      </c>
      <c r="I1667" s="10">
        <v>45630</v>
      </c>
    </row>
    <row r="1668" spans="1:9" x14ac:dyDescent="0.15">
      <c r="A1668" s="9">
        <v>1667</v>
      </c>
      <c r="B1668" s="9" t="s">
        <v>9</v>
      </c>
      <c r="C1668" s="9">
        <v>1926</v>
      </c>
      <c r="D1668" s="10">
        <v>45722</v>
      </c>
      <c r="E1668" s="11" t="str">
        <f>+HYPERLINK("http://trademark.i-assist.jp/data/china/image_1926th/82356073.pdf","82356073")</f>
        <v>82356073</v>
      </c>
      <c r="F1668" s="9" t="s">
        <v>4629</v>
      </c>
      <c r="G1668" s="9" t="s">
        <v>3185</v>
      </c>
      <c r="H1668" s="9" t="s">
        <v>4630</v>
      </c>
      <c r="I1668" s="10">
        <v>45630</v>
      </c>
    </row>
    <row r="1669" spans="1:9" x14ac:dyDescent="0.15">
      <c r="A1669" s="9">
        <v>1668</v>
      </c>
      <c r="B1669" s="9" t="s">
        <v>9</v>
      </c>
      <c r="C1669" s="9">
        <v>1926</v>
      </c>
      <c r="D1669" s="10">
        <v>45722</v>
      </c>
      <c r="E1669" s="11" t="str">
        <f>+HYPERLINK("http://trademark.i-assist.jp/data/china/image_1926th/82356119.pdf","82356119")</f>
        <v>82356119</v>
      </c>
      <c r="F1669" s="9" t="s">
        <v>4631</v>
      </c>
      <c r="G1669" s="9" t="s">
        <v>4632</v>
      </c>
      <c r="H1669" s="9" t="s">
        <v>4633</v>
      </c>
      <c r="I1669" s="10">
        <v>45630</v>
      </c>
    </row>
    <row r="1670" spans="1:9" x14ac:dyDescent="0.15">
      <c r="A1670" s="9">
        <v>1669</v>
      </c>
      <c r="B1670" s="9" t="s">
        <v>9</v>
      </c>
      <c r="C1670" s="9">
        <v>1926</v>
      </c>
      <c r="D1670" s="10">
        <v>45722</v>
      </c>
      <c r="E1670" s="11" t="str">
        <f>+HYPERLINK("http://trademark.i-assist.jp/data/china/image_1926th/82356298.pdf","82356298")</f>
        <v>82356298</v>
      </c>
      <c r="F1670" s="9" t="s">
        <v>4634</v>
      </c>
      <c r="G1670" s="12" t="s">
        <v>4635</v>
      </c>
      <c r="H1670" s="9" t="s">
        <v>4636</v>
      </c>
      <c r="I1670" s="10">
        <v>45630</v>
      </c>
    </row>
    <row r="1671" spans="1:9" x14ac:dyDescent="0.15">
      <c r="A1671" s="9">
        <v>1670</v>
      </c>
      <c r="B1671" s="9" t="s">
        <v>9</v>
      </c>
      <c r="C1671" s="9">
        <v>1926</v>
      </c>
      <c r="D1671" s="10">
        <v>45722</v>
      </c>
      <c r="E1671" s="11" t="str">
        <f>+HYPERLINK("http://trademark.i-assist.jp/data/china/image_1926th/82356438.pdf","82356438")</f>
        <v>82356438</v>
      </c>
      <c r="F1671" s="9" t="s">
        <v>4637</v>
      </c>
      <c r="G1671" s="12" t="s">
        <v>4638</v>
      </c>
      <c r="H1671" s="9" t="s">
        <v>4639</v>
      </c>
      <c r="I1671" s="10">
        <v>45630</v>
      </c>
    </row>
    <row r="1672" spans="1:9" x14ac:dyDescent="0.15">
      <c r="A1672" s="9">
        <v>1671</v>
      </c>
      <c r="B1672" s="9" t="s">
        <v>9</v>
      </c>
      <c r="C1672" s="9">
        <v>1926</v>
      </c>
      <c r="D1672" s="10">
        <v>45722</v>
      </c>
      <c r="E1672" s="11" t="str">
        <f>+HYPERLINK("http://trademark.i-assist.jp/data/china/image_1926th/82356690.pdf","82356690")</f>
        <v>82356690</v>
      </c>
      <c r="F1672" s="9" t="s">
        <v>4640</v>
      </c>
      <c r="G1672" s="9" t="s">
        <v>161</v>
      </c>
      <c r="H1672" s="9" t="s">
        <v>4641</v>
      </c>
      <c r="I1672" s="10">
        <v>45630</v>
      </c>
    </row>
    <row r="1673" spans="1:9" x14ac:dyDescent="0.15">
      <c r="A1673" s="9">
        <v>1672</v>
      </c>
      <c r="B1673" s="9" t="s">
        <v>9</v>
      </c>
      <c r="C1673" s="9">
        <v>1926</v>
      </c>
      <c r="D1673" s="10">
        <v>45722</v>
      </c>
      <c r="E1673" s="11" t="str">
        <f>+HYPERLINK("http://trademark.i-assist.jp/data/china/image_1926th/82356746.pdf","82356746")</f>
        <v>82356746</v>
      </c>
      <c r="F1673" s="12" t="s">
        <v>4642</v>
      </c>
      <c r="G1673" s="9" t="s">
        <v>4532</v>
      </c>
      <c r="H1673" s="9" t="s">
        <v>4643</v>
      </c>
      <c r="I1673" s="10">
        <v>45630</v>
      </c>
    </row>
    <row r="1674" spans="1:9" x14ac:dyDescent="0.15">
      <c r="A1674" s="9">
        <v>1673</v>
      </c>
      <c r="B1674" s="9" t="s">
        <v>9</v>
      </c>
      <c r="C1674" s="9">
        <v>1926</v>
      </c>
      <c r="D1674" s="10">
        <v>45722</v>
      </c>
      <c r="E1674" s="11" t="str">
        <f>+HYPERLINK("http://trademark.i-assist.jp/data/china/image_1926th/82356873.pdf","82356873")</f>
        <v>82356873</v>
      </c>
      <c r="F1674" s="9" t="s">
        <v>4644</v>
      </c>
      <c r="G1674" s="9" t="s">
        <v>4645</v>
      </c>
      <c r="H1674" s="9" t="s">
        <v>4646</v>
      </c>
      <c r="I1674" s="10">
        <v>45630</v>
      </c>
    </row>
    <row r="1675" spans="1:9" x14ac:dyDescent="0.15">
      <c r="A1675" s="9">
        <v>1674</v>
      </c>
      <c r="B1675" s="9" t="s">
        <v>9</v>
      </c>
      <c r="C1675" s="9">
        <v>1926</v>
      </c>
      <c r="D1675" s="10">
        <v>45722</v>
      </c>
      <c r="E1675" s="11" t="str">
        <f>+HYPERLINK("http://trademark.i-assist.jp/data/china/image_1926th/82356935.pdf","82356935")</f>
        <v>82356935</v>
      </c>
      <c r="F1675" s="9" t="s">
        <v>4647</v>
      </c>
      <c r="G1675" s="9" t="s">
        <v>4648</v>
      </c>
      <c r="H1675" s="9" t="s">
        <v>4649</v>
      </c>
      <c r="I1675" s="10">
        <v>45630</v>
      </c>
    </row>
    <row r="1676" spans="1:9" x14ac:dyDescent="0.15">
      <c r="A1676" s="9">
        <v>1675</v>
      </c>
      <c r="B1676" s="9" t="s">
        <v>9</v>
      </c>
      <c r="C1676" s="9">
        <v>1926</v>
      </c>
      <c r="D1676" s="10">
        <v>45722</v>
      </c>
      <c r="E1676" s="11" t="str">
        <f>+HYPERLINK("http://trademark.i-assist.jp/data/china/image_1926th/82356978.pdf","82356978")</f>
        <v>82356978</v>
      </c>
      <c r="F1676" s="12" t="s">
        <v>4650</v>
      </c>
      <c r="G1676" s="12" t="s">
        <v>4574</v>
      </c>
      <c r="H1676" s="9" t="s">
        <v>4651</v>
      </c>
      <c r="I1676" s="10">
        <v>45630</v>
      </c>
    </row>
    <row r="1677" spans="1:9" x14ac:dyDescent="0.15">
      <c r="A1677" s="9">
        <v>1676</v>
      </c>
      <c r="B1677" s="9" t="s">
        <v>9</v>
      </c>
      <c r="C1677" s="9">
        <v>1926</v>
      </c>
      <c r="D1677" s="10">
        <v>45722</v>
      </c>
      <c r="E1677" s="11" t="str">
        <f>+HYPERLINK("http://trademark.i-assist.jp/data/china/image_1926th/82357115.pdf","82357115")</f>
        <v>82357115</v>
      </c>
      <c r="F1677" s="9" t="s">
        <v>4652</v>
      </c>
      <c r="G1677" s="12" t="s">
        <v>4653</v>
      </c>
      <c r="H1677" s="9" t="s">
        <v>4654</v>
      </c>
      <c r="I1677" s="10">
        <v>45630</v>
      </c>
    </row>
    <row r="1678" spans="1:9" x14ac:dyDescent="0.15">
      <c r="A1678" s="9">
        <v>1677</v>
      </c>
      <c r="B1678" s="9" t="s">
        <v>9</v>
      </c>
      <c r="C1678" s="9">
        <v>1926</v>
      </c>
      <c r="D1678" s="10">
        <v>45722</v>
      </c>
      <c r="E1678" s="11" t="str">
        <f>+HYPERLINK("http://trademark.i-assist.jp/data/china/image_1926th/82357414.pdf","82357414")</f>
        <v>82357414</v>
      </c>
      <c r="F1678" s="12" t="s">
        <v>20</v>
      </c>
      <c r="G1678" s="9" t="s">
        <v>4655</v>
      </c>
      <c r="H1678" s="9" t="s">
        <v>4656</v>
      </c>
      <c r="I1678" s="10">
        <v>45630</v>
      </c>
    </row>
    <row r="1679" spans="1:9" x14ac:dyDescent="0.15">
      <c r="A1679" s="9">
        <v>1678</v>
      </c>
      <c r="B1679" s="9" t="s">
        <v>9</v>
      </c>
      <c r="C1679" s="9">
        <v>1926</v>
      </c>
      <c r="D1679" s="10">
        <v>45722</v>
      </c>
      <c r="E1679" s="11" t="str">
        <f>+HYPERLINK("http://trademark.i-assist.jp/data/china/image_1926th/82357453.pdf","82357453")</f>
        <v>82357453</v>
      </c>
      <c r="F1679" s="9" t="s">
        <v>4657</v>
      </c>
      <c r="G1679" s="9" t="s">
        <v>4658</v>
      </c>
      <c r="H1679" s="9" t="s">
        <v>4659</v>
      </c>
      <c r="I1679" s="10">
        <v>45630</v>
      </c>
    </row>
    <row r="1680" spans="1:9" x14ac:dyDescent="0.15">
      <c r="A1680" s="9">
        <v>1679</v>
      </c>
      <c r="B1680" s="9" t="s">
        <v>9</v>
      </c>
      <c r="C1680" s="9">
        <v>1926</v>
      </c>
      <c r="D1680" s="10">
        <v>45722</v>
      </c>
      <c r="E1680" s="11" t="str">
        <f>+HYPERLINK("http://trademark.i-assist.jp/data/china/image_1926th/82357707.pdf","82357707")</f>
        <v>82357707</v>
      </c>
      <c r="F1680" s="9">
        <v>9</v>
      </c>
      <c r="G1680" s="9" t="s">
        <v>4660</v>
      </c>
      <c r="H1680" s="9" t="s">
        <v>4661</v>
      </c>
      <c r="I1680" s="10">
        <v>45630</v>
      </c>
    </row>
    <row r="1681" spans="1:9" x14ac:dyDescent="0.15">
      <c r="A1681" s="9">
        <v>1680</v>
      </c>
      <c r="B1681" s="9" t="s">
        <v>9</v>
      </c>
      <c r="C1681" s="9">
        <v>1926</v>
      </c>
      <c r="D1681" s="10">
        <v>45722</v>
      </c>
      <c r="E1681" s="11" t="str">
        <f>+HYPERLINK("http://trademark.i-assist.jp/data/china/image_1926th/82357972.pdf","82357972")</f>
        <v>82357972</v>
      </c>
      <c r="F1681" s="9" t="s">
        <v>4662</v>
      </c>
      <c r="G1681" s="12" t="s">
        <v>4580</v>
      </c>
      <c r="H1681" s="9" t="s">
        <v>4663</v>
      </c>
      <c r="I1681" s="10">
        <v>45630</v>
      </c>
    </row>
    <row r="1682" spans="1:9" x14ac:dyDescent="0.15">
      <c r="A1682" s="9">
        <v>1681</v>
      </c>
      <c r="B1682" s="9" t="s">
        <v>9</v>
      </c>
      <c r="C1682" s="9">
        <v>1926</v>
      </c>
      <c r="D1682" s="10">
        <v>45722</v>
      </c>
      <c r="E1682" s="11" t="str">
        <f>+HYPERLINK("http://trademark.i-assist.jp/data/china/image_1926th/82358445.pdf","82358445")</f>
        <v>82358445</v>
      </c>
      <c r="F1682" s="9" t="s">
        <v>4664</v>
      </c>
      <c r="G1682" s="9" t="s">
        <v>4665</v>
      </c>
      <c r="H1682" s="9" t="s">
        <v>4666</v>
      </c>
      <c r="I1682" s="10">
        <v>45630</v>
      </c>
    </row>
    <row r="1683" spans="1:9" x14ac:dyDescent="0.15">
      <c r="A1683" s="9">
        <v>1682</v>
      </c>
      <c r="B1683" s="9" t="s">
        <v>9</v>
      </c>
      <c r="C1683" s="9">
        <v>1926</v>
      </c>
      <c r="D1683" s="10">
        <v>45722</v>
      </c>
      <c r="E1683" s="11" t="str">
        <f>+HYPERLINK("http://trademark.i-assist.jp/data/china/image_1926th/82358491.pdf","82358491")</f>
        <v>82358491</v>
      </c>
      <c r="F1683" s="9" t="s">
        <v>4667</v>
      </c>
      <c r="G1683" s="9" t="s">
        <v>4668</v>
      </c>
      <c r="H1683" s="9" t="s">
        <v>4669</v>
      </c>
      <c r="I1683" s="10">
        <v>45630</v>
      </c>
    </row>
    <row r="1684" spans="1:9" x14ac:dyDescent="0.15">
      <c r="A1684" s="9">
        <v>1683</v>
      </c>
      <c r="B1684" s="9" t="s">
        <v>9</v>
      </c>
      <c r="C1684" s="9">
        <v>1926</v>
      </c>
      <c r="D1684" s="10">
        <v>45722</v>
      </c>
      <c r="E1684" s="11" t="str">
        <f>+HYPERLINK("http://trademark.i-assist.jp/data/china/image_1926th/82358918.pdf","82358918")</f>
        <v>82358918</v>
      </c>
      <c r="F1684" s="9" t="s">
        <v>4670</v>
      </c>
      <c r="G1684" s="9" t="s">
        <v>178</v>
      </c>
      <c r="H1684" s="9" t="s">
        <v>4671</v>
      </c>
      <c r="I1684" s="10">
        <v>45630</v>
      </c>
    </row>
    <row r="1685" spans="1:9" x14ac:dyDescent="0.15">
      <c r="A1685" s="9">
        <v>1684</v>
      </c>
      <c r="B1685" s="9" t="s">
        <v>9</v>
      </c>
      <c r="C1685" s="9">
        <v>1926</v>
      </c>
      <c r="D1685" s="10">
        <v>45722</v>
      </c>
      <c r="E1685" s="11" t="str">
        <f>+HYPERLINK("http://trademark.i-assist.jp/data/china/image_1926th/82359061.pdf","82359061")</f>
        <v>82359061</v>
      </c>
      <c r="F1685" s="9" t="s">
        <v>4672</v>
      </c>
      <c r="G1685" s="9" t="s">
        <v>4673</v>
      </c>
      <c r="H1685" s="9" t="s">
        <v>4674</v>
      </c>
      <c r="I1685" s="10">
        <v>45630</v>
      </c>
    </row>
    <row r="1686" spans="1:9" x14ac:dyDescent="0.15">
      <c r="A1686" s="9">
        <v>1685</v>
      </c>
      <c r="B1686" s="9" t="s">
        <v>9</v>
      </c>
      <c r="C1686" s="9">
        <v>1926</v>
      </c>
      <c r="D1686" s="10">
        <v>45722</v>
      </c>
      <c r="E1686" s="11" t="str">
        <f>+HYPERLINK("http://trademark.i-assist.jp/data/china/image_1926th/82359307.pdf","82359307")</f>
        <v>82359307</v>
      </c>
      <c r="F1686" s="9" t="s">
        <v>4675</v>
      </c>
      <c r="G1686" s="9" t="s">
        <v>4676</v>
      </c>
      <c r="H1686" s="9" t="s">
        <v>1470</v>
      </c>
      <c r="I1686" s="10">
        <v>45630</v>
      </c>
    </row>
    <row r="1687" spans="1:9" x14ac:dyDescent="0.15">
      <c r="A1687" s="9">
        <v>1686</v>
      </c>
      <c r="B1687" s="9" t="s">
        <v>9</v>
      </c>
      <c r="C1687" s="9">
        <v>1926</v>
      </c>
      <c r="D1687" s="10">
        <v>45722</v>
      </c>
      <c r="E1687" s="11" t="str">
        <f>+HYPERLINK("http://trademark.i-assist.jp/data/china/image_1926th/82359344.pdf","82359344")</f>
        <v>82359344</v>
      </c>
      <c r="F1687" s="9" t="s">
        <v>4677</v>
      </c>
      <c r="G1687" s="9" t="s">
        <v>4678</v>
      </c>
      <c r="H1687" s="9" t="s">
        <v>4679</v>
      </c>
      <c r="I1687" s="10">
        <v>45630</v>
      </c>
    </row>
    <row r="1688" spans="1:9" x14ac:dyDescent="0.15">
      <c r="A1688" s="9">
        <v>1687</v>
      </c>
      <c r="B1688" s="9" t="s">
        <v>9</v>
      </c>
      <c r="C1688" s="9">
        <v>1926</v>
      </c>
      <c r="D1688" s="10">
        <v>45722</v>
      </c>
      <c r="E1688" s="11" t="str">
        <f>+HYPERLINK("http://trademark.i-assist.jp/data/china/image_1926th/82359465.pdf","82359465")</f>
        <v>82359465</v>
      </c>
      <c r="F1688" s="9" t="s">
        <v>4680</v>
      </c>
      <c r="G1688" s="9" t="s">
        <v>4681</v>
      </c>
      <c r="H1688" s="9" t="s">
        <v>4682</v>
      </c>
      <c r="I1688" s="10">
        <v>45630</v>
      </c>
    </row>
    <row r="1689" spans="1:9" x14ac:dyDescent="0.15">
      <c r="A1689" s="9">
        <v>1688</v>
      </c>
      <c r="B1689" s="9" t="s">
        <v>9</v>
      </c>
      <c r="C1689" s="9">
        <v>1926</v>
      </c>
      <c r="D1689" s="10">
        <v>45722</v>
      </c>
      <c r="E1689" s="11" t="str">
        <f>+HYPERLINK("http://trademark.i-assist.jp/data/china/image_1926th/82359973.pdf","82359973")</f>
        <v>82359973</v>
      </c>
      <c r="F1689" s="9" t="s">
        <v>4683</v>
      </c>
      <c r="G1689" s="9" t="s">
        <v>4684</v>
      </c>
      <c r="H1689" s="9" t="s">
        <v>4685</v>
      </c>
      <c r="I1689" s="10">
        <v>45630</v>
      </c>
    </row>
    <row r="1690" spans="1:9" x14ac:dyDescent="0.15">
      <c r="A1690" s="9">
        <v>1689</v>
      </c>
      <c r="B1690" s="9" t="s">
        <v>9</v>
      </c>
      <c r="C1690" s="9">
        <v>1926</v>
      </c>
      <c r="D1690" s="10">
        <v>45722</v>
      </c>
      <c r="E1690" s="11" t="str">
        <f>+HYPERLINK("http://trademark.i-assist.jp/data/china/image_1926th/82360249.pdf","82360249")</f>
        <v>82360249</v>
      </c>
      <c r="F1690" s="9" t="s">
        <v>4686</v>
      </c>
      <c r="G1690" s="9" t="s">
        <v>4687</v>
      </c>
      <c r="H1690" s="9" t="s">
        <v>4688</v>
      </c>
      <c r="I1690" s="10">
        <v>45630</v>
      </c>
    </row>
    <row r="1691" spans="1:9" x14ac:dyDescent="0.15">
      <c r="A1691" s="9">
        <v>1690</v>
      </c>
      <c r="B1691" s="9" t="s">
        <v>9</v>
      </c>
      <c r="C1691" s="9">
        <v>1926</v>
      </c>
      <c r="D1691" s="10">
        <v>45722</v>
      </c>
      <c r="E1691" s="11" t="str">
        <f>+HYPERLINK("http://trademark.i-assist.jp/data/china/image_1926th/82360560.pdf","82360560")</f>
        <v>82360560</v>
      </c>
      <c r="F1691" s="9" t="s">
        <v>4689</v>
      </c>
      <c r="G1691" s="9" t="s">
        <v>182</v>
      </c>
      <c r="H1691" s="9" t="s">
        <v>4690</v>
      </c>
      <c r="I1691" s="10">
        <v>45630</v>
      </c>
    </row>
    <row r="1692" spans="1:9" x14ac:dyDescent="0.15">
      <c r="A1692" s="9">
        <v>1691</v>
      </c>
      <c r="B1692" s="9" t="s">
        <v>9</v>
      </c>
      <c r="C1692" s="9">
        <v>1926</v>
      </c>
      <c r="D1692" s="10">
        <v>45722</v>
      </c>
      <c r="E1692" s="11" t="str">
        <f>+HYPERLINK("http://trademark.i-assist.jp/data/china/image_1926th/82360625.pdf","82360625")</f>
        <v>82360625</v>
      </c>
      <c r="F1692" s="12" t="s">
        <v>20</v>
      </c>
      <c r="G1692" s="9" t="s">
        <v>4691</v>
      </c>
      <c r="H1692" s="12" t="s">
        <v>4692</v>
      </c>
      <c r="I1692" s="10">
        <v>45630</v>
      </c>
    </row>
    <row r="1693" spans="1:9" x14ac:dyDescent="0.15">
      <c r="A1693" s="9">
        <v>1692</v>
      </c>
      <c r="B1693" s="9" t="s">
        <v>9</v>
      </c>
      <c r="C1693" s="9">
        <v>1926</v>
      </c>
      <c r="D1693" s="10">
        <v>45722</v>
      </c>
      <c r="E1693" s="11" t="str">
        <f>+HYPERLINK("http://trademark.i-assist.jp/data/china/image_1926th/82360635.pdf","82360635")</f>
        <v>82360635</v>
      </c>
      <c r="F1693" s="9" t="s">
        <v>4693</v>
      </c>
      <c r="G1693" s="9" t="s">
        <v>4694</v>
      </c>
      <c r="H1693" s="9" t="s">
        <v>4695</v>
      </c>
      <c r="I1693" s="10">
        <v>45630</v>
      </c>
    </row>
    <row r="1694" spans="1:9" x14ac:dyDescent="0.15">
      <c r="A1694" s="9">
        <v>1693</v>
      </c>
      <c r="B1694" s="9" t="s">
        <v>9</v>
      </c>
      <c r="C1694" s="9">
        <v>1926</v>
      </c>
      <c r="D1694" s="10">
        <v>45722</v>
      </c>
      <c r="E1694" s="11" t="str">
        <f>+HYPERLINK("http://trademark.i-assist.jp/data/china/image_1926th/82360636.pdf","82360636")</f>
        <v>82360636</v>
      </c>
      <c r="F1694" s="9" t="s">
        <v>4696</v>
      </c>
      <c r="G1694" s="9" t="s">
        <v>4697</v>
      </c>
      <c r="H1694" s="9" t="s">
        <v>4698</v>
      </c>
      <c r="I1694" s="10">
        <v>45630</v>
      </c>
    </row>
    <row r="1695" spans="1:9" x14ac:dyDescent="0.15">
      <c r="A1695" s="9">
        <v>1694</v>
      </c>
      <c r="B1695" s="9" t="s">
        <v>9</v>
      </c>
      <c r="C1695" s="9">
        <v>1926</v>
      </c>
      <c r="D1695" s="10">
        <v>45722</v>
      </c>
      <c r="E1695" s="11" t="str">
        <f>+HYPERLINK("http://trademark.i-assist.jp/data/china/image_1926th/82360706.pdf","82360706")</f>
        <v>82360706</v>
      </c>
      <c r="F1695" s="9" t="s">
        <v>4699</v>
      </c>
      <c r="G1695" s="9" t="s">
        <v>4700</v>
      </c>
      <c r="H1695" s="9" t="s">
        <v>4701</v>
      </c>
      <c r="I1695" s="10">
        <v>45630</v>
      </c>
    </row>
    <row r="1696" spans="1:9" x14ac:dyDescent="0.15">
      <c r="A1696" s="9">
        <v>1695</v>
      </c>
      <c r="B1696" s="9" t="s">
        <v>9</v>
      </c>
      <c r="C1696" s="9">
        <v>1926</v>
      </c>
      <c r="D1696" s="10">
        <v>45722</v>
      </c>
      <c r="E1696" s="11" t="str">
        <f>+HYPERLINK("http://trademark.i-assist.jp/data/china/image_1926th/82361013.pdf","82361013")</f>
        <v>82361013</v>
      </c>
      <c r="F1696" s="9" t="s">
        <v>4702</v>
      </c>
      <c r="G1696" s="9" t="s">
        <v>4703</v>
      </c>
      <c r="H1696" s="9" t="s">
        <v>4704</v>
      </c>
      <c r="I1696" s="10">
        <v>45630</v>
      </c>
    </row>
    <row r="1697" spans="1:9" x14ac:dyDescent="0.15">
      <c r="A1697" s="9">
        <v>1696</v>
      </c>
      <c r="B1697" s="9" t="s">
        <v>9</v>
      </c>
      <c r="C1697" s="9">
        <v>1926</v>
      </c>
      <c r="D1697" s="10">
        <v>45722</v>
      </c>
      <c r="E1697" s="11" t="str">
        <f>+HYPERLINK("http://trademark.i-assist.jp/data/china/image_1926th/82361296.pdf","82361296")</f>
        <v>82361296</v>
      </c>
      <c r="F1697" s="9" t="s">
        <v>4705</v>
      </c>
      <c r="G1697" s="9" t="s">
        <v>4706</v>
      </c>
      <c r="H1697" s="9" t="s">
        <v>4707</v>
      </c>
      <c r="I1697" s="10">
        <v>45630</v>
      </c>
    </row>
    <row r="1698" spans="1:9" x14ac:dyDescent="0.15">
      <c r="A1698" s="9">
        <v>1697</v>
      </c>
      <c r="B1698" s="9" t="s">
        <v>9</v>
      </c>
      <c r="C1698" s="9">
        <v>1926</v>
      </c>
      <c r="D1698" s="10">
        <v>45722</v>
      </c>
      <c r="E1698" s="11" t="str">
        <f>+HYPERLINK("http://trademark.i-assist.jp/data/china/image_1926th/82361735.pdf","82361735")</f>
        <v>82361735</v>
      </c>
      <c r="F1698" s="9" t="s">
        <v>4708</v>
      </c>
      <c r="G1698" s="9" t="s">
        <v>4709</v>
      </c>
      <c r="H1698" s="9" t="s">
        <v>4710</v>
      </c>
      <c r="I1698" s="10">
        <v>45630</v>
      </c>
    </row>
    <row r="1699" spans="1:9" x14ac:dyDescent="0.15">
      <c r="A1699" s="9">
        <v>1698</v>
      </c>
      <c r="B1699" s="9" t="s">
        <v>9</v>
      </c>
      <c r="C1699" s="9">
        <v>1926</v>
      </c>
      <c r="D1699" s="10">
        <v>45722</v>
      </c>
      <c r="E1699" s="11" t="str">
        <f>+HYPERLINK("http://trademark.i-assist.jp/data/china/image_1926th/82361752.pdf","82361752")</f>
        <v>82361752</v>
      </c>
      <c r="F1699" s="12" t="s">
        <v>4711</v>
      </c>
      <c r="G1699" s="12" t="s">
        <v>4712</v>
      </c>
      <c r="H1699" s="9" t="s">
        <v>4713</v>
      </c>
      <c r="I1699" s="10">
        <v>45630</v>
      </c>
    </row>
    <row r="1700" spans="1:9" x14ac:dyDescent="0.15">
      <c r="A1700" s="9">
        <v>1699</v>
      </c>
      <c r="B1700" s="9" t="s">
        <v>9</v>
      </c>
      <c r="C1700" s="9">
        <v>1926</v>
      </c>
      <c r="D1700" s="10">
        <v>45722</v>
      </c>
      <c r="E1700" s="11" t="str">
        <f>+HYPERLINK("http://trademark.i-assist.jp/data/china/image_1926th/82361823.pdf","82361823")</f>
        <v>82361823</v>
      </c>
      <c r="F1700" s="9" t="s">
        <v>4714</v>
      </c>
      <c r="G1700" s="9" t="s">
        <v>4586</v>
      </c>
      <c r="H1700" s="9" t="s">
        <v>4715</v>
      </c>
      <c r="I1700" s="10">
        <v>45630</v>
      </c>
    </row>
    <row r="1701" spans="1:9" x14ac:dyDescent="0.15">
      <c r="A1701" s="9">
        <v>1700</v>
      </c>
      <c r="B1701" s="9" t="s">
        <v>9</v>
      </c>
      <c r="C1701" s="9">
        <v>1926</v>
      </c>
      <c r="D1701" s="10">
        <v>45722</v>
      </c>
      <c r="E1701" s="11" t="str">
        <f>+HYPERLINK("http://trademark.i-assist.jp/data/china/image_1926th/82361911.pdf","82361911")</f>
        <v>82361911</v>
      </c>
      <c r="F1701" s="9" t="s">
        <v>4716</v>
      </c>
      <c r="G1701" s="9" t="s">
        <v>99</v>
      </c>
      <c r="H1701" s="9" t="s">
        <v>4717</v>
      </c>
      <c r="I1701" s="10">
        <v>45630</v>
      </c>
    </row>
    <row r="1702" spans="1:9" x14ac:dyDescent="0.15">
      <c r="A1702" s="9">
        <v>1701</v>
      </c>
      <c r="B1702" s="9" t="s">
        <v>9</v>
      </c>
      <c r="C1702" s="9">
        <v>1926</v>
      </c>
      <c r="D1702" s="10">
        <v>45722</v>
      </c>
      <c r="E1702" s="11" t="str">
        <f>+HYPERLINK("http://trademark.i-assist.jp/data/china/image_1926th/82361958.pdf","82361958")</f>
        <v>82361958</v>
      </c>
      <c r="F1702" s="12" t="s">
        <v>4718</v>
      </c>
      <c r="G1702" s="9" t="s">
        <v>4719</v>
      </c>
      <c r="H1702" s="9" t="s">
        <v>4720</v>
      </c>
      <c r="I1702" s="10">
        <v>45630</v>
      </c>
    </row>
    <row r="1703" spans="1:9" x14ac:dyDescent="0.15">
      <c r="A1703" s="9">
        <v>1702</v>
      </c>
      <c r="B1703" s="9" t="s">
        <v>9</v>
      </c>
      <c r="C1703" s="9">
        <v>1926</v>
      </c>
      <c r="D1703" s="10">
        <v>45722</v>
      </c>
      <c r="E1703" s="11" t="str">
        <f>+HYPERLINK("http://trademark.i-assist.jp/data/china/image_1926th/82362192.pdf","82362192")</f>
        <v>82362192</v>
      </c>
      <c r="F1703" s="9" t="s">
        <v>4721</v>
      </c>
      <c r="G1703" s="9" t="s">
        <v>4722</v>
      </c>
      <c r="H1703" s="9" t="s">
        <v>4723</v>
      </c>
      <c r="I1703" s="10">
        <v>45630</v>
      </c>
    </row>
    <row r="1704" spans="1:9" x14ac:dyDescent="0.15">
      <c r="A1704" s="9">
        <v>1703</v>
      </c>
      <c r="B1704" s="9" t="s">
        <v>9</v>
      </c>
      <c r="C1704" s="9">
        <v>1926</v>
      </c>
      <c r="D1704" s="10">
        <v>45722</v>
      </c>
      <c r="E1704" s="11" t="str">
        <f>+HYPERLINK("http://trademark.i-assist.jp/data/china/image_1926th/82362203.pdf","82362203")</f>
        <v>82362203</v>
      </c>
      <c r="F1704" s="9" t="s">
        <v>4724</v>
      </c>
      <c r="G1704" s="9" t="s">
        <v>4725</v>
      </c>
      <c r="H1704" s="9" t="s">
        <v>4726</v>
      </c>
      <c r="I1704" s="10">
        <v>45630</v>
      </c>
    </row>
    <row r="1705" spans="1:9" x14ac:dyDescent="0.15">
      <c r="A1705" s="9">
        <v>1704</v>
      </c>
      <c r="B1705" s="9" t="s">
        <v>9</v>
      </c>
      <c r="C1705" s="9">
        <v>1926</v>
      </c>
      <c r="D1705" s="10">
        <v>45722</v>
      </c>
      <c r="E1705" s="11" t="str">
        <f>+HYPERLINK("http://trademark.i-assist.jp/data/china/image_1926th/82362269.pdf","82362269")</f>
        <v>82362269</v>
      </c>
      <c r="F1705" s="9" t="s">
        <v>4727</v>
      </c>
      <c r="G1705" s="9" t="s">
        <v>4461</v>
      </c>
      <c r="H1705" s="9" t="s">
        <v>4728</v>
      </c>
      <c r="I1705" s="10">
        <v>45630</v>
      </c>
    </row>
    <row r="1706" spans="1:9" x14ac:dyDescent="0.15">
      <c r="A1706" s="9">
        <v>1705</v>
      </c>
      <c r="B1706" s="9" t="s">
        <v>9</v>
      </c>
      <c r="C1706" s="9">
        <v>1926</v>
      </c>
      <c r="D1706" s="10">
        <v>45722</v>
      </c>
      <c r="E1706" s="11" t="str">
        <f>+HYPERLINK("http://trademark.i-assist.jp/data/china/image_1926th/82362318.pdf","82362318")</f>
        <v>82362318</v>
      </c>
      <c r="F1706" s="12" t="s">
        <v>4729</v>
      </c>
      <c r="G1706" s="9" t="s">
        <v>4730</v>
      </c>
      <c r="H1706" s="9" t="s">
        <v>4731</v>
      </c>
      <c r="I1706" s="10">
        <v>45630</v>
      </c>
    </row>
    <row r="1707" spans="1:9" x14ac:dyDescent="0.15">
      <c r="A1707" s="9">
        <v>1706</v>
      </c>
      <c r="B1707" s="9" t="s">
        <v>9</v>
      </c>
      <c r="C1707" s="9">
        <v>1926</v>
      </c>
      <c r="D1707" s="10">
        <v>45722</v>
      </c>
      <c r="E1707" s="11" t="str">
        <f>+HYPERLINK("http://trademark.i-assist.jp/data/china/image_1926th/82362387.pdf","82362387")</f>
        <v>82362387</v>
      </c>
      <c r="F1707" s="9" t="s">
        <v>4732</v>
      </c>
      <c r="G1707" s="9" t="s">
        <v>4733</v>
      </c>
      <c r="H1707" s="9" t="s">
        <v>4734</v>
      </c>
      <c r="I1707" s="10">
        <v>45630</v>
      </c>
    </row>
    <row r="1708" spans="1:9" x14ac:dyDescent="0.15">
      <c r="A1708" s="9">
        <v>1707</v>
      </c>
      <c r="B1708" s="9" t="s">
        <v>9</v>
      </c>
      <c r="C1708" s="9">
        <v>1926</v>
      </c>
      <c r="D1708" s="10">
        <v>45722</v>
      </c>
      <c r="E1708" s="11" t="str">
        <f>+HYPERLINK("http://trademark.i-assist.jp/data/china/image_1926th/82362392.pdf","82362392")</f>
        <v>82362392</v>
      </c>
      <c r="F1708" s="12" t="s">
        <v>4735</v>
      </c>
      <c r="G1708" s="9" t="s">
        <v>4736</v>
      </c>
      <c r="H1708" s="9" t="s">
        <v>4737</v>
      </c>
      <c r="I1708" s="10">
        <v>45630</v>
      </c>
    </row>
    <row r="1709" spans="1:9" x14ac:dyDescent="0.15">
      <c r="A1709" s="9">
        <v>1708</v>
      </c>
      <c r="B1709" s="9" t="s">
        <v>9</v>
      </c>
      <c r="C1709" s="9">
        <v>1926</v>
      </c>
      <c r="D1709" s="10">
        <v>45722</v>
      </c>
      <c r="E1709" s="11" t="str">
        <f>+HYPERLINK("http://trademark.i-assist.jp/data/china/image_1926th/82362405.pdf","82362405")</f>
        <v>82362405</v>
      </c>
      <c r="F1709" s="12" t="s">
        <v>4735</v>
      </c>
      <c r="G1709" s="9" t="s">
        <v>4736</v>
      </c>
      <c r="H1709" s="12" t="s">
        <v>4738</v>
      </c>
      <c r="I1709" s="10">
        <v>45630</v>
      </c>
    </row>
    <row r="1710" spans="1:9" x14ac:dyDescent="0.15">
      <c r="A1710" s="9">
        <v>1709</v>
      </c>
      <c r="B1710" s="9" t="s">
        <v>9</v>
      </c>
      <c r="C1710" s="9">
        <v>1926</v>
      </c>
      <c r="D1710" s="10">
        <v>45722</v>
      </c>
      <c r="E1710" s="11" t="str">
        <f>+HYPERLINK("http://trademark.i-assist.jp/data/china/image_1926th/82362807.pdf","82362807")</f>
        <v>82362807</v>
      </c>
      <c r="F1710" s="9" t="s">
        <v>4739</v>
      </c>
      <c r="G1710" s="12" t="s">
        <v>4740</v>
      </c>
      <c r="H1710" s="9" t="s">
        <v>4741</v>
      </c>
      <c r="I1710" s="10">
        <v>45630</v>
      </c>
    </row>
    <row r="1711" spans="1:9" x14ac:dyDescent="0.15">
      <c r="A1711" s="9">
        <v>1710</v>
      </c>
      <c r="B1711" s="9" t="s">
        <v>9</v>
      </c>
      <c r="C1711" s="9">
        <v>1926</v>
      </c>
      <c r="D1711" s="10">
        <v>45722</v>
      </c>
      <c r="E1711" s="11" t="str">
        <f>+HYPERLINK("http://trademark.i-assist.jp/data/china/image_1926th/82363025.pdf","82363025")</f>
        <v>82363025</v>
      </c>
      <c r="F1711" s="9" t="s">
        <v>4742</v>
      </c>
      <c r="G1711" s="9" t="s">
        <v>4743</v>
      </c>
      <c r="H1711" s="9" t="s">
        <v>4744</v>
      </c>
      <c r="I1711" s="10">
        <v>45631</v>
      </c>
    </row>
    <row r="1712" spans="1:9" x14ac:dyDescent="0.15">
      <c r="A1712" s="9">
        <v>1711</v>
      </c>
      <c r="B1712" s="9" t="s">
        <v>9</v>
      </c>
      <c r="C1712" s="9">
        <v>1926</v>
      </c>
      <c r="D1712" s="10">
        <v>45722</v>
      </c>
      <c r="E1712" s="11" t="str">
        <f>+HYPERLINK("http://trademark.i-assist.jp/data/china/image_1926th/82363142.pdf","82363142")</f>
        <v>82363142</v>
      </c>
      <c r="F1712" s="9" t="s">
        <v>4745</v>
      </c>
      <c r="G1712" s="9" t="s">
        <v>183</v>
      </c>
      <c r="H1712" s="9" t="s">
        <v>4746</v>
      </c>
      <c r="I1712" s="10">
        <v>45631</v>
      </c>
    </row>
    <row r="1713" spans="1:9" x14ac:dyDescent="0.15">
      <c r="A1713" s="9">
        <v>1712</v>
      </c>
      <c r="B1713" s="9" t="s">
        <v>9</v>
      </c>
      <c r="C1713" s="9">
        <v>1926</v>
      </c>
      <c r="D1713" s="10">
        <v>45722</v>
      </c>
      <c r="E1713" s="11" t="str">
        <f>+HYPERLINK("http://trademark.i-assist.jp/data/china/image_1926th/82363263.pdf","82363263")</f>
        <v>82363263</v>
      </c>
      <c r="F1713" s="12" t="s">
        <v>4747</v>
      </c>
      <c r="G1713" s="12" t="s">
        <v>4748</v>
      </c>
      <c r="H1713" s="9" t="s">
        <v>4749</v>
      </c>
      <c r="I1713" s="10">
        <v>45631</v>
      </c>
    </row>
    <row r="1714" spans="1:9" x14ac:dyDescent="0.15">
      <c r="A1714" s="9">
        <v>1713</v>
      </c>
      <c r="B1714" s="9" t="s">
        <v>9</v>
      </c>
      <c r="C1714" s="9">
        <v>1926</v>
      </c>
      <c r="D1714" s="10">
        <v>45722</v>
      </c>
      <c r="E1714" s="11" t="str">
        <f>+HYPERLINK("http://trademark.i-assist.jp/data/china/image_1926th/82363336.pdf","82363336")</f>
        <v>82363336</v>
      </c>
      <c r="F1714" s="9" t="s">
        <v>4750</v>
      </c>
      <c r="G1714" s="9" t="s">
        <v>4751</v>
      </c>
      <c r="H1714" s="12" t="s">
        <v>4752</v>
      </c>
      <c r="I1714" s="10">
        <v>45631</v>
      </c>
    </row>
    <row r="1715" spans="1:9" x14ac:dyDescent="0.15">
      <c r="A1715" s="9">
        <v>1714</v>
      </c>
      <c r="B1715" s="9" t="s">
        <v>9</v>
      </c>
      <c r="C1715" s="9">
        <v>1926</v>
      </c>
      <c r="D1715" s="10">
        <v>45722</v>
      </c>
      <c r="E1715" s="11" t="str">
        <f>+HYPERLINK("http://trademark.i-assist.jp/data/china/image_1926th/82363564.pdf","82363564")</f>
        <v>82363564</v>
      </c>
      <c r="F1715" s="9" t="s">
        <v>4753</v>
      </c>
      <c r="G1715" s="12" t="s">
        <v>4754</v>
      </c>
      <c r="H1715" s="9" t="s">
        <v>4755</v>
      </c>
      <c r="I1715" s="10">
        <v>45631</v>
      </c>
    </row>
    <row r="1716" spans="1:9" x14ac:dyDescent="0.15">
      <c r="A1716" s="9">
        <v>1715</v>
      </c>
      <c r="B1716" s="9" t="s">
        <v>9</v>
      </c>
      <c r="C1716" s="9">
        <v>1926</v>
      </c>
      <c r="D1716" s="10">
        <v>45722</v>
      </c>
      <c r="E1716" s="11" t="str">
        <f>+HYPERLINK("http://trademark.i-assist.jp/data/china/image_1926th/82363578.pdf","82363578")</f>
        <v>82363578</v>
      </c>
      <c r="F1716" s="9" t="s">
        <v>4756</v>
      </c>
      <c r="G1716" s="9" t="s">
        <v>4757</v>
      </c>
      <c r="H1716" s="9" t="s">
        <v>4758</v>
      </c>
      <c r="I1716" s="10">
        <v>45631</v>
      </c>
    </row>
    <row r="1717" spans="1:9" x14ac:dyDescent="0.15">
      <c r="A1717" s="9">
        <v>1716</v>
      </c>
      <c r="B1717" s="9" t="s">
        <v>9</v>
      </c>
      <c r="C1717" s="9">
        <v>1926</v>
      </c>
      <c r="D1717" s="10">
        <v>45722</v>
      </c>
      <c r="E1717" s="11" t="str">
        <f>+HYPERLINK("http://trademark.i-assist.jp/data/china/image_1926th/82363738.pdf","82363738")</f>
        <v>82363738</v>
      </c>
      <c r="F1717" s="9" t="s">
        <v>4759</v>
      </c>
      <c r="G1717" s="9" t="s">
        <v>4760</v>
      </c>
      <c r="H1717" s="9" t="s">
        <v>4761</v>
      </c>
      <c r="I1717" s="10">
        <v>45631</v>
      </c>
    </row>
    <row r="1718" spans="1:9" x14ac:dyDescent="0.15">
      <c r="A1718" s="9">
        <v>1717</v>
      </c>
      <c r="B1718" s="9" t="s">
        <v>9</v>
      </c>
      <c r="C1718" s="9">
        <v>1926</v>
      </c>
      <c r="D1718" s="10">
        <v>45722</v>
      </c>
      <c r="E1718" s="11" t="str">
        <f>+HYPERLINK("http://trademark.i-assist.jp/data/china/image_1926th/82363900.pdf","82363900")</f>
        <v>82363900</v>
      </c>
      <c r="F1718" s="9" t="s">
        <v>4762</v>
      </c>
      <c r="G1718" s="9" t="s">
        <v>4763</v>
      </c>
      <c r="H1718" s="9" t="s">
        <v>4764</v>
      </c>
      <c r="I1718" s="10">
        <v>45631</v>
      </c>
    </row>
    <row r="1719" spans="1:9" x14ac:dyDescent="0.15">
      <c r="A1719" s="9">
        <v>1718</v>
      </c>
      <c r="B1719" s="9" t="s">
        <v>9</v>
      </c>
      <c r="C1719" s="9">
        <v>1926</v>
      </c>
      <c r="D1719" s="10">
        <v>45722</v>
      </c>
      <c r="E1719" s="11" t="str">
        <f>+HYPERLINK("http://trademark.i-assist.jp/data/china/image_1926th/82364151.pdf","82364151")</f>
        <v>82364151</v>
      </c>
      <c r="F1719" s="12" t="s">
        <v>4765</v>
      </c>
      <c r="G1719" s="9" t="s">
        <v>4766</v>
      </c>
      <c r="H1719" s="9" t="s">
        <v>4767</v>
      </c>
      <c r="I1719" s="10">
        <v>45631</v>
      </c>
    </row>
    <row r="1720" spans="1:9" x14ac:dyDescent="0.15">
      <c r="A1720" s="9">
        <v>1719</v>
      </c>
      <c r="B1720" s="9" t="s">
        <v>9</v>
      </c>
      <c r="C1720" s="9">
        <v>1926</v>
      </c>
      <c r="D1720" s="10">
        <v>45722</v>
      </c>
      <c r="E1720" s="11" t="str">
        <f>+HYPERLINK("http://trademark.i-assist.jp/data/china/image_1926th/82364347.pdf","82364347")</f>
        <v>82364347</v>
      </c>
      <c r="F1720" s="12" t="s">
        <v>4768</v>
      </c>
      <c r="G1720" s="12" t="s">
        <v>4769</v>
      </c>
      <c r="H1720" s="9" t="s">
        <v>4770</v>
      </c>
      <c r="I1720" s="10">
        <v>45631</v>
      </c>
    </row>
    <row r="1721" spans="1:9" x14ac:dyDescent="0.15">
      <c r="A1721" s="9">
        <v>1720</v>
      </c>
      <c r="B1721" s="9" t="s">
        <v>9</v>
      </c>
      <c r="C1721" s="9">
        <v>1926</v>
      </c>
      <c r="D1721" s="10">
        <v>45722</v>
      </c>
      <c r="E1721" s="11" t="str">
        <f>+HYPERLINK("http://trademark.i-assist.jp/data/china/image_1926th/82364458.pdf","82364458")</f>
        <v>82364458</v>
      </c>
      <c r="F1721" s="9" t="s">
        <v>4771</v>
      </c>
      <c r="G1721" s="9" t="s">
        <v>4772</v>
      </c>
      <c r="H1721" s="9" t="s">
        <v>4773</v>
      </c>
      <c r="I1721" s="10">
        <v>45631</v>
      </c>
    </row>
    <row r="1722" spans="1:9" x14ac:dyDescent="0.15">
      <c r="A1722" s="9">
        <v>1721</v>
      </c>
      <c r="B1722" s="9" t="s">
        <v>9</v>
      </c>
      <c r="C1722" s="9">
        <v>1926</v>
      </c>
      <c r="D1722" s="10">
        <v>45722</v>
      </c>
      <c r="E1722" s="11" t="str">
        <f>+HYPERLINK("http://trademark.i-assist.jp/data/china/image_1926th/82364704.pdf","82364704")</f>
        <v>82364704</v>
      </c>
      <c r="F1722" s="12" t="s">
        <v>4774</v>
      </c>
      <c r="G1722" s="12" t="s">
        <v>4774</v>
      </c>
      <c r="H1722" s="9" t="s">
        <v>4775</v>
      </c>
      <c r="I1722" s="10">
        <v>45631</v>
      </c>
    </row>
    <row r="1723" spans="1:9" x14ac:dyDescent="0.15">
      <c r="A1723" s="9">
        <v>1722</v>
      </c>
      <c r="B1723" s="9" t="s">
        <v>9</v>
      </c>
      <c r="C1723" s="9">
        <v>1926</v>
      </c>
      <c r="D1723" s="10">
        <v>45722</v>
      </c>
      <c r="E1723" s="11" t="str">
        <f>+HYPERLINK("http://trademark.i-assist.jp/data/china/image_1926th/82364882.pdf","82364882")</f>
        <v>82364882</v>
      </c>
      <c r="F1723" s="12" t="s">
        <v>4776</v>
      </c>
      <c r="G1723" s="12" t="s">
        <v>184</v>
      </c>
      <c r="H1723" s="9" t="s">
        <v>4777</v>
      </c>
      <c r="I1723" s="10">
        <v>45631</v>
      </c>
    </row>
    <row r="1724" spans="1:9" x14ac:dyDescent="0.15">
      <c r="A1724" s="9">
        <v>1723</v>
      </c>
      <c r="B1724" s="9" t="s">
        <v>9</v>
      </c>
      <c r="C1724" s="9">
        <v>1926</v>
      </c>
      <c r="D1724" s="10">
        <v>45722</v>
      </c>
      <c r="E1724" s="11" t="str">
        <f>+HYPERLINK("http://trademark.i-assist.jp/data/china/image_1926th/82365143.pdf","82365143")</f>
        <v>82365143</v>
      </c>
      <c r="F1724" s="9" t="s">
        <v>4778</v>
      </c>
      <c r="G1724" s="9" t="s">
        <v>4779</v>
      </c>
      <c r="H1724" s="9" t="s">
        <v>4780</v>
      </c>
      <c r="I1724" s="10">
        <v>45631</v>
      </c>
    </row>
    <row r="1725" spans="1:9" x14ac:dyDescent="0.15">
      <c r="A1725" s="9">
        <v>1724</v>
      </c>
      <c r="B1725" s="9" t="s">
        <v>9</v>
      </c>
      <c r="C1725" s="9">
        <v>1926</v>
      </c>
      <c r="D1725" s="10">
        <v>45722</v>
      </c>
      <c r="E1725" s="11" t="str">
        <f>+HYPERLINK("http://trademark.i-assist.jp/data/china/image_1926th/82365237.pdf","82365237")</f>
        <v>82365237</v>
      </c>
      <c r="F1725" s="9" t="s">
        <v>4781</v>
      </c>
      <c r="G1725" s="9" t="s">
        <v>4782</v>
      </c>
      <c r="H1725" s="9" t="s">
        <v>4783</v>
      </c>
      <c r="I1725" s="10">
        <v>45631</v>
      </c>
    </row>
    <row r="1726" spans="1:9" x14ac:dyDescent="0.15">
      <c r="A1726" s="9">
        <v>1725</v>
      </c>
      <c r="B1726" s="9" t="s">
        <v>9</v>
      </c>
      <c r="C1726" s="9">
        <v>1926</v>
      </c>
      <c r="D1726" s="10">
        <v>45722</v>
      </c>
      <c r="E1726" s="11" t="str">
        <f>+HYPERLINK("http://trademark.i-assist.jp/data/china/image_1926th/82365659.pdf","82365659")</f>
        <v>82365659</v>
      </c>
      <c r="F1726" s="9" t="s">
        <v>4784</v>
      </c>
      <c r="G1726" s="12" t="s">
        <v>4769</v>
      </c>
      <c r="H1726" s="9" t="s">
        <v>4785</v>
      </c>
      <c r="I1726" s="10">
        <v>45631</v>
      </c>
    </row>
    <row r="1727" spans="1:9" x14ac:dyDescent="0.15">
      <c r="A1727" s="9">
        <v>1726</v>
      </c>
      <c r="B1727" s="9" t="s">
        <v>9</v>
      </c>
      <c r="C1727" s="9">
        <v>1926</v>
      </c>
      <c r="D1727" s="10">
        <v>45722</v>
      </c>
      <c r="E1727" s="11" t="str">
        <f>+HYPERLINK("http://trademark.i-assist.jp/data/china/image_1926th/82366015.pdf","82366015")</f>
        <v>82366015</v>
      </c>
      <c r="F1727" s="9" t="s">
        <v>4786</v>
      </c>
      <c r="G1727" s="9" t="s">
        <v>4787</v>
      </c>
      <c r="H1727" s="9" t="s">
        <v>4788</v>
      </c>
      <c r="I1727" s="10">
        <v>45631</v>
      </c>
    </row>
    <row r="1728" spans="1:9" x14ac:dyDescent="0.15">
      <c r="A1728" s="9">
        <v>1727</v>
      </c>
      <c r="B1728" s="9" t="s">
        <v>9</v>
      </c>
      <c r="C1728" s="9">
        <v>1926</v>
      </c>
      <c r="D1728" s="10">
        <v>45722</v>
      </c>
      <c r="E1728" s="11" t="str">
        <f>+HYPERLINK("http://trademark.i-assist.jp/data/china/image_1926th/82366190.pdf","82366190")</f>
        <v>82366190</v>
      </c>
      <c r="F1728" s="9" t="s">
        <v>4789</v>
      </c>
      <c r="G1728" s="9" t="s">
        <v>4790</v>
      </c>
      <c r="H1728" s="9" t="s">
        <v>4791</v>
      </c>
      <c r="I1728" s="10">
        <v>45631</v>
      </c>
    </row>
    <row r="1729" spans="1:9" x14ac:dyDescent="0.15">
      <c r="A1729" s="9">
        <v>1728</v>
      </c>
      <c r="B1729" s="9" t="s">
        <v>9</v>
      </c>
      <c r="C1729" s="9">
        <v>1926</v>
      </c>
      <c r="D1729" s="10">
        <v>45722</v>
      </c>
      <c r="E1729" s="11" t="str">
        <f>+HYPERLINK("http://trademark.i-assist.jp/data/china/image_1926th/82366395.pdf","82366395")</f>
        <v>82366395</v>
      </c>
      <c r="F1729" s="9" t="s">
        <v>4792</v>
      </c>
      <c r="G1729" s="9" t="s">
        <v>4793</v>
      </c>
      <c r="H1729" s="9" t="s">
        <v>4794</v>
      </c>
      <c r="I1729" s="10">
        <v>45631</v>
      </c>
    </row>
    <row r="1730" spans="1:9" x14ac:dyDescent="0.15">
      <c r="A1730" s="9">
        <v>1729</v>
      </c>
      <c r="B1730" s="9" t="s">
        <v>9</v>
      </c>
      <c r="C1730" s="9">
        <v>1926</v>
      </c>
      <c r="D1730" s="10">
        <v>45722</v>
      </c>
      <c r="E1730" s="11" t="str">
        <f>+HYPERLINK("http://trademark.i-assist.jp/data/china/image_1926th/82366429.pdf","82366429")</f>
        <v>82366429</v>
      </c>
      <c r="F1730" s="9" t="s">
        <v>4795</v>
      </c>
      <c r="G1730" s="9" t="s">
        <v>4796</v>
      </c>
      <c r="H1730" s="9" t="s">
        <v>4797</v>
      </c>
      <c r="I1730" s="10">
        <v>45631</v>
      </c>
    </row>
    <row r="1731" spans="1:9" x14ac:dyDescent="0.15">
      <c r="A1731" s="9">
        <v>1730</v>
      </c>
      <c r="B1731" s="9" t="s">
        <v>9</v>
      </c>
      <c r="C1731" s="9">
        <v>1926</v>
      </c>
      <c r="D1731" s="10">
        <v>45722</v>
      </c>
      <c r="E1731" s="11" t="str">
        <f>+HYPERLINK("http://trademark.i-assist.jp/data/china/image_1926th/82366541.pdf","82366541")</f>
        <v>82366541</v>
      </c>
      <c r="F1731" s="9" t="s">
        <v>4798</v>
      </c>
      <c r="G1731" s="12" t="s">
        <v>4799</v>
      </c>
      <c r="H1731" s="9" t="s">
        <v>4800</v>
      </c>
      <c r="I1731" s="10">
        <v>45631</v>
      </c>
    </row>
    <row r="1732" spans="1:9" x14ac:dyDescent="0.15">
      <c r="A1732" s="9">
        <v>1731</v>
      </c>
      <c r="B1732" s="9" t="s">
        <v>9</v>
      </c>
      <c r="C1732" s="9">
        <v>1926</v>
      </c>
      <c r="D1732" s="10">
        <v>45722</v>
      </c>
      <c r="E1732" s="11" t="str">
        <f>+HYPERLINK("http://trademark.i-assist.jp/data/china/image_1926th/82366579.pdf","82366579")</f>
        <v>82366579</v>
      </c>
      <c r="F1732" s="9" t="s">
        <v>4801</v>
      </c>
      <c r="G1732" s="9" t="s">
        <v>4802</v>
      </c>
      <c r="H1732" s="9" t="s">
        <v>4803</v>
      </c>
      <c r="I1732" s="10">
        <v>45631</v>
      </c>
    </row>
    <row r="1733" spans="1:9" x14ac:dyDescent="0.15">
      <c r="A1733" s="9">
        <v>1732</v>
      </c>
      <c r="B1733" s="9" t="s">
        <v>9</v>
      </c>
      <c r="C1733" s="9">
        <v>1926</v>
      </c>
      <c r="D1733" s="10">
        <v>45722</v>
      </c>
      <c r="E1733" s="11" t="str">
        <f>+HYPERLINK("http://trademark.i-assist.jp/data/china/image_1926th/82366653.pdf","82366653")</f>
        <v>82366653</v>
      </c>
      <c r="F1733" s="12" t="s">
        <v>4804</v>
      </c>
      <c r="G1733" s="9" t="s">
        <v>4805</v>
      </c>
      <c r="H1733" s="9" t="s">
        <v>4806</v>
      </c>
      <c r="I1733" s="10">
        <v>45631</v>
      </c>
    </row>
    <row r="1734" spans="1:9" x14ac:dyDescent="0.15">
      <c r="A1734" s="9">
        <v>1733</v>
      </c>
      <c r="B1734" s="9" t="s">
        <v>9</v>
      </c>
      <c r="C1734" s="9">
        <v>1926</v>
      </c>
      <c r="D1734" s="10">
        <v>45722</v>
      </c>
      <c r="E1734" s="11" t="str">
        <f>+HYPERLINK("http://trademark.i-assist.jp/data/china/image_1926th/82366742.pdf","82366742")</f>
        <v>82366742</v>
      </c>
      <c r="F1734" s="9" t="s">
        <v>4807</v>
      </c>
      <c r="G1734" s="12" t="s">
        <v>143</v>
      </c>
      <c r="H1734" s="9" t="s">
        <v>4808</v>
      </c>
      <c r="I1734" s="10">
        <v>45631</v>
      </c>
    </row>
    <row r="1735" spans="1:9" x14ac:dyDescent="0.15">
      <c r="A1735" s="9">
        <v>1734</v>
      </c>
      <c r="B1735" s="9" t="s">
        <v>9</v>
      </c>
      <c r="C1735" s="9">
        <v>1926</v>
      </c>
      <c r="D1735" s="10">
        <v>45722</v>
      </c>
      <c r="E1735" s="11" t="str">
        <f>+HYPERLINK("http://trademark.i-assist.jp/data/china/image_1926th/82366911.pdf","82366911")</f>
        <v>82366911</v>
      </c>
      <c r="F1735" s="12" t="s">
        <v>4809</v>
      </c>
      <c r="G1735" s="9" t="s">
        <v>4810</v>
      </c>
      <c r="H1735" s="9" t="s">
        <v>4811</v>
      </c>
      <c r="I1735" s="10">
        <v>45631</v>
      </c>
    </row>
    <row r="1736" spans="1:9" x14ac:dyDescent="0.15">
      <c r="A1736" s="9">
        <v>1735</v>
      </c>
      <c r="B1736" s="9" t="s">
        <v>9</v>
      </c>
      <c r="C1736" s="9">
        <v>1926</v>
      </c>
      <c r="D1736" s="10">
        <v>45722</v>
      </c>
      <c r="E1736" s="11" t="str">
        <f>+HYPERLINK("http://trademark.i-assist.jp/data/china/image_1926th/82367258.pdf","82367258")</f>
        <v>82367258</v>
      </c>
      <c r="F1736" s="9" t="s">
        <v>4812</v>
      </c>
      <c r="G1736" s="9" t="s">
        <v>4813</v>
      </c>
      <c r="H1736" s="9" t="s">
        <v>4814</v>
      </c>
      <c r="I1736" s="10">
        <v>45631</v>
      </c>
    </row>
    <row r="1737" spans="1:9" x14ac:dyDescent="0.15">
      <c r="A1737" s="9">
        <v>1736</v>
      </c>
      <c r="B1737" s="9" t="s">
        <v>9</v>
      </c>
      <c r="C1737" s="9">
        <v>1926</v>
      </c>
      <c r="D1737" s="10">
        <v>45722</v>
      </c>
      <c r="E1737" s="11" t="str">
        <f>+HYPERLINK("http://trademark.i-assist.jp/data/china/image_1926th/82367606.pdf","82367606")</f>
        <v>82367606</v>
      </c>
      <c r="F1737" s="9" t="s">
        <v>4815</v>
      </c>
      <c r="G1737" s="12" t="s">
        <v>4816</v>
      </c>
      <c r="H1737" s="9" t="s">
        <v>4817</v>
      </c>
      <c r="I1737" s="10">
        <v>45631</v>
      </c>
    </row>
    <row r="1738" spans="1:9" x14ac:dyDescent="0.15">
      <c r="A1738" s="9">
        <v>1737</v>
      </c>
      <c r="B1738" s="9" t="s">
        <v>9</v>
      </c>
      <c r="C1738" s="9">
        <v>1926</v>
      </c>
      <c r="D1738" s="10">
        <v>45722</v>
      </c>
      <c r="E1738" s="11" t="str">
        <f>+HYPERLINK("http://trademark.i-assist.jp/data/china/image_1926th/82367654.pdf","82367654")</f>
        <v>82367654</v>
      </c>
      <c r="F1738" s="9" t="s">
        <v>4818</v>
      </c>
      <c r="G1738" s="9" t="s">
        <v>4819</v>
      </c>
      <c r="H1738" s="9" t="s">
        <v>4820</v>
      </c>
      <c r="I1738" s="10">
        <v>45631</v>
      </c>
    </row>
    <row r="1739" spans="1:9" x14ac:dyDescent="0.15">
      <c r="A1739" s="9">
        <v>1738</v>
      </c>
      <c r="B1739" s="9" t="s">
        <v>9</v>
      </c>
      <c r="C1739" s="9">
        <v>1926</v>
      </c>
      <c r="D1739" s="10">
        <v>45722</v>
      </c>
      <c r="E1739" s="11" t="str">
        <f>+HYPERLINK("http://trademark.i-assist.jp/data/china/image_1926th/82367691.pdf","82367691")</f>
        <v>82367691</v>
      </c>
      <c r="F1739" s="9" t="s">
        <v>4821</v>
      </c>
      <c r="G1739" s="12" t="s">
        <v>111</v>
      </c>
      <c r="H1739" s="9" t="s">
        <v>4822</v>
      </c>
      <c r="I1739" s="10">
        <v>45631</v>
      </c>
    </row>
    <row r="1740" spans="1:9" x14ac:dyDescent="0.15">
      <c r="A1740" s="9">
        <v>1739</v>
      </c>
      <c r="B1740" s="9" t="s">
        <v>9</v>
      </c>
      <c r="C1740" s="9">
        <v>1926</v>
      </c>
      <c r="D1740" s="10">
        <v>45722</v>
      </c>
      <c r="E1740" s="11" t="str">
        <f>+HYPERLINK("http://trademark.i-assist.jp/data/china/image_1926th/82367988.pdf","82367988")</f>
        <v>82367988</v>
      </c>
      <c r="F1740" s="9" t="s">
        <v>4823</v>
      </c>
      <c r="G1740" s="9" t="s">
        <v>4763</v>
      </c>
      <c r="H1740" s="9" t="s">
        <v>4824</v>
      </c>
      <c r="I1740" s="10">
        <v>45631</v>
      </c>
    </row>
    <row r="1741" spans="1:9" x14ac:dyDescent="0.15">
      <c r="A1741" s="9">
        <v>1740</v>
      </c>
      <c r="B1741" s="9" t="s">
        <v>9</v>
      </c>
      <c r="C1741" s="9">
        <v>1926</v>
      </c>
      <c r="D1741" s="10">
        <v>45722</v>
      </c>
      <c r="E1741" s="11" t="str">
        <f>+HYPERLINK("http://trademark.i-assist.jp/data/china/image_1926th/82368019.pdf","82368019")</f>
        <v>82368019</v>
      </c>
      <c r="F1741" s="12" t="s">
        <v>4825</v>
      </c>
      <c r="G1741" s="12" t="s">
        <v>4826</v>
      </c>
      <c r="H1741" s="12" t="s">
        <v>4827</v>
      </c>
      <c r="I1741" s="10">
        <v>45631</v>
      </c>
    </row>
    <row r="1742" spans="1:9" x14ac:dyDescent="0.15">
      <c r="A1742" s="9">
        <v>1741</v>
      </c>
      <c r="B1742" s="9" t="s">
        <v>9</v>
      </c>
      <c r="C1742" s="9">
        <v>1926</v>
      </c>
      <c r="D1742" s="10">
        <v>45722</v>
      </c>
      <c r="E1742" s="11" t="str">
        <f>+HYPERLINK("http://trademark.i-assist.jp/data/china/image_1926th/82368158.pdf","82368158")</f>
        <v>82368158</v>
      </c>
      <c r="F1742" s="9" t="s">
        <v>4828</v>
      </c>
      <c r="G1742" s="12" t="s">
        <v>4769</v>
      </c>
      <c r="H1742" s="9" t="s">
        <v>4829</v>
      </c>
      <c r="I1742" s="10">
        <v>45631</v>
      </c>
    </row>
    <row r="1743" spans="1:9" x14ac:dyDescent="0.15">
      <c r="A1743" s="9">
        <v>1742</v>
      </c>
      <c r="B1743" s="9" t="s">
        <v>9</v>
      </c>
      <c r="C1743" s="9">
        <v>1926</v>
      </c>
      <c r="D1743" s="10">
        <v>45722</v>
      </c>
      <c r="E1743" s="11" t="str">
        <f>+HYPERLINK("http://trademark.i-assist.jp/data/china/image_1926th/82368191.pdf","82368191")</f>
        <v>82368191</v>
      </c>
      <c r="F1743" s="9" t="s">
        <v>4830</v>
      </c>
      <c r="G1743" s="12" t="s">
        <v>4769</v>
      </c>
      <c r="H1743" s="9" t="s">
        <v>4831</v>
      </c>
      <c r="I1743" s="10">
        <v>45631</v>
      </c>
    </row>
    <row r="1744" spans="1:9" x14ac:dyDescent="0.15">
      <c r="A1744" s="9">
        <v>1743</v>
      </c>
      <c r="B1744" s="9" t="s">
        <v>9</v>
      </c>
      <c r="C1744" s="9">
        <v>1926</v>
      </c>
      <c r="D1744" s="10">
        <v>45722</v>
      </c>
      <c r="E1744" s="11" t="str">
        <f>+HYPERLINK("http://trademark.i-assist.jp/data/china/image_1926th/82368198.pdf","82368198")</f>
        <v>82368198</v>
      </c>
      <c r="F1744" s="12" t="s">
        <v>4832</v>
      </c>
      <c r="G1744" s="9" t="s">
        <v>4833</v>
      </c>
      <c r="H1744" s="9" t="s">
        <v>4834</v>
      </c>
      <c r="I1744" s="10">
        <v>45631</v>
      </c>
    </row>
    <row r="1745" spans="1:9" x14ac:dyDescent="0.15">
      <c r="A1745" s="9">
        <v>1744</v>
      </c>
      <c r="B1745" s="9" t="s">
        <v>9</v>
      </c>
      <c r="C1745" s="9">
        <v>1926</v>
      </c>
      <c r="D1745" s="10">
        <v>45722</v>
      </c>
      <c r="E1745" s="11" t="str">
        <f>+HYPERLINK("http://trademark.i-assist.jp/data/china/image_1926th/82368212.pdf","82368212")</f>
        <v>82368212</v>
      </c>
      <c r="F1745" s="12" t="s">
        <v>4835</v>
      </c>
      <c r="G1745" s="12" t="s">
        <v>4769</v>
      </c>
      <c r="H1745" s="9" t="s">
        <v>4836</v>
      </c>
      <c r="I1745" s="10">
        <v>45631</v>
      </c>
    </row>
    <row r="1746" spans="1:9" x14ac:dyDescent="0.15">
      <c r="A1746" s="9">
        <v>1745</v>
      </c>
      <c r="B1746" s="9" t="s">
        <v>9</v>
      </c>
      <c r="C1746" s="9">
        <v>1926</v>
      </c>
      <c r="D1746" s="10">
        <v>45722</v>
      </c>
      <c r="E1746" s="11" t="str">
        <f>+HYPERLINK("http://trademark.i-assist.jp/data/china/image_1926th/82368261.pdf","82368261")</f>
        <v>82368261</v>
      </c>
      <c r="F1746" s="9" t="s">
        <v>4837</v>
      </c>
      <c r="G1746" s="12" t="s">
        <v>4838</v>
      </c>
      <c r="H1746" s="9" t="s">
        <v>4839</v>
      </c>
      <c r="I1746" s="10">
        <v>45631</v>
      </c>
    </row>
    <row r="1747" spans="1:9" x14ac:dyDescent="0.15">
      <c r="A1747" s="9">
        <v>1746</v>
      </c>
      <c r="B1747" s="9" t="s">
        <v>9</v>
      </c>
      <c r="C1747" s="9">
        <v>1926</v>
      </c>
      <c r="D1747" s="10">
        <v>45722</v>
      </c>
      <c r="E1747" s="11" t="str">
        <f>+HYPERLINK("http://trademark.i-assist.jp/data/china/image_1926th/82368302.pdf","82368302")</f>
        <v>82368302</v>
      </c>
      <c r="F1747" s="9" t="s">
        <v>4840</v>
      </c>
      <c r="G1747" s="9" t="s">
        <v>128</v>
      </c>
      <c r="H1747" s="12" t="s">
        <v>4841</v>
      </c>
      <c r="I1747" s="10">
        <v>45631</v>
      </c>
    </row>
    <row r="1748" spans="1:9" x14ac:dyDescent="0.15">
      <c r="A1748" s="9">
        <v>1747</v>
      </c>
      <c r="B1748" s="9" t="s">
        <v>9</v>
      </c>
      <c r="C1748" s="9">
        <v>1926</v>
      </c>
      <c r="D1748" s="10">
        <v>45722</v>
      </c>
      <c r="E1748" s="11" t="str">
        <f>+HYPERLINK("http://trademark.i-assist.jp/data/china/image_1926th/82368382.pdf","82368382")</f>
        <v>82368382</v>
      </c>
      <c r="F1748" s="9" t="s">
        <v>4842</v>
      </c>
      <c r="G1748" s="9" t="s">
        <v>4843</v>
      </c>
      <c r="H1748" s="9" t="s">
        <v>4844</v>
      </c>
      <c r="I1748" s="10">
        <v>45631</v>
      </c>
    </row>
    <row r="1749" spans="1:9" x14ac:dyDescent="0.15">
      <c r="A1749" s="9">
        <v>1748</v>
      </c>
      <c r="B1749" s="9" t="s">
        <v>9</v>
      </c>
      <c r="C1749" s="9">
        <v>1926</v>
      </c>
      <c r="D1749" s="10">
        <v>45722</v>
      </c>
      <c r="E1749" s="11" t="str">
        <f>+HYPERLINK("http://trademark.i-assist.jp/data/china/image_1926th/82368502.pdf","82368502")</f>
        <v>82368502</v>
      </c>
      <c r="F1749" s="9" t="s">
        <v>4845</v>
      </c>
      <c r="G1749" s="9" t="s">
        <v>4846</v>
      </c>
      <c r="H1749" s="9" t="s">
        <v>4847</v>
      </c>
      <c r="I1749" s="10">
        <v>45631</v>
      </c>
    </row>
    <row r="1750" spans="1:9" x14ac:dyDescent="0.15">
      <c r="A1750" s="9">
        <v>1749</v>
      </c>
      <c r="B1750" s="9" t="s">
        <v>9</v>
      </c>
      <c r="C1750" s="9">
        <v>1926</v>
      </c>
      <c r="D1750" s="10">
        <v>45722</v>
      </c>
      <c r="E1750" s="11" t="str">
        <f>+HYPERLINK("http://trademark.i-assist.jp/data/china/image_1926th/82368747.pdf","82368747")</f>
        <v>82368747</v>
      </c>
      <c r="F1750" s="9" t="s">
        <v>4848</v>
      </c>
      <c r="G1750" s="9" t="s">
        <v>4751</v>
      </c>
      <c r="H1750" s="9" t="s">
        <v>4849</v>
      </c>
      <c r="I1750" s="10">
        <v>45631</v>
      </c>
    </row>
    <row r="1751" spans="1:9" x14ac:dyDescent="0.15">
      <c r="A1751" s="9">
        <v>1750</v>
      </c>
      <c r="B1751" s="9" t="s">
        <v>9</v>
      </c>
      <c r="C1751" s="9">
        <v>1926</v>
      </c>
      <c r="D1751" s="10">
        <v>45722</v>
      </c>
      <c r="E1751" s="11" t="str">
        <f>+HYPERLINK("http://trademark.i-assist.jp/data/china/image_1926th/82368784.pdf","82368784")</f>
        <v>82368784</v>
      </c>
      <c r="F1751" s="9" t="s">
        <v>4850</v>
      </c>
      <c r="G1751" s="12" t="s">
        <v>4851</v>
      </c>
      <c r="H1751" s="12" t="s">
        <v>4852</v>
      </c>
      <c r="I1751" s="10">
        <v>45631</v>
      </c>
    </row>
    <row r="1752" spans="1:9" x14ac:dyDescent="0.15">
      <c r="A1752" s="9">
        <v>1751</v>
      </c>
      <c r="B1752" s="9" t="s">
        <v>9</v>
      </c>
      <c r="C1752" s="9">
        <v>1926</v>
      </c>
      <c r="D1752" s="10">
        <v>45722</v>
      </c>
      <c r="E1752" s="11" t="str">
        <f>+HYPERLINK("http://trademark.i-assist.jp/data/china/image_1926th/82369052.pdf","82369052")</f>
        <v>82369052</v>
      </c>
      <c r="F1752" s="9" t="s">
        <v>4853</v>
      </c>
      <c r="G1752" s="9" t="s">
        <v>975</v>
      </c>
      <c r="H1752" s="9" t="s">
        <v>4854</v>
      </c>
      <c r="I1752" s="10">
        <v>45631</v>
      </c>
    </row>
    <row r="1753" spans="1:9" x14ac:dyDescent="0.15">
      <c r="A1753" s="9">
        <v>1752</v>
      </c>
      <c r="B1753" s="9" t="s">
        <v>9</v>
      </c>
      <c r="C1753" s="9">
        <v>1926</v>
      </c>
      <c r="D1753" s="10">
        <v>45722</v>
      </c>
      <c r="E1753" s="11" t="str">
        <f>+HYPERLINK("http://trademark.i-assist.jp/data/china/image_1926th/82369083.pdf","82369083")</f>
        <v>82369083</v>
      </c>
      <c r="F1753" s="9" t="s">
        <v>4855</v>
      </c>
      <c r="G1753" s="12" t="s">
        <v>4856</v>
      </c>
      <c r="H1753" s="9" t="s">
        <v>4857</v>
      </c>
      <c r="I1753" s="10">
        <v>45631</v>
      </c>
    </row>
    <row r="1754" spans="1:9" x14ac:dyDescent="0.15">
      <c r="A1754" s="9">
        <v>1753</v>
      </c>
      <c r="B1754" s="9" t="s">
        <v>9</v>
      </c>
      <c r="C1754" s="9">
        <v>1926</v>
      </c>
      <c r="D1754" s="10">
        <v>45722</v>
      </c>
      <c r="E1754" s="11" t="str">
        <f>+HYPERLINK("http://trademark.i-assist.jp/data/china/image_1926th/82369236.pdf","82369236")</f>
        <v>82369236</v>
      </c>
      <c r="F1754" s="9" t="s">
        <v>4858</v>
      </c>
      <c r="G1754" s="9" t="s">
        <v>4859</v>
      </c>
      <c r="H1754" s="9" t="s">
        <v>4860</v>
      </c>
      <c r="I1754" s="10">
        <v>45631</v>
      </c>
    </row>
    <row r="1755" spans="1:9" x14ac:dyDescent="0.15">
      <c r="A1755" s="9">
        <v>1754</v>
      </c>
      <c r="B1755" s="9" t="s">
        <v>9</v>
      </c>
      <c r="C1755" s="9">
        <v>1926</v>
      </c>
      <c r="D1755" s="10">
        <v>45722</v>
      </c>
      <c r="E1755" s="11" t="str">
        <f>+HYPERLINK("http://trademark.i-assist.jp/data/china/image_1926th/82369282.pdf","82369282")</f>
        <v>82369282</v>
      </c>
      <c r="F1755" s="9" t="s">
        <v>4861</v>
      </c>
      <c r="G1755" s="9" t="s">
        <v>4862</v>
      </c>
      <c r="H1755" s="9" t="s">
        <v>4863</v>
      </c>
      <c r="I1755" s="10">
        <v>45631</v>
      </c>
    </row>
    <row r="1756" spans="1:9" x14ac:dyDescent="0.15">
      <c r="A1756" s="9">
        <v>1755</v>
      </c>
      <c r="B1756" s="9" t="s">
        <v>9</v>
      </c>
      <c r="C1756" s="9">
        <v>1926</v>
      </c>
      <c r="D1756" s="10">
        <v>45722</v>
      </c>
      <c r="E1756" s="11" t="str">
        <f>+HYPERLINK("http://trademark.i-assist.jp/data/china/image_1926th/82369390.pdf","82369390")</f>
        <v>82369390</v>
      </c>
      <c r="F1756" s="9" t="s">
        <v>4864</v>
      </c>
      <c r="G1756" s="9" t="s">
        <v>114</v>
      </c>
      <c r="H1756" s="9" t="s">
        <v>4865</v>
      </c>
      <c r="I1756" s="10">
        <v>45631</v>
      </c>
    </row>
    <row r="1757" spans="1:9" x14ac:dyDescent="0.15">
      <c r="A1757" s="9">
        <v>1756</v>
      </c>
      <c r="B1757" s="9" t="s">
        <v>9</v>
      </c>
      <c r="C1757" s="9">
        <v>1926</v>
      </c>
      <c r="D1757" s="10">
        <v>45722</v>
      </c>
      <c r="E1757" s="11" t="str">
        <f>+HYPERLINK("http://trademark.i-assist.jp/data/china/image_1926th/82369508.pdf","82369508")</f>
        <v>82369508</v>
      </c>
      <c r="F1757" s="12" t="s">
        <v>20</v>
      </c>
      <c r="G1757" s="9" t="s">
        <v>4866</v>
      </c>
      <c r="H1757" s="12" t="s">
        <v>4867</v>
      </c>
      <c r="I1757" s="10">
        <v>45631</v>
      </c>
    </row>
    <row r="1758" spans="1:9" x14ac:dyDescent="0.15">
      <c r="A1758" s="9">
        <v>1757</v>
      </c>
      <c r="B1758" s="9" t="s">
        <v>9</v>
      </c>
      <c r="C1758" s="9">
        <v>1926</v>
      </c>
      <c r="D1758" s="10">
        <v>45722</v>
      </c>
      <c r="E1758" s="11" t="str">
        <f>+HYPERLINK("http://trademark.i-assist.jp/data/china/image_1926th/82369549.pdf","82369549")</f>
        <v>82369549</v>
      </c>
      <c r="F1758" s="9" t="s">
        <v>4868</v>
      </c>
      <c r="G1758" s="9" t="s">
        <v>4869</v>
      </c>
      <c r="H1758" s="9" t="s">
        <v>4870</v>
      </c>
      <c r="I1758" s="10">
        <v>45631</v>
      </c>
    </row>
    <row r="1759" spans="1:9" x14ac:dyDescent="0.15">
      <c r="A1759" s="9">
        <v>1758</v>
      </c>
      <c r="B1759" s="9" t="s">
        <v>9</v>
      </c>
      <c r="C1759" s="9">
        <v>1926</v>
      </c>
      <c r="D1759" s="10">
        <v>45722</v>
      </c>
      <c r="E1759" s="11" t="str">
        <f>+HYPERLINK("http://trademark.i-assist.jp/data/china/image_1926th/82369810.pdf","82369810")</f>
        <v>82369810</v>
      </c>
      <c r="F1759" s="9" t="s">
        <v>4871</v>
      </c>
      <c r="G1759" s="9" t="s">
        <v>4872</v>
      </c>
      <c r="H1759" s="9" t="s">
        <v>4873</v>
      </c>
      <c r="I1759" s="10">
        <v>45631</v>
      </c>
    </row>
    <row r="1760" spans="1:9" x14ac:dyDescent="0.15">
      <c r="A1760" s="9">
        <v>1759</v>
      </c>
      <c r="B1760" s="9" t="s">
        <v>9</v>
      </c>
      <c r="C1760" s="9">
        <v>1926</v>
      </c>
      <c r="D1760" s="10">
        <v>45722</v>
      </c>
      <c r="E1760" s="11" t="str">
        <f>+HYPERLINK("http://trademark.i-assist.jp/data/china/image_1926th/82370019.pdf","82370019")</f>
        <v>82370019</v>
      </c>
      <c r="F1760" s="12" t="s">
        <v>4874</v>
      </c>
      <c r="G1760" s="9" t="s">
        <v>4875</v>
      </c>
      <c r="H1760" s="9" t="s">
        <v>4876</v>
      </c>
      <c r="I1760" s="10">
        <v>45631</v>
      </c>
    </row>
    <row r="1761" spans="1:9" x14ac:dyDescent="0.15">
      <c r="A1761" s="9">
        <v>1760</v>
      </c>
      <c r="B1761" s="9" t="s">
        <v>9</v>
      </c>
      <c r="C1761" s="9">
        <v>1926</v>
      </c>
      <c r="D1761" s="10">
        <v>45722</v>
      </c>
      <c r="E1761" s="11" t="str">
        <f>+HYPERLINK("http://trademark.i-assist.jp/data/china/image_1926th/82370224.pdf","82370224")</f>
        <v>82370224</v>
      </c>
      <c r="F1761" s="12" t="s">
        <v>4877</v>
      </c>
      <c r="G1761" s="12" t="s">
        <v>184</v>
      </c>
      <c r="H1761" s="12" t="s">
        <v>4878</v>
      </c>
      <c r="I1761" s="10">
        <v>45631</v>
      </c>
    </row>
    <row r="1762" spans="1:9" x14ac:dyDescent="0.15">
      <c r="A1762" s="9">
        <v>1761</v>
      </c>
      <c r="B1762" s="9" t="s">
        <v>9</v>
      </c>
      <c r="C1762" s="9">
        <v>1926</v>
      </c>
      <c r="D1762" s="10">
        <v>45722</v>
      </c>
      <c r="E1762" s="11" t="str">
        <f>+HYPERLINK("http://trademark.i-assist.jp/data/china/image_1926th/82370397.pdf","82370397")</f>
        <v>82370397</v>
      </c>
      <c r="F1762" s="9" t="s">
        <v>4879</v>
      </c>
      <c r="G1762" s="9" t="s">
        <v>4880</v>
      </c>
      <c r="H1762" s="9" t="s">
        <v>4881</v>
      </c>
      <c r="I1762" s="10">
        <v>45631</v>
      </c>
    </row>
    <row r="1763" spans="1:9" x14ac:dyDescent="0.15">
      <c r="A1763" s="9">
        <v>1762</v>
      </c>
      <c r="B1763" s="9" t="s">
        <v>9</v>
      </c>
      <c r="C1763" s="9">
        <v>1926</v>
      </c>
      <c r="D1763" s="10">
        <v>45722</v>
      </c>
      <c r="E1763" s="11" t="str">
        <f>+HYPERLINK("http://trademark.i-assist.jp/data/china/image_1926th/82370559.pdf","82370559")</f>
        <v>82370559</v>
      </c>
      <c r="F1763" s="9" t="s">
        <v>4882</v>
      </c>
      <c r="G1763" s="9" t="s">
        <v>4883</v>
      </c>
      <c r="H1763" s="9" t="s">
        <v>4884</v>
      </c>
      <c r="I1763" s="10">
        <v>45631</v>
      </c>
    </row>
    <row r="1764" spans="1:9" x14ac:dyDescent="0.15">
      <c r="A1764" s="9">
        <v>1763</v>
      </c>
      <c r="B1764" s="9" t="s">
        <v>9</v>
      </c>
      <c r="C1764" s="9">
        <v>1926</v>
      </c>
      <c r="D1764" s="10">
        <v>45722</v>
      </c>
      <c r="E1764" s="11" t="str">
        <f>+HYPERLINK("http://trademark.i-assist.jp/data/china/image_1926th/82370791.pdf","82370791")</f>
        <v>82370791</v>
      </c>
      <c r="F1764" s="12" t="s">
        <v>4885</v>
      </c>
      <c r="G1764" s="12" t="s">
        <v>4754</v>
      </c>
      <c r="H1764" s="9" t="s">
        <v>4886</v>
      </c>
      <c r="I1764" s="10">
        <v>45631</v>
      </c>
    </row>
    <row r="1765" spans="1:9" x14ac:dyDescent="0.15">
      <c r="A1765" s="9">
        <v>1764</v>
      </c>
      <c r="B1765" s="9" t="s">
        <v>9</v>
      </c>
      <c r="C1765" s="9">
        <v>1926</v>
      </c>
      <c r="D1765" s="10">
        <v>45722</v>
      </c>
      <c r="E1765" s="11" t="str">
        <f>+HYPERLINK("http://trademark.i-assist.jp/data/china/image_1926th/82370813.pdf","82370813")</f>
        <v>82370813</v>
      </c>
      <c r="F1765" s="9" t="s">
        <v>4887</v>
      </c>
      <c r="G1765" s="12" t="s">
        <v>4754</v>
      </c>
      <c r="H1765" s="9" t="s">
        <v>4888</v>
      </c>
      <c r="I1765" s="10">
        <v>45631</v>
      </c>
    </row>
    <row r="1766" spans="1:9" x14ac:dyDescent="0.15">
      <c r="A1766" s="9">
        <v>1765</v>
      </c>
      <c r="B1766" s="9" t="s">
        <v>9</v>
      </c>
      <c r="C1766" s="9">
        <v>1926</v>
      </c>
      <c r="D1766" s="10">
        <v>45722</v>
      </c>
      <c r="E1766" s="11" t="str">
        <f>+HYPERLINK("http://trademark.i-assist.jp/data/china/image_1926th/82371450.pdf","82371450")</f>
        <v>82371450</v>
      </c>
      <c r="F1766" s="12" t="s">
        <v>20</v>
      </c>
      <c r="G1766" s="9" t="s">
        <v>4889</v>
      </c>
      <c r="H1766" s="9" t="s">
        <v>4890</v>
      </c>
      <c r="I1766" s="10">
        <v>45631</v>
      </c>
    </row>
    <row r="1767" spans="1:9" x14ac:dyDescent="0.15">
      <c r="A1767" s="9">
        <v>1766</v>
      </c>
      <c r="B1767" s="9" t="s">
        <v>9</v>
      </c>
      <c r="C1767" s="9">
        <v>1926</v>
      </c>
      <c r="D1767" s="10">
        <v>45722</v>
      </c>
      <c r="E1767" s="11" t="str">
        <f>+HYPERLINK("http://trademark.i-assist.jp/data/china/image_1926th/82371679.pdf","82371679")</f>
        <v>82371679</v>
      </c>
      <c r="F1767" s="9" t="s">
        <v>4891</v>
      </c>
      <c r="G1767" s="9" t="s">
        <v>4892</v>
      </c>
      <c r="H1767" s="12" t="s">
        <v>4893</v>
      </c>
      <c r="I1767" s="10">
        <v>45631</v>
      </c>
    </row>
    <row r="1768" spans="1:9" x14ac:dyDescent="0.15">
      <c r="A1768" s="9">
        <v>1767</v>
      </c>
      <c r="B1768" s="9" t="s">
        <v>9</v>
      </c>
      <c r="C1768" s="9">
        <v>1926</v>
      </c>
      <c r="D1768" s="10">
        <v>45722</v>
      </c>
      <c r="E1768" s="11" t="str">
        <f>+HYPERLINK("http://trademark.i-assist.jp/data/china/image_1926th/82371767.pdf","82371767")</f>
        <v>82371767</v>
      </c>
      <c r="F1768" s="9" t="s">
        <v>4894</v>
      </c>
      <c r="G1768" s="12" t="s">
        <v>4769</v>
      </c>
      <c r="H1768" s="9" t="s">
        <v>4895</v>
      </c>
      <c r="I1768" s="10">
        <v>45631</v>
      </c>
    </row>
    <row r="1769" spans="1:9" x14ac:dyDescent="0.15">
      <c r="A1769" s="9">
        <v>1768</v>
      </c>
      <c r="B1769" s="9" t="s">
        <v>9</v>
      </c>
      <c r="C1769" s="9">
        <v>1926</v>
      </c>
      <c r="D1769" s="10">
        <v>45722</v>
      </c>
      <c r="E1769" s="11" t="str">
        <f>+HYPERLINK("http://trademark.i-assist.jp/data/china/image_1926th/82371817.pdf","82371817")</f>
        <v>82371817</v>
      </c>
      <c r="F1769" s="9" t="s">
        <v>4896</v>
      </c>
      <c r="G1769" s="9" t="s">
        <v>46</v>
      </c>
      <c r="H1769" s="9" t="s">
        <v>4897</v>
      </c>
      <c r="I1769" s="10">
        <v>45631</v>
      </c>
    </row>
    <row r="1770" spans="1:9" x14ac:dyDescent="0.15">
      <c r="A1770" s="9">
        <v>1769</v>
      </c>
      <c r="B1770" s="9" t="s">
        <v>9</v>
      </c>
      <c r="C1770" s="9">
        <v>1926</v>
      </c>
      <c r="D1770" s="10">
        <v>45722</v>
      </c>
      <c r="E1770" s="11" t="str">
        <f>+HYPERLINK("http://trademark.i-assist.jp/data/china/image_1926th/82371975.pdf","82371975")</f>
        <v>82371975</v>
      </c>
      <c r="F1770" s="9" t="s">
        <v>4898</v>
      </c>
      <c r="G1770" s="12" t="s">
        <v>4899</v>
      </c>
      <c r="H1770" s="9" t="s">
        <v>4900</v>
      </c>
      <c r="I1770" s="10">
        <v>45631</v>
      </c>
    </row>
    <row r="1771" spans="1:9" x14ac:dyDescent="0.15">
      <c r="A1771" s="9">
        <v>1770</v>
      </c>
      <c r="B1771" s="9" t="s">
        <v>9</v>
      </c>
      <c r="C1771" s="9">
        <v>1926</v>
      </c>
      <c r="D1771" s="10">
        <v>45722</v>
      </c>
      <c r="E1771" s="11" t="str">
        <f>+HYPERLINK("http://trademark.i-assist.jp/data/china/image_1926th/82372019.pdf","82372019")</f>
        <v>82372019</v>
      </c>
      <c r="F1771" s="9" t="s">
        <v>4901</v>
      </c>
      <c r="G1771" s="12" t="s">
        <v>4769</v>
      </c>
      <c r="H1771" s="9" t="s">
        <v>4902</v>
      </c>
      <c r="I1771" s="10">
        <v>45631</v>
      </c>
    </row>
    <row r="1772" spans="1:9" x14ac:dyDescent="0.15">
      <c r="A1772" s="9">
        <v>1771</v>
      </c>
      <c r="B1772" s="9" t="s">
        <v>9</v>
      </c>
      <c r="C1772" s="9">
        <v>1926</v>
      </c>
      <c r="D1772" s="10">
        <v>45722</v>
      </c>
      <c r="E1772" s="11" t="str">
        <f>+HYPERLINK("http://trademark.i-assist.jp/data/china/image_1926th/82372033.pdf","82372033")</f>
        <v>82372033</v>
      </c>
      <c r="F1772" s="9" t="s">
        <v>4903</v>
      </c>
      <c r="G1772" s="9" t="s">
        <v>4904</v>
      </c>
      <c r="H1772" s="9" t="s">
        <v>4905</v>
      </c>
      <c r="I1772" s="10">
        <v>45631</v>
      </c>
    </row>
    <row r="1773" spans="1:9" x14ac:dyDescent="0.15">
      <c r="A1773" s="9">
        <v>1772</v>
      </c>
      <c r="B1773" s="9" t="s">
        <v>9</v>
      </c>
      <c r="C1773" s="9">
        <v>1926</v>
      </c>
      <c r="D1773" s="10">
        <v>45722</v>
      </c>
      <c r="E1773" s="11" t="str">
        <f>+HYPERLINK("http://trademark.i-assist.jp/data/china/image_1926th/82372036.pdf","82372036")</f>
        <v>82372036</v>
      </c>
      <c r="F1773" s="12" t="s">
        <v>4906</v>
      </c>
      <c r="G1773" s="12" t="s">
        <v>4769</v>
      </c>
      <c r="H1773" s="12" t="s">
        <v>4907</v>
      </c>
      <c r="I1773" s="10">
        <v>45631</v>
      </c>
    </row>
    <row r="1774" spans="1:9" x14ac:dyDescent="0.15">
      <c r="A1774" s="9">
        <v>1773</v>
      </c>
      <c r="B1774" s="9" t="s">
        <v>9</v>
      </c>
      <c r="C1774" s="9">
        <v>1926</v>
      </c>
      <c r="D1774" s="10">
        <v>45722</v>
      </c>
      <c r="E1774" s="11" t="str">
        <f>+HYPERLINK("http://trademark.i-assist.jp/data/china/image_1926th/82372046.pdf","82372046")</f>
        <v>82372046</v>
      </c>
      <c r="F1774" s="9" t="s">
        <v>4908</v>
      </c>
      <c r="G1774" s="12" t="s">
        <v>4769</v>
      </c>
      <c r="H1774" s="9" t="s">
        <v>4909</v>
      </c>
      <c r="I1774" s="10">
        <v>45631</v>
      </c>
    </row>
    <row r="1775" spans="1:9" x14ac:dyDescent="0.15">
      <c r="A1775" s="9">
        <v>1774</v>
      </c>
      <c r="B1775" s="9" t="s">
        <v>9</v>
      </c>
      <c r="C1775" s="9">
        <v>1926</v>
      </c>
      <c r="D1775" s="10">
        <v>45722</v>
      </c>
      <c r="E1775" s="11" t="str">
        <f>+HYPERLINK("http://trademark.i-assist.jp/data/china/image_1926th/82372052.pdf","82372052")</f>
        <v>82372052</v>
      </c>
      <c r="F1775" s="9" t="s">
        <v>4910</v>
      </c>
      <c r="G1775" s="9" t="s">
        <v>46</v>
      </c>
      <c r="H1775" s="9" t="s">
        <v>4911</v>
      </c>
      <c r="I1775" s="10">
        <v>45631</v>
      </c>
    </row>
    <row r="1776" spans="1:9" x14ac:dyDescent="0.15">
      <c r="A1776" s="9">
        <v>1775</v>
      </c>
      <c r="B1776" s="9" t="s">
        <v>9</v>
      </c>
      <c r="C1776" s="9">
        <v>1926</v>
      </c>
      <c r="D1776" s="10">
        <v>45722</v>
      </c>
      <c r="E1776" s="11" t="str">
        <f>+HYPERLINK("http://trademark.i-assist.jp/data/china/image_1926th/82372271.pdf","82372271")</f>
        <v>82372271</v>
      </c>
      <c r="F1776" s="9" t="s">
        <v>4912</v>
      </c>
      <c r="G1776" s="9" t="s">
        <v>4787</v>
      </c>
      <c r="H1776" s="9" t="s">
        <v>4913</v>
      </c>
      <c r="I1776" s="10">
        <v>45631</v>
      </c>
    </row>
    <row r="1777" spans="1:9" x14ac:dyDescent="0.15">
      <c r="A1777" s="9">
        <v>1776</v>
      </c>
      <c r="B1777" s="9" t="s">
        <v>9</v>
      </c>
      <c r="C1777" s="9">
        <v>1926</v>
      </c>
      <c r="D1777" s="10">
        <v>45722</v>
      </c>
      <c r="E1777" s="11" t="str">
        <f>+HYPERLINK("http://trademark.i-assist.jp/data/china/image_1926th/82372310.pdf","82372310")</f>
        <v>82372310</v>
      </c>
      <c r="F1777" s="9" t="s">
        <v>4914</v>
      </c>
      <c r="G1777" s="9" t="s">
        <v>4915</v>
      </c>
      <c r="H1777" s="9" t="s">
        <v>4916</v>
      </c>
      <c r="I1777" s="10">
        <v>45631</v>
      </c>
    </row>
    <row r="1778" spans="1:9" x14ac:dyDescent="0.15">
      <c r="A1778" s="9">
        <v>1777</v>
      </c>
      <c r="B1778" s="9" t="s">
        <v>9</v>
      </c>
      <c r="C1778" s="9">
        <v>1926</v>
      </c>
      <c r="D1778" s="10">
        <v>45722</v>
      </c>
      <c r="E1778" s="11" t="str">
        <f>+HYPERLINK("http://trademark.i-assist.jp/data/china/image_1926th/82372391.pdf","82372391")</f>
        <v>82372391</v>
      </c>
      <c r="F1778" s="9" t="s">
        <v>4917</v>
      </c>
      <c r="G1778" s="9" t="s">
        <v>4918</v>
      </c>
      <c r="H1778" s="9" t="s">
        <v>4919</v>
      </c>
      <c r="I1778" s="10">
        <v>45631</v>
      </c>
    </row>
    <row r="1779" spans="1:9" x14ac:dyDescent="0.15">
      <c r="A1779" s="9">
        <v>1778</v>
      </c>
      <c r="B1779" s="9" t="s">
        <v>9</v>
      </c>
      <c r="C1779" s="9">
        <v>1926</v>
      </c>
      <c r="D1779" s="10">
        <v>45722</v>
      </c>
      <c r="E1779" s="11" t="str">
        <f>+HYPERLINK("http://trademark.i-assist.jp/data/china/image_1926th/82372536.pdf","82372536")</f>
        <v>82372536</v>
      </c>
      <c r="F1779" s="12" t="s">
        <v>4920</v>
      </c>
      <c r="G1779" s="9" t="s">
        <v>4921</v>
      </c>
      <c r="H1779" s="9" t="s">
        <v>4922</v>
      </c>
      <c r="I1779" s="10">
        <v>45631</v>
      </c>
    </row>
    <row r="1780" spans="1:9" x14ac:dyDescent="0.15">
      <c r="A1780" s="9">
        <v>1779</v>
      </c>
      <c r="B1780" s="9" t="s">
        <v>9</v>
      </c>
      <c r="C1780" s="9">
        <v>1926</v>
      </c>
      <c r="D1780" s="10">
        <v>45722</v>
      </c>
      <c r="E1780" s="11" t="str">
        <f>+HYPERLINK("http://trademark.i-assist.jp/data/china/image_1926th/82373038.pdf","82373038")</f>
        <v>82373038</v>
      </c>
      <c r="F1780" s="12" t="s">
        <v>4923</v>
      </c>
      <c r="G1780" s="9" t="s">
        <v>4924</v>
      </c>
      <c r="H1780" s="9" t="s">
        <v>4925</v>
      </c>
      <c r="I1780" s="10">
        <v>45631</v>
      </c>
    </row>
    <row r="1781" spans="1:9" x14ac:dyDescent="0.15">
      <c r="A1781" s="9">
        <v>1780</v>
      </c>
      <c r="B1781" s="9" t="s">
        <v>9</v>
      </c>
      <c r="C1781" s="9">
        <v>1926</v>
      </c>
      <c r="D1781" s="10">
        <v>45722</v>
      </c>
      <c r="E1781" s="11" t="str">
        <f>+HYPERLINK("http://trademark.i-assist.jp/data/china/image_1926th/82373947.pdf","82373947")</f>
        <v>82373947</v>
      </c>
      <c r="F1781" s="12" t="s">
        <v>4926</v>
      </c>
      <c r="G1781" s="9" t="s">
        <v>4927</v>
      </c>
      <c r="H1781" s="9" t="s">
        <v>4928</v>
      </c>
      <c r="I1781" s="10">
        <v>45631</v>
      </c>
    </row>
    <row r="1782" spans="1:9" x14ac:dyDescent="0.15">
      <c r="A1782" s="9">
        <v>1781</v>
      </c>
      <c r="B1782" s="9" t="s">
        <v>9</v>
      </c>
      <c r="C1782" s="9">
        <v>1926</v>
      </c>
      <c r="D1782" s="10">
        <v>45722</v>
      </c>
      <c r="E1782" s="11" t="str">
        <f>+HYPERLINK("http://trademark.i-assist.jp/data/china/image_1926th/82374017.pdf","82374017")</f>
        <v>82374017</v>
      </c>
      <c r="F1782" s="9" t="s">
        <v>4929</v>
      </c>
      <c r="G1782" s="12" t="s">
        <v>4930</v>
      </c>
      <c r="H1782" s="9" t="s">
        <v>4931</v>
      </c>
      <c r="I1782" s="10">
        <v>45631</v>
      </c>
    </row>
    <row r="1783" spans="1:9" x14ac:dyDescent="0.15">
      <c r="A1783" s="9">
        <v>1782</v>
      </c>
      <c r="B1783" s="9" t="s">
        <v>9</v>
      </c>
      <c r="C1783" s="9">
        <v>1926</v>
      </c>
      <c r="D1783" s="10">
        <v>45722</v>
      </c>
      <c r="E1783" s="11" t="str">
        <f>+HYPERLINK("http://trademark.i-assist.jp/data/china/image_1926th/82374114.pdf","82374114")</f>
        <v>82374114</v>
      </c>
      <c r="F1783" s="9" t="s">
        <v>4932</v>
      </c>
      <c r="G1783" s="12" t="s">
        <v>4933</v>
      </c>
      <c r="H1783" s="9" t="s">
        <v>4934</v>
      </c>
      <c r="I1783" s="10">
        <v>45631</v>
      </c>
    </row>
    <row r="1784" spans="1:9" x14ac:dyDescent="0.15">
      <c r="A1784" s="9">
        <v>1783</v>
      </c>
      <c r="B1784" s="9" t="s">
        <v>9</v>
      </c>
      <c r="C1784" s="9">
        <v>1926</v>
      </c>
      <c r="D1784" s="10">
        <v>45722</v>
      </c>
      <c r="E1784" s="11" t="str">
        <f>+HYPERLINK("http://trademark.i-assist.jp/data/china/image_1926th/82374522.pdf","82374522")</f>
        <v>82374522</v>
      </c>
      <c r="F1784" s="9" t="s">
        <v>4935</v>
      </c>
      <c r="G1784" s="9" t="s">
        <v>4763</v>
      </c>
      <c r="H1784" s="9" t="s">
        <v>4936</v>
      </c>
      <c r="I1784" s="10">
        <v>45631</v>
      </c>
    </row>
    <row r="1785" spans="1:9" x14ac:dyDescent="0.15">
      <c r="A1785" s="9">
        <v>1784</v>
      </c>
      <c r="B1785" s="9" t="s">
        <v>9</v>
      </c>
      <c r="C1785" s="9">
        <v>1926</v>
      </c>
      <c r="D1785" s="10">
        <v>45722</v>
      </c>
      <c r="E1785" s="11" t="str">
        <f>+HYPERLINK("http://trademark.i-assist.jp/data/china/image_1926th/82374535.pdf","82374535")</f>
        <v>82374535</v>
      </c>
      <c r="F1785" s="12" t="s">
        <v>4937</v>
      </c>
      <c r="G1785" s="12" t="s">
        <v>4769</v>
      </c>
      <c r="H1785" s="9" t="s">
        <v>4938</v>
      </c>
      <c r="I1785" s="10">
        <v>45631</v>
      </c>
    </row>
    <row r="1786" spans="1:9" x14ac:dyDescent="0.15">
      <c r="A1786" s="9">
        <v>1785</v>
      </c>
      <c r="B1786" s="9" t="s">
        <v>9</v>
      </c>
      <c r="C1786" s="9">
        <v>1926</v>
      </c>
      <c r="D1786" s="10">
        <v>45722</v>
      </c>
      <c r="E1786" s="11" t="str">
        <f>+HYPERLINK("http://trademark.i-assist.jp/data/china/image_1926th/82374555.pdf","82374555")</f>
        <v>82374555</v>
      </c>
      <c r="F1786" s="12" t="s">
        <v>4939</v>
      </c>
      <c r="G1786" s="9" t="s">
        <v>46</v>
      </c>
      <c r="H1786" s="9" t="s">
        <v>4940</v>
      </c>
      <c r="I1786" s="10">
        <v>45631</v>
      </c>
    </row>
    <row r="1787" spans="1:9" x14ac:dyDescent="0.15">
      <c r="A1787" s="9">
        <v>1786</v>
      </c>
      <c r="B1787" s="9" t="s">
        <v>9</v>
      </c>
      <c r="C1787" s="9">
        <v>1926</v>
      </c>
      <c r="D1787" s="10">
        <v>45722</v>
      </c>
      <c r="E1787" s="11" t="str">
        <f>+HYPERLINK("http://trademark.i-assist.jp/data/china/image_1926th/82374571.pdf","82374571")</f>
        <v>82374571</v>
      </c>
      <c r="F1787" s="9" t="s">
        <v>4941</v>
      </c>
      <c r="G1787" s="12" t="s">
        <v>4942</v>
      </c>
      <c r="H1787" s="9" t="s">
        <v>4943</v>
      </c>
      <c r="I1787" s="10">
        <v>45631</v>
      </c>
    </row>
    <row r="1788" spans="1:9" x14ac:dyDescent="0.15">
      <c r="A1788" s="9">
        <v>1787</v>
      </c>
      <c r="B1788" s="9" t="s">
        <v>9</v>
      </c>
      <c r="C1788" s="9">
        <v>1926</v>
      </c>
      <c r="D1788" s="10">
        <v>45722</v>
      </c>
      <c r="E1788" s="11" t="str">
        <f>+HYPERLINK("http://trademark.i-assist.jp/data/china/image_1926th/82374691.pdf","82374691")</f>
        <v>82374691</v>
      </c>
      <c r="F1788" s="9" t="s">
        <v>4944</v>
      </c>
      <c r="G1788" s="12" t="s">
        <v>4945</v>
      </c>
      <c r="H1788" s="9" t="s">
        <v>4946</v>
      </c>
      <c r="I1788" s="10">
        <v>45631</v>
      </c>
    </row>
    <row r="1789" spans="1:9" x14ac:dyDescent="0.15">
      <c r="A1789" s="9">
        <v>1788</v>
      </c>
      <c r="B1789" s="9" t="s">
        <v>9</v>
      </c>
      <c r="C1789" s="9">
        <v>1926</v>
      </c>
      <c r="D1789" s="10">
        <v>45722</v>
      </c>
      <c r="E1789" s="11" t="str">
        <f>+HYPERLINK("http://trademark.i-assist.jp/data/china/image_1926th/82375156.pdf","82375156")</f>
        <v>82375156</v>
      </c>
      <c r="F1789" s="9" t="s">
        <v>4947</v>
      </c>
      <c r="G1789" s="12" t="s">
        <v>4769</v>
      </c>
      <c r="H1789" s="9" t="s">
        <v>4948</v>
      </c>
      <c r="I1789" s="10">
        <v>45631</v>
      </c>
    </row>
    <row r="1790" spans="1:9" x14ac:dyDescent="0.15">
      <c r="A1790" s="9">
        <v>1789</v>
      </c>
      <c r="B1790" s="9" t="s">
        <v>9</v>
      </c>
      <c r="C1790" s="9">
        <v>1926</v>
      </c>
      <c r="D1790" s="10">
        <v>45722</v>
      </c>
      <c r="E1790" s="11" t="str">
        <f>+HYPERLINK("http://trademark.i-assist.jp/data/china/image_1926th/82375473.pdf","82375473")</f>
        <v>82375473</v>
      </c>
      <c r="F1790" s="9" t="s">
        <v>4949</v>
      </c>
      <c r="G1790" s="9" t="s">
        <v>46</v>
      </c>
      <c r="H1790" s="9" t="s">
        <v>4950</v>
      </c>
      <c r="I1790" s="10">
        <v>45631</v>
      </c>
    </row>
    <row r="1791" spans="1:9" x14ac:dyDescent="0.15">
      <c r="A1791" s="9">
        <v>1790</v>
      </c>
      <c r="B1791" s="9" t="s">
        <v>9</v>
      </c>
      <c r="C1791" s="9">
        <v>1926</v>
      </c>
      <c r="D1791" s="10">
        <v>45722</v>
      </c>
      <c r="E1791" s="11" t="str">
        <f>+HYPERLINK("http://trademark.i-assist.jp/data/china/image_1926th/82375484.pdf","82375484")</f>
        <v>82375484</v>
      </c>
      <c r="F1791" s="12" t="s">
        <v>4951</v>
      </c>
      <c r="G1791" s="9" t="s">
        <v>46</v>
      </c>
      <c r="H1791" s="9" t="s">
        <v>4952</v>
      </c>
      <c r="I1791" s="10">
        <v>45631</v>
      </c>
    </row>
    <row r="1792" spans="1:9" x14ac:dyDescent="0.15">
      <c r="A1792" s="9">
        <v>1791</v>
      </c>
      <c r="B1792" s="9" t="s">
        <v>9</v>
      </c>
      <c r="C1792" s="9">
        <v>1926</v>
      </c>
      <c r="D1792" s="10">
        <v>45722</v>
      </c>
      <c r="E1792" s="11" t="str">
        <f>+HYPERLINK("http://trademark.i-assist.jp/data/china/image_1926th/82375837.pdf","82375837")</f>
        <v>82375837</v>
      </c>
      <c r="F1792" s="9" t="s">
        <v>4953</v>
      </c>
      <c r="G1792" s="9" t="s">
        <v>4813</v>
      </c>
      <c r="H1792" s="9" t="s">
        <v>4954</v>
      </c>
      <c r="I1792" s="10">
        <v>45631</v>
      </c>
    </row>
    <row r="1793" spans="1:9" x14ac:dyDescent="0.15">
      <c r="A1793" s="9">
        <v>1792</v>
      </c>
      <c r="B1793" s="9" t="s">
        <v>9</v>
      </c>
      <c r="C1793" s="9">
        <v>1926</v>
      </c>
      <c r="D1793" s="10">
        <v>45722</v>
      </c>
      <c r="E1793" s="11" t="str">
        <f>+HYPERLINK("http://trademark.i-assist.jp/data/china/image_1926th/82376464.pdf","82376464")</f>
        <v>82376464</v>
      </c>
      <c r="F1793" s="12" t="s">
        <v>4955</v>
      </c>
      <c r="G1793" s="9" t="s">
        <v>4956</v>
      </c>
      <c r="H1793" s="9" t="s">
        <v>4957</v>
      </c>
      <c r="I1793" s="10">
        <v>45631</v>
      </c>
    </row>
    <row r="1794" spans="1:9" x14ac:dyDescent="0.15">
      <c r="A1794" s="9">
        <v>1793</v>
      </c>
      <c r="B1794" s="9" t="s">
        <v>9</v>
      </c>
      <c r="C1794" s="9">
        <v>1926</v>
      </c>
      <c r="D1794" s="10">
        <v>45722</v>
      </c>
      <c r="E1794" s="11" t="str">
        <f>+HYPERLINK("http://trademark.i-assist.jp/data/china/image_1926th/82376838.pdf","82376838")</f>
        <v>82376838</v>
      </c>
      <c r="F1794" s="9" t="s">
        <v>4958</v>
      </c>
      <c r="G1794" s="9" t="s">
        <v>4959</v>
      </c>
      <c r="H1794" s="9" t="s">
        <v>4960</v>
      </c>
      <c r="I1794" s="10">
        <v>45631</v>
      </c>
    </row>
    <row r="1795" spans="1:9" x14ac:dyDescent="0.15">
      <c r="A1795" s="9">
        <v>1794</v>
      </c>
      <c r="B1795" s="9" t="s">
        <v>9</v>
      </c>
      <c r="C1795" s="9">
        <v>1926</v>
      </c>
      <c r="D1795" s="10">
        <v>45722</v>
      </c>
      <c r="E1795" s="11" t="str">
        <f>+HYPERLINK("http://trademark.i-assist.jp/data/china/image_1926th/82377037.pdf","82377037")</f>
        <v>82377037</v>
      </c>
      <c r="F1795" s="9" t="s">
        <v>4961</v>
      </c>
      <c r="G1795" s="9" t="s">
        <v>4962</v>
      </c>
      <c r="H1795" s="9" t="s">
        <v>4963</v>
      </c>
      <c r="I1795" s="10">
        <v>45631</v>
      </c>
    </row>
    <row r="1796" spans="1:9" x14ac:dyDescent="0.15">
      <c r="A1796" s="9">
        <v>1795</v>
      </c>
      <c r="B1796" s="9" t="s">
        <v>9</v>
      </c>
      <c r="C1796" s="9">
        <v>1926</v>
      </c>
      <c r="D1796" s="10">
        <v>45722</v>
      </c>
      <c r="E1796" s="11" t="str">
        <f>+HYPERLINK("http://trademark.i-assist.jp/data/china/image_1926th/82377387.pdf","82377387")</f>
        <v>82377387</v>
      </c>
      <c r="F1796" s="9" t="s">
        <v>4964</v>
      </c>
      <c r="G1796" s="9" t="s">
        <v>4965</v>
      </c>
      <c r="H1796" s="9" t="s">
        <v>4966</v>
      </c>
      <c r="I1796" s="10">
        <v>45631</v>
      </c>
    </row>
    <row r="1797" spans="1:9" x14ac:dyDescent="0.15">
      <c r="A1797" s="9">
        <v>1796</v>
      </c>
      <c r="B1797" s="9" t="s">
        <v>9</v>
      </c>
      <c r="C1797" s="9">
        <v>1926</v>
      </c>
      <c r="D1797" s="10">
        <v>45722</v>
      </c>
      <c r="E1797" s="11" t="str">
        <f>+HYPERLINK("http://trademark.i-assist.jp/data/china/image_1926th/82377404.pdf","82377404")</f>
        <v>82377404</v>
      </c>
      <c r="F1797" s="12" t="s">
        <v>4967</v>
      </c>
      <c r="G1797" s="9" t="s">
        <v>4763</v>
      </c>
      <c r="H1797" s="9" t="s">
        <v>4968</v>
      </c>
      <c r="I1797" s="10">
        <v>45631</v>
      </c>
    </row>
    <row r="1798" spans="1:9" x14ac:dyDescent="0.15">
      <c r="A1798" s="9">
        <v>1797</v>
      </c>
      <c r="B1798" s="9" t="s">
        <v>9</v>
      </c>
      <c r="C1798" s="9">
        <v>1926</v>
      </c>
      <c r="D1798" s="10">
        <v>45722</v>
      </c>
      <c r="E1798" s="11" t="str">
        <f>+HYPERLINK("http://trademark.i-assist.jp/data/china/image_1926th/82377509.pdf","82377509")</f>
        <v>82377509</v>
      </c>
      <c r="F1798" s="9" t="s">
        <v>4969</v>
      </c>
      <c r="G1798" s="9" t="s">
        <v>4970</v>
      </c>
      <c r="H1798" s="9" t="s">
        <v>4971</v>
      </c>
      <c r="I1798" s="10">
        <v>45631</v>
      </c>
    </row>
    <row r="1799" spans="1:9" x14ac:dyDescent="0.15">
      <c r="A1799" s="9">
        <v>1798</v>
      </c>
      <c r="B1799" s="9" t="s">
        <v>9</v>
      </c>
      <c r="C1799" s="9">
        <v>1926</v>
      </c>
      <c r="D1799" s="10">
        <v>45722</v>
      </c>
      <c r="E1799" s="11" t="str">
        <f>+HYPERLINK("http://trademark.i-assist.jp/data/china/image_1926th/82377665.pdf","82377665")</f>
        <v>82377665</v>
      </c>
      <c r="F1799" s="9" t="s">
        <v>4972</v>
      </c>
      <c r="G1799" s="9" t="s">
        <v>4973</v>
      </c>
      <c r="H1799" s="9" t="s">
        <v>4974</v>
      </c>
      <c r="I1799" s="10">
        <v>45631</v>
      </c>
    </row>
    <row r="1800" spans="1:9" x14ac:dyDescent="0.15">
      <c r="A1800" s="9">
        <v>1799</v>
      </c>
      <c r="B1800" s="9" t="s">
        <v>9</v>
      </c>
      <c r="C1800" s="9">
        <v>1926</v>
      </c>
      <c r="D1800" s="10">
        <v>45722</v>
      </c>
      <c r="E1800" s="11" t="str">
        <f>+HYPERLINK("http://trademark.i-assist.jp/data/china/image_1926th/82377777.pdf","82377777")</f>
        <v>82377777</v>
      </c>
      <c r="F1800" s="9" t="s">
        <v>4975</v>
      </c>
      <c r="G1800" s="12" t="s">
        <v>4769</v>
      </c>
      <c r="H1800" s="9" t="s">
        <v>4976</v>
      </c>
      <c r="I1800" s="10">
        <v>45631</v>
      </c>
    </row>
    <row r="1801" spans="1:9" x14ac:dyDescent="0.15">
      <c r="A1801" s="9">
        <v>1800</v>
      </c>
      <c r="B1801" s="9" t="s">
        <v>9</v>
      </c>
      <c r="C1801" s="9">
        <v>1926</v>
      </c>
      <c r="D1801" s="10">
        <v>45722</v>
      </c>
      <c r="E1801" s="11" t="str">
        <f>+HYPERLINK("http://trademark.i-assist.jp/data/china/image_1926th/82377910.pdf","82377910")</f>
        <v>82377910</v>
      </c>
      <c r="F1801" s="9" t="s">
        <v>4977</v>
      </c>
      <c r="G1801" s="12" t="s">
        <v>4978</v>
      </c>
      <c r="H1801" s="9" t="s">
        <v>4979</v>
      </c>
      <c r="I1801" s="10">
        <v>45631</v>
      </c>
    </row>
    <row r="1802" spans="1:9" x14ac:dyDescent="0.15">
      <c r="A1802" s="9">
        <v>1801</v>
      </c>
      <c r="B1802" s="9" t="s">
        <v>9</v>
      </c>
      <c r="C1802" s="9">
        <v>1926</v>
      </c>
      <c r="D1802" s="10">
        <v>45722</v>
      </c>
      <c r="E1802" s="11" t="str">
        <f>+HYPERLINK("http://trademark.i-assist.jp/data/china/image_1926th/82378268.pdf","82378268")</f>
        <v>82378268</v>
      </c>
      <c r="F1802" s="9" t="s">
        <v>4980</v>
      </c>
      <c r="G1802" s="9" t="s">
        <v>166</v>
      </c>
      <c r="H1802" s="9" t="s">
        <v>4981</v>
      </c>
      <c r="I1802" s="10">
        <v>45631</v>
      </c>
    </row>
    <row r="1803" spans="1:9" x14ac:dyDescent="0.15">
      <c r="A1803" s="9">
        <v>1802</v>
      </c>
      <c r="B1803" s="9" t="s">
        <v>9</v>
      </c>
      <c r="C1803" s="9">
        <v>1926</v>
      </c>
      <c r="D1803" s="10">
        <v>45722</v>
      </c>
      <c r="E1803" s="11" t="str">
        <f>+HYPERLINK("http://trademark.i-assist.jp/data/china/image_1926th/82378397.pdf","82378397")</f>
        <v>82378397</v>
      </c>
      <c r="F1803" s="9" t="s">
        <v>4982</v>
      </c>
      <c r="G1803" s="9" t="s">
        <v>4983</v>
      </c>
      <c r="H1803" s="9" t="s">
        <v>4984</v>
      </c>
      <c r="I1803" s="10">
        <v>45631</v>
      </c>
    </row>
    <row r="1804" spans="1:9" x14ac:dyDescent="0.15">
      <c r="A1804" s="9">
        <v>1803</v>
      </c>
      <c r="B1804" s="9" t="s">
        <v>9</v>
      </c>
      <c r="C1804" s="9">
        <v>1926</v>
      </c>
      <c r="D1804" s="10">
        <v>45722</v>
      </c>
      <c r="E1804" s="11" t="str">
        <f>+HYPERLINK("http://trademark.i-assist.jp/data/china/image_1926th/82378543.pdf","82378543")</f>
        <v>82378543</v>
      </c>
      <c r="F1804" s="9" t="s">
        <v>4985</v>
      </c>
      <c r="G1804" s="12" t="s">
        <v>4986</v>
      </c>
      <c r="H1804" s="12" t="s">
        <v>4987</v>
      </c>
      <c r="I1804" s="10">
        <v>45631</v>
      </c>
    </row>
    <row r="1805" spans="1:9" x14ac:dyDescent="0.15">
      <c r="A1805" s="9">
        <v>1804</v>
      </c>
      <c r="B1805" s="9" t="s">
        <v>9</v>
      </c>
      <c r="C1805" s="9">
        <v>1926</v>
      </c>
      <c r="D1805" s="10">
        <v>45722</v>
      </c>
      <c r="E1805" s="11" t="str">
        <f>+HYPERLINK("http://trademark.i-assist.jp/data/china/image_1926th/82378664.pdf","82378664")</f>
        <v>82378664</v>
      </c>
      <c r="F1805" s="9" t="s">
        <v>4988</v>
      </c>
      <c r="G1805" s="12" t="s">
        <v>4856</v>
      </c>
      <c r="H1805" s="9" t="s">
        <v>4989</v>
      </c>
      <c r="I1805" s="10">
        <v>45631</v>
      </c>
    </row>
    <row r="1806" spans="1:9" x14ac:dyDescent="0.15">
      <c r="A1806" s="9">
        <v>1805</v>
      </c>
      <c r="B1806" s="9" t="s">
        <v>9</v>
      </c>
      <c r="C1806" s="9">
        <v>1926</v>
      </c>
      <c r="D1806" s="10">
        <v>45722</v>
      </c>
      <c r="E1806" s="11" t="str">
        <f>+HYPERLINK("http://trademark.i-assist.jp/data/china/image_1926th/82379323.pdf","82379323")</f>
        <v>82379323</v>
      </c>
      <c r="F1806" s="12" t="s">
        <v>4990</v>
      </c>
      <c r="G1806" s="12" t="s">
        <v>4769</v>
      </c>
      <c r="H1806" s="9" t="s">
        <v>4991</v>
      </c>
      <c r="I1806" s="10">
        <v>45631</v>
      </c>
    </row>
    <row r="1807" spans="1:9" x14ac:dyDescent="0.15">
      <c r="A1807" s="9">
        <v>1806</v>
      </c>
      <c r="B1807" s="9" t="s">
        <v>9</v>
      </c>
      <c r="C1807" s="9">
        <v>1926</v>
      </c>
      <c r="D1807" s="10">
        <v>45722</v>
      </c>
      <c r="E1807" s="11" t="str">
        <f>+HYPERLINK("http://trademark.i-assist.jp/data/china/image_1926th/82379611.pdf","82379611")</f>
        <v>82379611</v>
      </c>
      <c r="F1807" s="9" t="s">
        <v>4992</v>
      </c>
      <c r="G1807" s="9" t="s">
        <v>4993</v>
      </c>
      <c r="H1807" s="9" t="s">
        <v>4994</v>
      </c>
      <c r="I1807" s="10">
        <v>45631</v>
      </c>
    </row>
    <row r="1808" spans="1:9" x14ac:dyDescent="0.15">
      <c r="A1808" s="9">
        <v>1807</v>
      </c>
      <c r="B1808" s="9" t="s">
        <v>9</v>
      </c>
      <c r="C1808" s="9">
        <v>1926</v>
      </c>
      <c r="D1808" s="10">
        <v>45722</v>
      </c>
      <c r="E1808" s="11" t="str">
        <f>+HYPERLINK("http://trademark.i-assist.jp/data/china/image_1926th/82379684.pdf","82379684")</f>
        <v>82379684</v>
      </c>
      <c r="F1808" s="12" t="s">
        <v>4995</v>
      </c>
      <c r="G1808" s="12" t="s">
        <v>4851</v>
      </c>
      <c r="H1808" s="12" t="s">
        <v>4996</v>
      </c>
      <c r="I1808" s="10">
        <v>45631</v>
      </c>
    </row>
    <row r="1809" spans="1:9" x14ac:dyDescent="0.15">
      <c r="A1809" s="9">
        <v>1808</v>
      </c>
      <c r="B1809" s="9" t="s">
        <v>9</v>
      </c>
      <c r="C1809" s="9">
        <v>1926</v>
      </c>
      <c r="D1809" s="10">
        <v>45722</v>
      </c>
      <c r="E1809" s="11" t="str">
        <f>+HYPERLINK("http://trademark.i-assist.jp/data/china/image_1926th/82380223.pdf","82380223")</f>
        <v>82380223</v>
      </c>
      <c r="F1809" s="9" t="s">
        <v>4997</v>
      </c>
      <c r="G1809" s="9" t="s">
        <v>193</v>
      </c>
      <c r="H1809" s="9" t="s">
        <v>4998</v>
      </c>
      <c r="I1809" s="10">
        <v>45631</v>
      </c>
    </row>
    <row r="1810" spans="1:9" x14ac:dyDescent="0.15">
      <c r="A1810" s="9">
        <v>1809</v>
      </c>
      <c r="B1810" s="9" t="s">
        <v>9</v>
      </c>
      <c r="C1810" s="9">
        <v>1926</v>
      </c>
      <c r="D1810" s="10">
        <v>45722</v>
      </c>
      <c r="E1810" s="11" t="str">
        <f>+HYPERLINK("http://trademark.i-assist.jp/data/china/image_1926th/82380304.pdf","82380304")</f>
        <v>82380304</v>
      </c>
      <c r="F1810" s="9" t="s">
        <v>4999</v>
      </c>
      <c r="G1810" s="9" t="s">
        <v>4813</v>
      </c>
      <c r="H1810" s="9" t="s">
        <v>5000</v>
      </c>
      <c r="I1810" s="10">
        <v>45631</v>
      </c>
    </row>
    <row r="1811" spans="1:9" x14ac:dyDescent="0.15">
      <c r="A1811" s="9">
        <v>1810</v>
      </c>
      <c r="B1811" s="9" t="s">
        <v>9</v>
      </c>
      <c r="C1811" s="9">
        <v>1926</v>
      </c>
      <c r="D1811" s="10">
        <v>45722</v>
      </c>
      <c r="E1811" s="11" t="str">
        <f>+HYPERLINK("http://trademark.i-assist.jp/data/china/image_1926th/82380314.pdf","82380314")</f>
        <v>82380314</v>
      </c>
      <c r="F1811" s="9" t="s">
        <v>5001</v>
      </c>
      <c r="G1811" s="9" t="s">
        <v>4813</v>
      </c>
      <c r="H1811" s="9" t="s">
        <v>5002</v>
      </c>
      <c r="I1811" s="10">
        <v>45631</v>
      </c>
    </row>
    <row r="1812" spans="1:9" x14ac:dyDescent="0.15">
      <c r="A1812" s="9">
        <v>1811</v>
      </c>
      <c r="B1812" s="9" t="s">
        <v>9</v>
      </c>
      <c r="C1812" s="9">
        <v>1926</v>
      </c>
      <c r="D1812" s="10">
        <v>45722</v>
      </c>
      <c r="E1812" s="11" t="str">
        <f>+HYPERLINK("http://trademark.i-assist.jp/data/china/image_1926th/82380399.pdf","82380399")</f>
        <v>82380399</v>
      </c>
      <c r="F1812" s="9" t="s">
        <v>5003</v>
      </c>
      <c r="G1812" s="9" t="s">
        <v>5004</v>
      </c>
      <c r="H1812" s="9" t="s">
        <v>5005</v>
      </c>
      <c r="I1812" s="10">
        <v>45631</v>
      </c>
    </row>
    <row r="1813" spans="1:9" x14ac:dyDescent="0.15">
      <c r="A1813" s="9">
        <v>1812</v>
      </c>
      <c r="B1813" s="9" t="s">
        <v>9</v>
      </c>
      <c r="C1813" s="9">
        <v>1926</v>
      </c>
      <c r="D1813" s="10">
        <v>45722</v>
      </c>
      <c r="E1813" s="11" t="str">
        <f>+HYPERLINK("http://trademark.i-assist.jp/data/china/image_1926th/82380729.pdf","82380729")</f>
        <v>82380729</v>
      </c>
      <c r="F1813" s="9" t="s">
        <v>5006</v>
      </c>
      <c r="G1813" s="9" t="s">
        <v>5007</v>
      </c>
      <c r="H1813" s="9" t="s">
        <v>5008</v>
      </c>
      <c r="I1813" s="10">
        <v>45631</v>
      </c>
    </row>
    <row r="1814" spans="1:9" x14ac:dyDescent="0.15">
      <c r="A1814" s="9">
        <v>1813</v>
      </c>
      <c r="B1814" s="9" t="s">
        <v>9</v>
      </c>
      <c r="C1814" s="9">
        <v>1926</v>
      </c>
      <c r="D1814" s="10">
        <v>45722</v>
      </c>
      <c r="E1814" s="11" t="str">
        <f>+HYPERLINK("http://trademark.i-assist.jp/data/china/image_1926th/82380936.pdf","82380936")</f>
        <v>82380936</v>
      </c>
      <c r="F1814" s="9" t="s">
        <v>5009</v>
      </c>
      <c r="G1814" s="9" t="s">
        <v>5010</v>
      </c>
      <c r="H1814" s="9" t="s">
        <v>5011</v>
      </c>
      <c r="I1814" s="10">
        <v>45631</v>
      </c>
    </row>
    <row r="1815" spans="1:9" x14ac:dyDescent="0.15">
      <c r="A1815" s="9">
        <v>1814</v>
      </c>
      <c r="B1815" s="9" t="s">
        <v>9</v>
      </c>
      <c r="C1815" s="9">
        <v>1926</v>
      </c>
      <c r="D1815" s="10">
        <v>45722</v>
      </c>
      <c r="E1815" s="11" t="str">
        <f>+HYPERLINK("http://trademark.i-assist.jp/data/china/image_1926th/82381316.pdf","82381316")</f>
        <v>82381316</v>
      </c>
      <c r="F1815" s="9" t="s">
        <v>5012</v>
      </c>
      <c r="G1815" s="9" t="s">
        <v>5013</v>
      </c>
      <c r="H1815" s="9" t="s">
        <v>5014</v>
      </c>
      <c r="I1815" s="10">
        <v>45631</v>
      </c>
    </row>
    <row r="1816" spans="1:9" x14ac:dyDescent="0.15">
      <c r="A1816" s="9">
        <v>1815</v>
      </c>
      <c r="B1816" s="9" t="s">
        <v>9</v>
      </c>
      <c r="C1816" s="9">
        <v>1926</v>
      </c>
      <c r="D1816" s="10">
        <v>45722</v>
      </c>
      <c r="E1816" s="11" t="str">
        <f>+HYPERLINK("http://trademark.i-assist.jp/data/china/image_1926th/82381487.pdf","82381487")</f>
        <v>82381487</v>
      </c>
      <c r="F1816" s="12" t="s">
        <v>5015</v>
      </c>
      <c r="G1816" s="9" t="s">
        <v>5016</v>
      </c>
      <c r="H1816" s="9" t="s">
        <v>5017</v>
      </c>
      <c r="I1816" s="10">
        <v>45631</v>
      </c>
    </row>
    <row r="1817" spans="1:9" x14ac:dyDescent="0.15">
      <c r="A1817" s="9">
        <v>1816</v>
      </c>
      <c r="B1817" s="9" t="s">
        <v>9</v>
      </c>
      <c r="C1817" s="9">
        <v>1926</v>
      </c>
      <c r="D1817" s="10">
        <v>45722</v>
      </c>
      <c r="E1817" s="11" t="str">
        <f>+HYPERLINK("http://trademark.i-assist.jp/data/china/image_1926th/82381567.pdf","82381567")</f>
        <v>82381567</v>
      </c>
      <c r="F1817" s="9" t="s">
        <v>5018</v>
      </c>
      <c r="G1817" s="9" t="s">
        <v>46</v>
      </c>
      <c r="H1817" s="9" t="s">
        <v>5019</v>
      </c>
      <c r="I1817" s="10">
        <v>45631</v>
      </c>
    </row>
    <row r="1818" spans="1:9" x14ac:dyDescent="0.15">
      <c r="A1818" s="9">
        <v>1817</v>
      </c>
      <c r="B1818" s="9" t="s">
        <v>9</v>
      </c>
      <c r="C1818" s="9">
        <v>1926</v>
      </c>
      <c r="D1818" s="10">
        <v>45722</v>
      </c>
      <c r="E1818" s="11" t="str">
        <f>+HYPERLINK("http://trademark.i-assist.jp/data/china/image_1926th/82381781.pdf","82381781")</f>
        <v>82381781</v>
      </c>
      <c r="F1818" s="9" t="s">
        <v>5020</v>
      </c>
      <c r="G1818" s="9" t="s">
        <v>4763</v>
      </c>
      <c r="H1818" s="9" t="s">
        <v>5021</v>
      </c>
      <c r="I1818" s="10">
        <v>45631</v>
      </c>
    </row>
    <row r="1819" spans="1:9" x14ac:dyDescent="0.15">
      <c r="A1819" s="9">
        <v>1818</v>
      </c>
      <c r="B1819" s="9" t="s">
        <v>9</v>
      </c>
      <c r="C1819" s="9">
        <v>1926</v>
      </c>
      <c r="D1819" s="10">
        <v>45722</v>
      </c>
      <c r="E1819" s="11" t="str">
        <f>+HYPERLINK("http://trademark.i-assist.jp/data/china/image_1926th/82381861.pdf","82381861")</f>
        <v>82381861</v>
      </c>
      <c r="F1819" s="9" t="s">
        <v>5022</v>
      </c>
      <c r="G1819" s="12" t="s">
        <v>4769</v>
      </c>
      <c r="H1819" s="9" t="s">
        <v>5023</v>
      </c>
      <c r="I1819" s="10">
        <v>45631</v>
      </c>
    </row>
    <row r="1820" spans="1:9" x14ac:dyDescent="0.15">
      <c r="A1820" s="9">
        <v>1819</v>
      </c>
      <c r="B1820" s="9" t="s">
        <v>9</v>
      </c>
      <c r="C1820" s="9">
        <v>1926</v>
      </c>
      <c r="D1820" s="10">
        <v>45722</v>
      </c>
      <c r="E1820" s="11" t="str">
        <f>+HYPERLINK("http://trademark.i-assist.jp/data/china/image_1926th/82382588.pdf","82382588")</f>
        <v>82382588</v>
      </c>
      <c r="F1820" s="9" t="s">
        <v>5024</v>
      </c>
      <c r="G1820" s="9" t="s">
        <v>5025</v>
      </c>
      <c r="H1820" s="9" t="s">
        <v>5026</v>
      </c>
      <c r="I1820" s="10">
        <v>45631</v>
      </c>
    </row>
    <row r="1821" spans="1:9" x14ac:dyDescent="0.15">
      <c r="A1821" s="9">
        <v>1820</v>
      </c>
      <c r="B1821" s="9" t="s">
        <v>9</v>
      </c>
      <c r="C1821" s="9">
        <v>1926</v>
      </c>
      <c r="D1821" s="10">
        <v>45722</v>
      </c>
      <c r="E1821" s="11" t="str">
        <f>+HYPERLINK("http://trademark.i-assist.jp/data/china/image_1926th/82382680.pdf","82382680")</f>
        <v>82382680</v>
      </c>
      <c r="F1821" s="9" t="s">
        <v>5027</v>
      </c>
      <c r="G1821" s="9" t="s">
        <v>4751</v>
      </c>
      <c r="H1821" s="9" t="s">
        <v>5028</v>
      </c>
      <c r="I1821" s="10">
        <v>45631</v>
      </c>
    </row>
    <row r="1822" spans="1:9" x14ac:dyDescent="0.15">
      <c r="A1822" s="9">
        <v>1821</v>
      </c>
      <c r="B1822" s="9" t="s">
        <v>9</v>
      </c>
      <c r="C1822" s="9">
        <v>1926</v>
      </c>
      <c r="D1822" s="10">
        <v>45722</v>
      </c>
      <c r="E1822" s="11" t="str">
        <f>+HYPERLINK("http://trademark.i-assist.jp/data/china/image_1926th/82382694.pdf","82382694")</f>
        <v>82382694</v>
      </c>
      <c r="F1822" s="9" t="s">
        <v>5029</v>
      </c>
      <c r="G1822" s="9" t="s">
        <v>5030</v>
      </c>
      <c r="H1822" s="9" t="s">
        <v>5031</v>
      </c>
      <c r="I1822" s="10">
        <v>45631</v>
      </c>
    </row>
    <row r="1823" spans="1:9" x14ac:dyDescent="0.15">
      <c r="A1823" s="9">
        <v>1822</v>
      </c>
      <c r="B1823" s="9" t="s">
        <v>9</v>
      </c>
      <c r="C1823" s="9">
        <v>1926</v>
      </c>
      <c r="D1823" s="10">
        <v>45722</v>
      </c>
      <c r="E1823" s="11" t="str">
        <f>+HYPERLINK("http://trademark.i-assist.jp/data/china/image_1926th/82382763.pdf","82382763")</f>
        <v>82382763</v>
      </c>
      <c r="F1823" s="9" t="s">
        <v>5032</v>
      </c>
      <c r="G1823" s="12" t="s">
        <v>4769</v>
      </c>
      <c r="H1823" s="9" t="s">
        <v>5033</v>
      </c>
      <c r="I1823" s="10">
        <v>45631</v>
      </c>
    </row>
    <row r="1824" spans="1:9" x14ac:dyDescent="0.15">
      <c r="A1824" s="9">
        <v>1823</v>
      </c>
      <c r="B1824" s="9" t="s">
        <v>9</v>
      </c>
      <c r="C1824" s="9">
        <v>1926</v>
      </c>
      <c r="D1824" s="10">
        <v>45722</v>
      </c>
      <c r="E1824" s="11" t="str">
        <f>+HYPERLINK("http://trademark.i-assist.jp/data/china/image_1926th/82382776.pdf","82382776")</f>
        <v>82382776</v>
      </c>
      <c r="F1824" s="12" t="s">
        <v>5034</v>
      </c>
      <c r="G1824" s="12" t="s">
        <v>4769</v>
      </c>
      <c r="H1824" s="9" t="s">
        <v>5035</v>
      </c>
      <c r="I1824" s="10">
        <v>45631</v>
      </c>
    </row>
    <row r="1825" spans="1:9" x14ac:dyDescent="0.15">
      <c r="A1825" s="9">
        <v>1824</v>
      </c>
      <c r="B1825" s="9" t="s">
        <v>9</v>
      </c>
      <c r="C1825" s="9">
        <v>1926</v>
      </c>
      <c r="D1825" s="10">
        <v>45722</v>
      </c>
      <c r="E1825" s="11" t="str">
        <f>+HYPERLINK("http://trademark.i-assist.jp/data/china/image_1926th/82382796.pdf","82382796")</f>
        <v>82382796</v>
      </c>
      <c r="F1825" s="9" t="s">
        <v>5036</v>
      </c>
      <c r="G1825" s="9" t="s">
        <v>5037</v>
      </c>
      <c r="H1825" s="9" t="s">
        <v>5038</v>
      </c>
      <c r="I1825" s="10">
        <v>45631</v>
      </c>
    </row>
    <row r="1826" spans="1:9" x14ac:dyDescent="0.15">
      <c r="A1826" s="9">
        <v>1825</v>
      </c>
      <c r="B1826" s="9" t="s">
        <v>9</v>
      </c>
      <c r="C1826" s="9">
        <v>1926</v>
      </c>
      <c r="D1826" s="10">
        <v>45722</v>
      </c>
      <c r="E1826" s="11" t="str">
        <f>+HYPERLINK("http://trademark.i-assist.jp/data/china/image_1926th/82383957.pdf","82383957")</f>
        <v>82383957</v>
      </c>
      <c r="F1826" s="9" t="s">
        <v>5039</v>
      </c>
      <c r="G1826" s="9" t="s">
        <v>5040</v>
      </c>
      <c r="H1826" s="9" t="s">
        <v>5041</v>
      </c>
      <c r="I1826" s="10">
        <v>45631</v>
      </c>
    </row>
    <row r="1827" spans="1:9" x14ac:dyDescent="0.15">
      <c r="A1827" s="9">
        <v>1826</v>
      </c>
      <c r="B1827" s="9" t="s">
        <v>9</v>
      </c>
      <c r="C1827" s="9">
        <v>1926</v>
      </c>
      <c r="D1827" s="10">
        <v>45722</v>
      </c>
      <c r="E1827" s="11" t="str">
        <f>+HYPERLINK("http://trademark.i-assist.jp/data/china/image_1926th/82384357.pdf","82384357")</f>
        <v>82384357</v>
      </c>
      <c r="F1827" s="9" t="s">
        <v>5042</v>
      </c>
      <c r="G1827" s="12" t="s">
        <v>5043</v>
      </c>
      <c r="H1827" s="9" t="s">
        <v>5044</v>
      </c>
      <c r="I1827" s="10">
        <v>45631</v>
      </c>
    </row>
    <row r="1828" spans="1:9" x14ac:dyDescent="0.15">
      <c r="A1828" s="9">
        <v>1827</v>
      </c>
      <c r="B1828" s="9" t="s">
        <v>9</v>
      </c>
      <c r="C1828" s="9">
        <v>1926</v>
      </c>
      <c r="D1828" s="10">
        <v>45722</v>
      </c>
      <c r="E1828" s="11" t="str">
        <f>+HYPERLINK("http://trademark.i-assist.jp/data/china/image_1926th/82384489.pdf","82384489")</f>
        <v>82384489</v>
      </c>
      <c r="F1828" s="9" t="s">
        <v>5045</v>
      </c>
      <c r="G1828" s="9" t="s">
        <v>46</v>
      </c>
      <c r="H1828" s="9" t="s">
        <v>5046</v>
      </c>
      <c r="I1828" s="10">
        <v>45631</v>
      </c>
    </row>
    <row r="1829" spans="1:9" x14ac:dyDescent="0.15">
      <c r="A1829" s="9">
        <v>1828</v>
      </c>
      <c r="B1829" s="9" t="s">
        <v>9</v>
      </c>
      <c r="C1829" s="9">
        <v>1926</v>
      </c>
      <c r="D1829" s="10">
        <v>45722</v>
      </c>
      <c r="E1829" s="11" t="str">
        <f>+HYPERLINK("http://trademark.i-assist.jp/data/china/image_1926th/82384908.pdf","82384908")</f>
        <v>82384908</v>
      </c>
      <c r="F1829" s="9" t="s">
        <v>5047</v>
      </c>
      <c r="G1829" s="12" t="s">
        <v>5048</v>
      </c>
      <c r="H1829" s="9" t="s">
        <v>5049</v>
      </c>
      <c r="I1829" s="10">
        <v>45631</v>
      </c>
    </row>
    <row r="1830" spans="1:9" x14ac:dyDescent="0.15">
      <c r="A1830" s="9">
        <v>1829</v>
      </c>
      <c r="B1830" s="9" t="s">
        <v>9</v>
      </c>
      <c r="C1830" s="9">
        <v>1926</v>
      </c>
      <c r="D1830" s="10">
        <v>45722</v>
      </c>
      <c r="E1830" s="11" t="str">
        <f>+HYPERLINK("http://trademark.i-assist.jp/data/china/image_1926th/82385100.pdf","82385100")</f>
        <v>82385100</v>
      </c>
      <c r="F1830" s="9" t="s">
        <v>5050</v>
      </c>
      <c r="G1830" s="9" t="s">
        <v>185</v>
      </c>
      <c r="H1830" s="9" t="s">
        <v>5051</v>
      </c>
      <c r="I1830" s="10">
        <v>45631</v>
      </c>
    </row>
    <row r="1831" spans="1:9" x14ac:dyDescent="0.15">
      <c r="A1831" s="9">
        <v>1830</v>
      </c>
      <c r="B1831" s="9" t="s">
        <v>9</v>
      </c>
      <c r="C1831" s="9">
        <v>1926</v>
      </c>
      <c r="D1831" s="10">
        <v>45722</v>
      </c>
      <c r="E1831" s="11" t="str">
        <f>+HYPERLINK("http://trademark.i-assist.jp/data/china/image_1926th/82385337.pdf","82385337")</f>
        <v>82385337</v>
      </c>
      <c r="F1831" s="12" t="s">
        <v>5052</v>
      </c>
      <c r="G1831" s="9" t="s">
        <v>5053</v>
      </c>
      <c r="H1831" s="9" t="s">
        <v>5054</v>
      </c>
      <c r="I1831" s="10">
        <v>45631</v>
      </c>
    </row>
    <row r="1832" spans="1:9" x14ac:dyDescent="0.15">
      <c r="A1832" s="9">
        <v>1831</v>
      </c>
      <c r="B1832" s="9" t="s">
        <v>9</v>
      </c>
      <c r="C1832" s="9">
        <v>1926</v>
      </c>
      <c r="D1832" s="10">
        <v>45722</v>
      </c>
      <c r="E1832" s="11" t="str">
        <f>+HYPERLINK("http://trademark.i-assist.jp/data/china/image_1926th/82385360.pdf","82385360")</f>
        <v>82385360</v>
      </c>
      <c r="F1832" s="9" t="s">
        <v>5055</v>
      </c>
      <c r="G1832" s="9" t="s">
        <v>166</v>
      </c>
      <c r="H1832" s="9" t="s">
        <v>5056</v>
      </c>
      <c r="I1832" s="10">
        <v>45631</v>
      </c>
    </row>
    <row r="1833" spans="1:9" x14ac:dyDescent="0.15">
      <c r="A1833" s="9">
        <v>1832</v>
      </c>
      <c r="B1833" s="9" t="s">
        <v>9</v>
      </c>
      <c r="C1833" s="9">
        <v>1926</v>
      </c>
      <c r="D1833" s="10">
        <v>45722</v>
      </c>
      <c r="E1833" s="11" t="str">
        <f>+HYPERLINK("http://trademark.i-assist.jp/data/china/image_1926th/82385404.pdf","82385404")</f>
        <v>82385404</v>
      </c>
      <c r="F1833" s="9" t="s">
        <v>5057</v>
      </c>
      <c r="G1833" s="12" t="s">
        <v>187</v>
      </c>
      <c r="H1833" s="12" t="s">
        <v>5058</v>
      </c>
      <c r="I1833" s="10">
        <v>45631</v>
      </c>
    </row>
    <row r="1834" spans="1:9" x14ac:dyDescent="0.15">
      <c r="A1834" s="9">
        <v>1833</v>
      </c>
      <c r="B1834" s="9" t="s">
        <v>9</v>
      </c>
      <c r="C1834" s="9">
        <v>1926</v>
      </c>
      <c r="D1834" s="10">
        <v>45722</v>
      </c>
      <c r="E1834" s="11" t="str">
        <f>+HYPERLINK("http://trademark.i-assist.jp/data/china/image_1926th/82385652.pdf","82385652")</f>
        <v>82385652</v>
      </c>
      <c r="F1834" s="9" t="s">
        <v>5059</v>
      </c>
      <c r="G1834" s="12" t="s">
        <v>5060</v>
      </c>
      <c r="H1834" s="9" t="s">
        <v>5061</v>
      </c>
      <c r="I1834" s="10">
        <v>45631</v>
      </c>
    </row>
    <row r="1835" spans="1:9" x14ac:dyDescent="0.15">
      <c r="A1835" s="9">
        <v>1834</v>
      </c>
      <c r="B1835" s="9" t="s">
        <v>9</v>
      </c>
      <c r="C1835" s="9">
        <v>1926</v>
      </c>
      <c r="D1835" s="10">
        <v>45722</v>
      </c>
      <c r="E1835" s="11" t="str">
        <f>+HYPERLINK("http://trademark.i-assist.jp/data/china/image_1926th/82385796.pdf","82385796")</f>
        <v>82385796</v>
      </c>
      <c r="F1835" s="9" t="s">
        <v>5062</v>
      </c>
      <c r="G1835" s="9" t="s">
        <v>5063</v>
      </c>
      <c r="H1835" s="9" t="s">
        <v>5064</v>
      </c>
      <c r="I1835" s="10">
        <v>45631</v>
      </c>
    </row>
    <row r="1836" spans="1:9" x14ac:dyDescent="0.15">
      <c r="A1836" s="9">
        <v>1835</v>
      </c>
      <c r="B1836" s="9" t="s">
        <v>9</v>
      </c>
      <c r="C1836" s="9">
        <v>1926</v>
      </c>
      <c r="D1836" s="10">
        <v>45722</v>
      </c>
      <c r="E1836" s="11" t="str">
        <f>+HYPERLINK("http://trademark.i-assist.jp/data/china/image_1926th/82385798.pdf","82385798")</f>
        <v>82385798</v>
      </c>
      <c r="F1836" s="9" t="s">
        <v>5065</v>
      </c>
      <c r="G1836" s="9" t="s">
        <v>5066</v>
      </c>
      <c r="H1836" s="12" t="s">
        <v>5067</v>
      </c>
      <c r="I1836" s="10">
        <v>45631</v>
      </c>
    </row>
    <row r="1837" spans="1:9" x14ac:dyDescent="0.15">
      <c r="A1837" s="9">
        <v>1836</v>
      </c>
      <c r="B1837" s="9" t="s">
        <v>9</v>
      </c>
      <c r="C1837" s="9">
        <v>1926</v>
      </c>
      <c r="D1837" s="10">
        <v>45722</v>
      </c>
      <c r="E1837" s="11" t="str">
        <f>+HYPERLINK("http://trademark.i-assist.jp/data/china/image_1926th/82385847.pdf","82385847")</f>
        <v>82385847</v>
      </c>
      <c r="F1837" s="9" t="s">
        <v>5068</v>
      </c>
      <c r="G1837" s="9" t="s">
        <v>5069</v>
      </c>
      <c r="H1837" s="9" t="s">
        <v>5070</v>
      </c>
      <c r="I1837" s="10">
        <v>45631</v>
      </c>
    </row>
    <row r="1838" spans="1:9" x14ac:dyDescent="0.15">
      <c r="A1838" s="9">
        <v>1837</v>
      </c>
      <c r="B1838" s="9" t="s">
        <v>9</v>
      </c>
      <c r="C1838" s="9">
        <v>1926</v>
      </c>
      <c r="D1838" s="10">
        <v>45722</v>
      </c>
      <c r="E1838" s="11" t="str">
        <f>+HYPERLINK("http://trademark.i-assist.jp/data/china/image_1926th/82386066.pdf","82386066")</f>
        <v>82386066</v>
      </c>
      <c r="F1838" s="9" t="s">
        <v>5071</v>
      </c>
      <c r="G1838" s="9" t="s">
        <v>5072</v>
      </c>
      <c r="H1838" s="9" t="s">
        <v>5073</v>
      </c>
      <c r="I1838" s="10">
        <v>45631</v>
      </c>
    </row>
    <row r="1839" spans="1:9" x14ac:dyDescent="0.15">
      <c r="A1839" s="9">
        <v>1838</v>
      </c>
      <c r="B1839" s="9" t="s">
        <v>9</v>
      </c>
      <c r="C1839" s="9">
        <v>1926</v>
      </c>
      <c r="D1839" s="10">
        <v>45722</v>
      </c>
      <c r="E1839" s="11" t="str">
        <f>+HYPERLINK("http://trademark.i-assist.jp/data/china/image_1926th/82386199.pdf","82386199")</f>
        <v>82386199</v>
      </c>
      <c r="F1839" s="9" t="s">
        <v>5074</v>
      </c>
      <c r="G1839" s="9" t="s">
        <v>5075</v>
      </c>
      <c r="H1839" s="9" t="s">
        <v>5076</v>
      </c>
      <c r="I1839" s="10">
        <v>45631</v>
      </c>
    </row>
    <row r="1840" spans="1:9" x14ac:dyDescent="0.15">
      <c r="A1840" s="9">
        <v>1839</v>
      </c>
      <c r="B1840" s="9" t="s">
        <v>9</v>
      </c>
      <c r="C1840" s="9">
        <v>1926</v>
      </c>
      <c r="D1840" s="10">
        <v>45722</v>
      </c>
      <c r="E1840" s="11" t="str">
        <f>+HYPERLINK("http://trademark.i-assist.jp/data/china/image_1926th/82386283.pdf","82386283")</f>
        <v>82386283</v>
      </c>
      <c r="F1840" s="9" t="s">
        <v>5077</v>
      </c>
      <c r="G1840" s="9" t="s">
        <v>5078</v>
      </c>
      <c r="H1840" s="9" t="s">
        <v>5079</v>
      </c>
      <c r="I1840" s="10">
        <v>45631</v>
      </c>
    </row>
    <row r="1841" spans="1:9" x14ac:dyDescent="0.15">
      <c r="A1841" s="9">
        <v>1840</v>
      </c>
      <c r="B1841" s="9" t="s">
        <v>9</v>
      </c>
      <c r="C1841" s="9">
        <v>1926</v>
      </c>
      <c r="D1841" s="10">
        <v>45722</v>
      </c>
      <c r="E1841" s="11" t="str">
        <f>+HYPERLINK("http://trademark.i-assist.jp/data/china/image_1926th/82386595.pdf","82386595")</f>
        <v>82386595</v>
      </c>
      <c r="F1841" s="9" t="s">
        <v>5080</v>
      </c>
      <c r="G1841" s="9" t="s">
        <v>4973</v>
      </c>
      <c r="H1841" s="9" t="s">
        <v>5081</v>
      </c>
      <c r="I1841" s="10">
        <v>45631</v>
      </c>
    </row>
    <row r="1842" spans="1:9" x14ac:dyDescent="0.15">
      <c r="A1842" s="9">
        <v>1841</v>
      </c>
      <c r="B1842" s="9" t="s">
        <v>9</v>
      </c>
      <c r="C1842" s="9">
        <v>1926</v>
      </c>
      <c r="D1842" s="10">
        <v>45722</v>
      </c>
      <c r="E1842" s="11" t="str">
        <f>+HYPERLINK("http://trademark.i-assist.jp/data/china/image_1926th/82386906.pdf","82386906")</f>
        <v>82386906</v>
      </c>
      <c r="F1842" s="9" t="s">
        <v>5082</v>
      </c>
      <c r="G1842" s="12" t="s">
        <v>5083</v>
      </c>
      <c r="H1842" s="12" t="s">
        <v>5084</v>
      </c>
      <c r="I1842" s="10">
        <v>45631</v>
      </c>
    </row>
    <row r="1843" spans="1:9" x14ac:dyDescent="0.15">
      <c r="A1843" s="9">
        <v>1842</v>
      </c>
      <c r="B1843" s="9" t="s">
        <v>9</v>
      </c>
      <c r="C1843" s="9">
        <v>1926</v>
      </c>
      <c r="D1843" s="10">
        <v>45722</v>
      </c>
      <c r="E1843" s="11" t="str">
        <f>+HYPERLINK("http://trademark.i-assist.jp/data/china/image_1926th/82386991.pdf","82386991")</f>
        <v>82386991</v>
      </c>
      <c r="F1843" s="9" t="s">
        <v>5085</v>
      </c>
      <c r="G1843" s="12" t="s">
        <v>5086</v>
      </c>
      <c r="H1843" s="9" t="s">
        <v>5087</v>
      </c>
      <c r="I1843" s="10">
        <v>45631</v>
      </c>
    </row>
    <row r="1844" spans="1:9" x14ac:dyDescent="0.15">
      <c r="A1844" s="9">
        <v>1843</v>
      </c>
      <c r="B1844" s="9" t="s">
        <v>9</v>
      </c>
      <c r="C1844" s="9">
        <v>1926</v>
      </c>
      <c r="D1844" s="10">
        <v>45722</v>
      </c>
      <c r="E1844" s="11" t="str">
        <f>+HYPERLINK("http://trademark.i-assist.jp/data/china/image_1926th/82387170.pdf","82387170")</f>
        <v>82387170</v>
      </c>
      <c r="F1844" s="9" t="s">
        <v>5088</v>
      </c>
      <c r="G1844" s="9" t="s">
        <v>5089</v>
      </c>
      <c r="H1844" s="9" t="s">
        <v>5090</v>
      </c>
      <c r="I1844" s="10">
        <v>45631</v>
      </c>
    </row>
    <row r="1845" spans="1:9" x14ac:dyDescent="0.15">
      <c r="A1845" s="9">
        <v>1844</v>
      </c>
      <c r="B1845" s="9" t="s">
        <v>9</v>
      </c>
      <c r="C1845" s="9">
        <v>1926</v>
      </c>
      <c r="D1845" s="10">
        <v>45722</v>
      </c>
      <c r="E1845" s="11" t="str">
        <f>+HYPERLINK("http://trademark.i-assist.jp/data/china/image_1926th/82387582.pdf","82387582")</f>
        <v>82387582</v>
      </c>
      <c r="F1845" s="12" t="s">
        <v>5091</v>
      </c>
      <c r="G1845" s="9" t="s">
        <v>4763</v>
      </c>
      <c r="H1845" s="9" t="s">
        <v>5092</v>
      </c>
      <c r="I1845" s="10">
        <v>45631</v>
      </c>
    </row>
    <row r="1846" spans="1:9" x14ac:dyDescent="0.15">
      <c r="A1846" s="9">
        <v>1845</v>
      </c>
      <c r="B1846" s="9" t="s">
        <v>9</v>
      </c>
      <c r="C1846" s="9">
        <v>1926</v>
      </c>
      <c r="D1846" s="10">
        <v>45722</v>
      </c>
      <c r="E1846" s="11" t="str">
        <f>+HYPERLINK("http://trademark.i-assist.jp/data/china/image_1926th/82387704.pdf","82387704")</f>
        <v>82387704</v>
      </c>
      <c r="F1846" s="9" t="s">
        <v>5093</v>
      </c>
      <c r="G1846" s="9" t="s">
        <v>46</v>
      </c>
      <c r="H1846" s="9" t="s">
        <v>5094</v>
      </c>
      <c r="I1846" s="10">
        <v>45631</v>
      </c>
    </row>
    <row r="1847" spans="1:9" x14ac:dyDescent="0.15">
      <c r="A1847" s="9">
        <v>1846</v>
      </c>
      <c r="B1847" s="9" t="s">
        <v>9</v>
      </c>
      <c r="C1847" s="9">
        <v>1926</v>
      </c>
      <c r="D1847" s="10">
        <v>45722</v>
      </c>
      <c r="E1847" s="11" t="str">
        <f>+HYPERLINK("http://trademark.i-assist.jp/data/china/image_1926th/82387715.pdf","82387715")</f>
        <v>82387715</v>
      </c>
      <c r="F1847" s="12" t="s">
        <v>5095</v>
      </c>
      <c r="G1847" s="9" t="s">
        <v>46</v>
      </c>
      <c r="H1847" s="9" t="s">
        <v>5096</v>
      </c>
      <c r="I1847" s="10">
        <v>45631</v>
      </c>
    </row>
    <row r="1848" spans="1:9" x14ac:dyDescent="0.15">
      <c r="A1848" s="9">
        <v>1847</v>
      </c>
      <c r="B1848" s="9" t="s">
        <v>9</v>
      </c>
      <c r="C1848" s="9">
        <v>1926</v>
      </c>
      <c r="D1848" s="10">
        <v>45722</v>
      </c>
      <c r="E1848" s="11" t="str">
        <f>+HYPERLINK("http://trademark.i-assist.jp/data/china/image_1926th/82387766.pdf","82387766")</f>
        <v>82387766</v>
      </c>
      <c r="F1848" s="12" t="s">
        <v>5097</v>
      </c>
      <c r="G1848" s="12" t="s">
        <v>5098</v>
      </c>
      <c r="H1848" s="9" t="s">
        <v>5099</v>
      </c>
      <c r="I1848" s="10">
        <v>45631</v>
      </c>
    </row>
    <row r="1849" spans="1:9" x14ac:dyDescent="0.15">
      <c r="A1849" s="9">
        <v>1848</v>
      </c>
      <c r="B1849" s="9" t="s">
        <v>9</v>
      </c>
      <c r="C1849" s="9">
        <v>1926</v>
      </c>
      <c r="D1849" s="10">
        <v>45722</v>
      </c>
      <c r="E1849" s="11" t="str">
        <f>+HYPERLINK("http://trademark.i-assist.jp/data/china/image_1926th/82387959.pdf","82387959")</f>
        <v>82387959</v>
      </c>
      <c r="F1849" s="12" t="s">
        <v>5100</v>
      </c>
      <c r="G1849" s="9" t="s">
        <v>5101</v>
      </c>
      <c r="H1849" s="12" t="s">
        <v>5102</v>
      </c>
      <c r="I1849" s="10">
        <v>45632</v>
      </c>
    </row>
    <row r="1850" spans="1:9" x14ac:dyDescent="0.15">
      <c r="A1850" s="9">
        <v>1849</v>
      </c>
      <c r="B1850" s="9" t="s">
        <v>9</v>
      </c>
      <c r="C1850" s="9">
        <v>1926</v>
      </c>
      <c r="D1850" s="10">
        <v>45722</v>
      </c>
      <c r="E1850" s="11" t="str">
        <f>+HYPERLINK("http://trademark.i-assist.jp/data/china/image_1926th/82387960.pdf","82387960")</f>
        <v>82387960</v>
      </c>
      <c r="F1850" s="9" t="s">
        <v>5103</v>
      </c>
      <c r="G1850" s="9" t="s">
        <v>5101</v>
      </c>
      <c r="H1850" s="9" t="s">
        <v>5104</v>
      </c>
      <c r="I1850" s="10">
        <v>45632</v>
      </c>
    </row>
    <row r="1851" spans="1:9" x14ac:dyDescent="0.15">
      <c r="A1851" s="9">
        <v>1850</v>
      </c>
      <c r="B1851" s="9" t="s">
        <v>9</v>
      </c>
      <c r="C1851" s="9">
        <v>1926</v>
      </c>
      <c r="D1851" s="10">
        <v>45722</v>
      </c>
      <c r="E1851" s="11" t="str">
        <f>+HYPERLINK("http://trademark.i-assist.jp/data/china/image_1926th/82388081.pdf","82388081")</f>
        <v>82388081</v>
      </c>
      <c r="F1851" s="9" t="s">
        <v>5105</v>
      </c>
      <c r="G1851" s="9" t="s">
        <v>5106</v>
      </c>
      <c r="H1851" s="9" t="s">
        <v>5107</v>
      </c>
      <c r="I1851" s="10">
        <v>45632</v>
      </c>
    </row>
    <row r="1852" spans="1:9" x14ac:dyDescent="0.15">
      <c r="A1852" s="9">
        <v>1851</v>
      </c>
      <c r="B1852" s="9" t="s">
        <v>9</v>
      </c>
      <c r="C1852" s="9">
        <v>1926</v>
      </c>
      <c r="D1852" s="10">
        <v>45722</v>
      </c>
      <c r="E1852" s="11" t="str">
        <f>+HYPERLINK("http://trademark.i-assist.jp/data/china/image_1926th/82388118.pdf","82388118")</f>
        <v>82388118</v>
      </c>
      <c r="F1852" s="9" t="s">
        <v>5108</v>
      </c>
      <c r="G1852" s="9" t="s">
        <v>5109</v>
      </c>
      <c r="H1852" s="9" t="s">
        <v>5110</v>
      </c>
      <c r="I1852" s="10">
        <v>45632</v>
      </c>
    </row>
    <row r="1853" spans="1:9" x14ac:dyDescent="0.15">
      <c r="A1853" s="9">
        <v>1852</v>
      </c>
      <c r="B1853" s="9" t="s">
        <v>9</v>
      </c>
      <c r="C1853" s="9">
        <v>1926</v>
      </c>
      <c r="D1853" s="10">
        <v>45722</v>
      </c>
      <c r="E1853" s="11" t="str">
        <f>+HYPERLINK("http://trademark.i-assist.jp/data/china/image_1926th/82388335.pdf","82388335")</f>
        <v>82388335</v>
      </c>
      <c r="F1853" s="12" t="s">
        <v>5111</v>
      </c>
      <c r="G1853" s="9" t="s">
        <v>5112</v>
      </c>
      <c r="H1853" s="9" t="s">
        <v>5113</v>
      </c>
      <c r="I1853" s="10">
        <v>45632</v>
      </c>
    </row>
    <row r="1854" spans="1:9" x14ac:dyDescent="0.15">
      <c r="A1854" s="9">
        <v>1853</v>
      </c>
      <c r="B1854" s="9" t="s">
        <v>9</v>
      </c>
      <c r="C1854" s="9">
        <v>1926</v>
      </c>
      <c r="D1854" s="10">
        <v>45722</v>
      </c>
      <c r="E1854" s="11" t="str">
        <f>+HYPERLINK("http://trademark.i-assist.jp/data/china/image_1926th/82388511.pdf","82388511")</f>
        <v>82388511</v>
      </c>
      <c r="F1854" s="9" t="s">
        <v>5114</v>
      </c>
      <c r="G1854" s="9" t="s">
        <v>5115</v>
      </c>
      <c r="H1854" s="9" t="s">
        <v>5116</v>
      </c>
      <c r="I1854" s="10">
        <v>45632</v>
      </c>
    </row>
    <row r="1855" spans="1:9" x14ac:dyDescent="0.15">
      <c r="A1855" s="9">
        <v>1854</v>
      </c>
      <c r="B1855" s="9" t="s">
        <v>9</v>
      </c>
      <c r="C1855" s="9">
        <v>1926</v>
      </c>
      <c r="D1855" s="10">
        <v>45722</v>
      </c>
      <c r="E1855" s="11" t="str">
        <f>+HYPERLINK("http://trademark.i-assist.jp/data/china/image_1926th/82388631.pdf","82388631")</f>
        <v>82388631</v>
      </c>
      <c r="F1855" s="9" t="s">
        <v>5117</v>
      </c>
      <c r="G1855" s="9" t="s">
        <v>66</v>
      </c>
      <c r="H1855" s="9" t="s">
        <v>5118</v>
      </c>
      <c r="I1855" s="10">
        <v>45632</v>
      </c>
    </row>
    <row r="1856" spans="1:9" x14ac:dyDescent="0.15">
      <c r="A1856" s="9">
        <v>1855</v>
      </c>
      <c r="B1856" s="9" t="s">
        <v>9</v>
      </c>
      <c r="C1856" s="9">
        <v>1926</v>
      </c>
      <c r="D1856" s="10">
        <v>45722</v>
      </c>
      <c r="E1856" s="11" t="str">
        <f>+HYPERLINK("http://trademark.i-assist.jp/data/china/image_1926th/82388662.pdf","82388662")</f>
        <v>82388662</v>
      </c>
      <c r="F1856" s="12" t="s">
        <v>5119</v>
      </c>
      <c r="G1856" s="9" t="s">
        <v>5120</v>
      </c>
      <c r="H1856" s="12" t="s">
        <v>5121</v>
      </c>
      <c r="I1856" s="10">
        <v>45632</v>
      </c>
    </row>
    <row r="1857" spans="1:9" x14ac:dyDescent="0.15">
      <c r="A1857" s="9">
        <v>1856</v>
      </c>
      <c r="B1857" s="9" t="s">
        <v>9</v>
      </c>
      <c r="C1857" s="9">
        <v>1926</v>
      </c>
      <c r="D1857" s="10">
        <v>45722</v>
      </c>
      <c r="E1857" s="11" t="str">
        <f>+HYPERLINK("http://trademark.i-assist.jp/data/china/image_1926th/82388705.pdf","82388705")</f>
        <v>82388705</v>
      </c>
      <c r="F1857" s="9" t="s">
        <v>5122</v>
      </c>
      <c r="G1857" s="9" t="s">
        <v>5123</v>
      </c>
      <c r="H1857" s="9" t="s">
        <v>5124</v>
      </c>
      <c r="I1857" s="10">
        <v>45632</v>
      </c>
    </row>
    <row r="1858" spans="1:9" x14ac:dyDescent="0.15">
      <c r="A1858" s="9">
        <v>1857</v>
      </c>
      <c r="B1858" s="9" t="s">
        <v>9</v>
      </c>
      <c r="C1858" s="9">
        <v>1926</v>
      </c>
      <c r="D1858" s="10">
        <v>45722</v>
      </c>
      <c r="E1858" s="11" t="str">
        <f>+HYPERLINK("http://trademark.i-assist.jp/data/china/image_1926th/82388924.pdf","82388924")</f>
        <v>82388924</v>
      </c>
      <c r="F1858" s="9" t="s">
        <v>5125</v>
      </c>
      <c r="G1858" s="9" t="s">
        <v>5126</v>
      </c>
      <c r="H1858" s="9" t="s">
        <v>5127</v>
      </c>
      <c r="I1858" s="10">
        <v>45632</v>
      </c>
    </row>
    <row r="1859" spans="1:9" x14ac:dyDescent="0.15">
      <c r="A1859" s="9">
        <v>1858</v>
      </c>
      <c r="B1859" s="9" t="s">
        <v>9</v>
      </c>
      <c r="C1859" s="9">
        <v>1926</v>
      </c>
      <c r="D1859" s="10">
        <v>45722</v>
      </c>
      <c r="E1859" s="11" t="str">
        <f>+HYPERLINK("http://trademark.i-assist.jp/data/china/image_1926th/82389525.pdf","82389525")</f>
        <v>82389525</v>
      </c>
      <c r="F1859" s="9" t="s">
        <v>5128</v>
      </c>
      <c r="G1859" s="9" t="s">
        <v>5129</v>
      </c>
      <c r="H1859" s="9" t="s">
        <v>5130</v>
      </c>
      <c r="I1859" s="10">
        <v>45632</v>
      </c>
    </row>
    <row r="1860" spans="1:9" x14ac:dyDescent="0.15">
      <c r="A1860" s="9">
        <v>1859</v>
      </c>
      <c r="B1860" s="9" t="s">
        <v>9</v>
      </c>
      <c r="C1860" s="9">
        <v>1926</v>
      </c>
      <c r="D1860" s="10">
        <v>45722</v>
      </c>
      <c r="E1860" s="11" t="str">
        <f>+HYPERLINK("http://trademark.i-assist.jp/data/china/image_1926th/82389577.pdf","82389577")</f>
        <v>82389577</v>
      </c>
      <c r="F1860" s="9" t="s">
        <v>5131</v>
      </c>
      <c r="G1860" s="9" t="s">
        <v>5132</v>
      </c>
      <c r="H1860" s="12" t="s">
        <v>5133</v>
      </c>
      <c r="I1860" s="10">
        <v>45632</v>
      </c>
    </row>
    <row r="1861" spans="1:9" x14ac:dyDescent="0.15">
      <c r="A1861" s="9">
        <v>1860</v>
      </c>
      <c r="B1861" s="9" t="s">
        <v>9</v>
      </c>
      <c r="C1861" s="9">
        <v>1926</v>
      </c>
      <c r="D1861" s="10">
        <v>45722</v>
      </c>
      <c r="E1861" s="11" t="str">
        <f>+HYPERLINK("http://trademark.i-assist.jp/data/china/image_1926th/82389599.pdf","82389599")</f>
        <v>82389599</v>
      </c>
      <c r="F1861" s="9" t="s">
        <v>5134</v>
      </c>
      <c r="G1861" s="9" t="s">
        <v>5135</v>
      </c>
      <c r="H1861" s="12" t="s">
        <v>5136</v>
      </c>
      <c r="I1861" s="10">
        <v>45632</v>
      </c>
    </row>
    <row r="1862" spans="1:9" x14ac:dyDescent="0.15">
      <c r="A1862" s="9">
        <v>1861</v>
      </c>
      <c r="B1862" s="9" t="s">
        <v>9</v>
      </c>
      <c r="C1862" s="9">
        <v>1926</v>
      </c>
      <c r="D1862" s="10">
        <v>45722</v>
      </c>
      <c r="E1862" s="11" t="str">
        <f>+HYPERLINK("http://trademark.i-assist.jp/data/china/image_1926th/82389652.pdf","82389652")</f>
        <v>82389652</v>
      </c>
      <c r="F1862" s="9" t="s">
        <v>5137</v>
      </c>
      <c r="G1862" s="9" t="s">
        <v>5138</v>
      </c>
      <c r="H1862" s="9" t="s">
        <v>5139</v>
      </c>
      <c r="I1862" s="10">
        <v>45632</v>
      </c>
    </row>
    <row r="1863" spans="1:9" x14ac:dyDescent="0.15">
      <c r="A1863" s="9">
        <v>1862</v>
      </c>
      <c r="B1863" s="9" t="s">
        <v>9</v>
      </c>
      <c r="C1863" s="9">
        <v>1926</v>
      </c>
      <c r="D1863" s="10">
        <v>45722</v>
      </c>
      <c r="E1863" s="11" t="str">
        <f>+HYPERLINK("http://trademark.i-assist.jp/data/china/image_1926th/82389751.pdf","82389751")</f>
        <v>82389751</v>
      </c>
      <c r="F1863" s="9" t="s">
        <v>5140</v>
      </c>
      <c r="G1863" s="9" t="s">
        <v>5141</v>
      </c>
      <c r="H1863" s="9" t="s">
        <v>5142</v>
      </c>
      <c r="I1863" s="10">
        <v>45632</v>
      </c>
    </row>
    <row r="1864" spans="1:9" x14ac:dyDescent="0.15">
      <c r="A1864" s="9">
        <v>1863</v>
      </c>
      <c r="B1864" s="9" t="s">
        <v>9</v>
      </c>
      <c r="C1864" s="9">
        <v>1926</v>
      </c>
      <c r="D1864" s="10">
        <v>45722</v>
      </c>
      <c r="E1864" s="11" t="str">
        <f>+HYPERLINK("http://trademark.i-assist.jp/data/china/image_1926th/82389826.pdf","82389826")</f>
        <v>82389826</v>
      </c>
      <c r="F1864" s="9" t="s">
        <v>5143</v>
      </c>
      <c r="G1864" s="12" t="s">
        <v>5144</v>
      </c>
      <c r="H1864" s="9" t="s">
        <v>5145</v>
      </c>
      <c r="I1864" s="10">
        <v>45632</v>
      </c>
    </row>
    <row r="1865" spans="1:9" x14ac:dyDescent="0.15">
      <c r="A1865" s="9">
        <v>1864</v>
      </c>
      <c r="B1865" s="9" t="s">
        <v>9</v>
      </c>
      <c r="C1865" s="9">
        <v>1926</v>
      </c>
      <c r="D1865" s="10">
        <v>45722</v>
      </c>
      <c r="E1865" s="11" t="str">
        <f>+HYPERLINK("http://trademark.i-assist.jp/data/china/image_1926th/82389841.pdf","82389841")</f>
        <v>82389841</v>
      </c>
      <c r="F1865" s="9" t="s">
        <v>5146</v>
      </c>
      <c r="G1865" s="9" t="s">
        <v>5147</v>
      </c>
      <c r="H1865" s="9" t="s">
        <v>5148</v>
      </c>
      <c r="I1865" s="10">
        <v>45632</v>
      </c>
    </row>
    <row r="1866" spans="1:9" x14ac:dyDescent="0.15">
      <c r="A1866" s="9">
        <v>1865</v>
      </c>
      <c r="B1866" s="9" t="s">
        <v>9</v>
      </c>
      <c r="C1866" s="9">
        <v>1926</v>
      </c>
      <c r="D1866" s="10">
        <v>45722</v>
      </c>
      <c r="E1866" s="11" t="str">
        <f>+HYPERLINK("http://trademark.i-assist.jp/data/china/image_1926th/82389901.pdf","82389901")</f>
        <v>82389901</v>
      </c>
      <c r="F1866" s="9" t="s">
        <v>5149</v>
      </c>
      <c r="G1866" s="9" t="s">
        <v>5150</v>
      </c>
      <c r="H1866" s="12" t="s">
        <v>5151</v>
      </c>
      <c r="I1866" s="10">
        <v>45632</v>
      </c>
    </row>
    <row r="1867" spans="1:9" x14ac:dyDescent="0.15">
      <c r="A1867" s="9">
        <v>1866</v>
      </c>
      <c r="B1867" s="9" t="s">
        <v>9</v>
      </c>
      <c r="C1867" s="9">
        <v>1926</v>
      </c>
      <c r="D1867" s="10">
        <v>45722</v>
      </c>
      <c r="E1867" s="11" t="str">
        <f>+HYPERLINK("http://trademark.i-assist.jp/data/china/image_1926th/82389916.pdf","82389916")</f>
        <v>82389916</v>
      </c>
      <c r="F1867" s="9" t="s">
        <v>5152</v>
      </c>
      <c r="G1867" s="9" t="s">
        <v>5153</v>
      </c>
      <c r="H1867" s="9" t="s">
        <v>5154</v>
      </c>
      <c r="I1867" s="10">
        <v>45632</v>
      </c>
    </row>
    <row r="1868" spans="1:9" x14ac:dyDescent="0.15">
      <c r="A1868" s="9">
        <v>1867</v>
      </c>
      <c r="B1868" s="9" t="s">
        <v>9</v>
      </c>
      <c r="C1868" s="9">
        <v>1926</v>
      </c>
      <c r="D1868" s="10">
        <v>45722</v>
      </c>
      <c r="E1868" s="11" t="str">
        <f>+HYPERLINK("http://trademark.i-assist.jp/data/china/image_1926th/82389924.pdf","82389924")</f>
        <v>82389924</v>
      </c>
      <c r="F1868" s="9" t="s">
        <v>5155</v>
      </c>
      <c r="G1868" s="9" t="s">
        <v>5153</v>
      </c>
      <c r="H1868" s="9" t="s">
        <v>5156</v>
      </c>
      <c r="I1868" s="10">
        <v>45632</v>
      </c>
    </row>
    <row r="1869" spans="1:9" x14ac:dyDescent="0.15">
      <c r="A1869" s="9">
        <v>1868</v>
      </c>
      <c r="B1869" s="9" t="s">
        <v>9</v>
      </c>
      <c r="C1869" s="9">
        <v>1926</v>
      </c>
      <c r="D1869" s="10">
        <v>45722</v>
      </c>
      <c r="E1869" s="11" t="str">
        <f>+HYPERLINK("http://trademark.i-assist.jp/data/china/image_1926th/82390034.pdf","82390034")</f>
        <v>82390034</v>
      </c>
      <c r="F1869" s="9" t="s">
        <v>5157</v>
      </c>
      <c r="G1869" s="9" t="s">
        <v>5158</v>
      </c>
      <c r="H1869" s="9" t="s">
        <v>5159</v>
      </c>
      <c r="I1869" s="10">
        <v>45632</v>
      </c>
    </row>
    <row r="1870" spans="1:9" x14ac:dyDescent="0.15">
      <c r="A1870" s="9">
        <v>1869</v>
      </c>
      <c r="B1870" s="9" t="s">
        <v>9</v>
      </c>
      <c r="C1870" s="9">
        <v>1926</v>
      </c>
      <c r="D1870" s="10">
        <v>45722</v>
      </c>
      <c r="E1870" s="11" t="str">
        <f>+HYPERLINK("http://trademark.i-assist.jp/data/china/image_1926th/82390562.pdf","82390562")</f>
        <v>82390562</v>
      </c>
      <c r="F1870" s="9" t="s">
        <v>5160</v>
      </c>
      <c r="G1870" s="12" t="s">
        <v>5161</v>
      </c>
      <c r="H1870" s="12" t="s">
        <v>5162</v>
      </c>
      <c r="I1870" s="10">
        <v>45632</v>
      </c>
    </row>
    <row r="1871" spans="1:9" x14ac:dyDescent="0.15">
      <c r="A1871" s="9">
        <v>1870</v>
      </c>
      <c r="B1871" s="9" t="s">
        <v>9</v>
      </c>
      <c r="C1871" s="9">
        <v>1926</v>
      </c>
      <c r="D1871" s="10">
        <v>45722</v>
      </c>
      <c r="E1871" s="11" t="str">
        <f>+HYPERLINK("http://trademark.i-assist.jp/data/china/image_1926th/82390846.pdf","82390846")</f>
        <v>82390846</v>
      </c>
      <c r="F1871" s="9" t="s">
        <v>5163</v>
      </c>
      <c r="G1871" s="9" t="s">
        <v>45</v>
      </c>
      <c r="H1871" s="9" t="s">
        <v>5164</v>
      </c>
      <c r="I1871" s="10">
        <v>45632</v>
      </c>
    </row>
    <row r="1872" spans="1:9" x14ac:dyDescent="0.15">
      <c r="A1872" s="9">
        <v>1871</v>
      </c>
      <c r="B1872" s="9" t="s">
        <v>9</v>
      </c>
      <c r="C1872" s="9">
        <v>1926</v>
      </c>
      <c r="D1872" s="10">
        <v>45722</v>
      </c>
      <c r="E1872" s="11" t="str">
        <f>+HYPERLINK("http://trademark.i-assist.jp/data/china/image_1926th/82391014.pdf","82391014")</f>
        <v>82391014</v>
      </c>
      <c r="F1872" s="9" t="s">
        <v>5165</v>
      </c>
      <c r="G1872" s="9" t="s">
        <v>5166</v>
      </c>
      <c r="H1872" s="9" t="s">
        <v>5167</v>
      </c>
      <c r="I1872" s="10">
        <v>45632</v>
      </c>
    </row>
    <row r="1873" spans="1:9" x14ac:dyDescent="0.15">
      <c r="A1873" s="9">
        <v>1872</v>
      </c>
      <c r="B1873" s="9" t="s">
        <v>9</v>
      </c>
      <c r="C1873" s="9">
        <v>1926</v>
      </c>
      <c r="D1873" s="10">
        <v>45722</v>
      </c>
      <c r="E1873" s="11" t="str">
        <f>+HYPERLINK("http://trademark.i-assist.jp/data/china/image_1926th/82391015.pdf","82391015")</f>
        <v>82391015</v>
      </c>
      <c r="F1873" s="9" t="s">
        <v>5168</v>
      </c>
      <c r="G1873" s="9" t="s">
        <v>5169</v>
      </c>
      <c r="H1873" s="9" t="s">
        <v>5170</v>
      </c>
      <c r="I1873" s="10">
        <v>45632</v>
      </c>
    </row>
    <row r="1874" spans="1:9" x14ac:dyDescent="0.15">
      <c r="A1874" s="9">
        <v>1873</v>
      </c>
      <c r="B1874" s="9" t="s">
        <v>9</v>
      </c>
      <c r="C1874" s="9">
        <v>1926</v>
      </c>
      <c r="D1874" s="10">
        <v>45722</v>
      </c>
      <c r="E1874" s="11" t="str">
        <f>+HYPERLINK("http://trademark.i-assist.jp/data/china/image_1926th/82391281.pdf","82391281")</f>
        <v>82391281</v>
      </c>
      <c r="F1874" s="9" t="s">
        <v>5171</v>
      </c>
      <c r="G1874" s="12" t="s">
        <v>5172</v>
      </c>
      <c r="H1874" s="9" t="s">
        <v>5173</v>
      </c>
      <c r="I1874" s="10">
        <v>45632</v>
      </c>
    </row>
    <row r="1875" spans="1:9" x14ac:dyDescent="0.15">
      <c r="A1875" s="9">
        <v>1874</v>
      </c>
      <c r="B1875" s="9" t="s">
        <v>9</v>
      </c>
      <c r="C1875" s="9">
        <v>1926</v>
      </c>
      <c r="D1875" s="10">
        <v>45722</v>
      </c>
      <c r="E1875" s="11" t="str">
        <f>+HYPERLINK("http://trademark.i-assist.jp/data/china/image_1926th/82391755.pdf","82391755")</f>
        <v>82391755</v>
      </c>
      <c r="F1875" s="9" t="s">
        <v>3363</v>
      </c>
      <c r="G1875" s="9" t="s">
        <v>3364</v>
      </c>
      <c r="H1875" s="9" t="s">
        <v>5174</v>
      </c>
      <c r="I1875" s="10">
        <v>45632</v>
      </c>
    </row>
    <row r="1876" spans="1:9" x14ac:dyDescent="0.15">
      <c r="A1876" s="9">
        <v>1875</v>
      </c>
      <c r="B1876" s="9" t="s">
        <v>9</v>
      </c>
      <c r="C1876" s="9">
        <v>1926</v>
      </c>
      <c r="D1876" s="10">
        <v>45722</v>
      </c>
      <c r="E1876" s="11" t="str">
        <f>+HYPERLINK("http://trademark.i-assist.jp/data/china/image_1926th/82391852.pdf","82391852")</f>
        <v>82391852</v>
      </c>
      <c r="F1876" s="9" t="s">
        <v>5175</v>
      </c>
      <c r="G1876" s="9" t="s">
        <v>5176</v>
      </c>
      <c r="H1876" s="9" t="s">
        <v>5177</v>
      </c>
      <c r="I1876" s="10">
        <v>45632</v>
      </c>
    </row>
    <row r="1877" spans="1:9" x14ac:dyDescent="0.15">
      <c r="A1877" s="9">
        <v>1876</v>
      </c>
      <c r="B1877" s="9" t="s">
        <v>9</v>
      </c>
      <c r="C1877" s="9">
        <v>1926</v>
      </c>
      <c r="D1877" s="10">
        <v>45722</v>
      </c>
      <c r="E1877" s="11" t="str">
        <f>+HYPERLINK("http://trademark.i-assist.jp/data/china/image_1926th/82391886.pdf","82391886")</f>
        <v>82391886</v>
      </c>
      <c r="F1877" s="9" t="s">
        <v>5178</v>
      </c>
      <c r="G1877" s="9" t="s">
        <v>5179</v>
      </c>
      <c r="H1877" s="9" t="s">
        <v>5180</v>
      </c>
      <c r="I1877" s="10">
        <v>45632</v>
      </c>
    </row>
    <row r="1878" spans="1:9" x14ac:dyDescent="0.15">
      <c r="A1878" s="9">
        <v>1877</v>
      </c>
      <c r="B1878" s="9" t="s">
        <v>9</v>
      </c>
      <c r="C1878" s="9">
        <v>1926</v>
      </c>
      <c r="D1878" s="10">
        <v>45722</v>
      </c>
      <c r="E1878" s="11" t="str">
        <f>+HYPERLINK("http://trademark.i-assist.jp/data/china/image_1926th/82391887.pdf","82391887")</f>
        <v>82391887</v>
      </c>
      <c r="F1878" s="9" t="s">
        <v>5181</v>
      </c>
      <c r="G1878" s="12" t="s">
        <v>36</v>
      </c>
      <c r="H1878" s="9" t="s">
        <v>5182</v>
      </c>
      <c r="I1878" s="10">
        <v>45632</v>
      </c>
    </row>
    <row r="1879" spans="1:9" x14ac:dyDescent="0.15">
      <c r="A1879" s="9">
        <v>1878</v>
      </c>
      <c r="B1879" s="9" t="s">
        <v>9</v>
      </c>
      <c r="C1879" s="9">
        <v>1926</v>
      </c>
      <c r="D1879" s="10">
        <v>45722</v>
      </c>
      <c r="E1879" s="11" t="str">
        <f>+HYPERLINK("http://trademark.i-assist.jp/data/china/image_1926th/82391912.pdf","82391912")</f>
        <v>82391912</v>
      </c>
      <c r="F1879" s="9" t="s">
        <v>5183</v>
      </c>
      <c r="G1879" s="9" t="s">
        <v>5184</v>
      </c>
      <c r="H1879" s="12" t="s">
        <v>5185</v>
      </c>
      <c r="I1879" s="10">
        <v>45632</v>
      </c>
    </row>
    <row r="1880" spans="1:9" x14ac:dyDescent="0.15">
      <c r="A1880" s="9">
        <v>1879</v>
      </c>
      <c r="B1880" s="9" t="s">
        <v>9</v>
      </c>
      <c r="C1880" s="9">
        <v>1926</v>
      </c>
      <c r="D1880" s="10">
        <v>45722</v>
      </c>
      <c r="E1880" s="11" t="str">
        <f>+HYPERLINK("http://trademark.i-assist.jp/data/china/image_1926th/82391993.pdf","82391993")</f>
        <v>82391993</v>
      </c>
      <c r="F1880" s="9" t="s">
        <v>5186</v>
      </c>
      <c r="G1880" s="9" t="s">
        <v>5187</v>
      </c>
      <c r="H1880" s="12" t="s">
        <v>5188</v>
      </c>
      <c r="I1880" s="10">
        <v>45632</v>
      </c>
    </row>
    <row r="1881" spans="1:9" x14ac:dyDescent="0.15">
      <c r="A1881" s="9">
        <v>1880</v>
      </c>
      <c r="B1881" s="9" t="s">
        <v>9</v>
      </c>
      <c r="C1881" s="9">
        <v>1926</v>
      </c>
      <c r="D1881" s="10">
        <v>45722</v>
      </c>
      <c r="E1881" s="11" t="str">
        <f>+HYPERLINK("http://trademark.i-assist.jp/data/china/image_1926th/82391998.pdf","82391998")</f>
        <v>82391998</v>
      </c>
      <c r="F1881" s="12" t="s">
        <v>5189</v>
      </c>
      <c r="G1881" s="9" t="s">
        <v>5187</v>
      </c>
      <c r="H1881" s="9" t="s">
        <v>5190</v>
      </c>
      <c r="I1881" s="10">
        <v>45632</v>
      </c>
    </row>
    <row r="1882" spans="1:9" x14ac:dyDescent="0.15">
      <c r="A1882" s="9">
        <v>1881</v>
      </c>
      <c r="B1882" s="9" t="s">
        <v>9</v>
      </c>
      <c r="C1882" s="9">
        <v>1926</v>
      </c>
      <c r="D1882" s="10">
        <v>45722</v>
      </c>
      <c r="E1882" s="11" t="str">
        <f>+HYPERLINK("http://trademark.i-assist.jp/data/china/image_1926th/82392127.pdf","82392127")</f>
        <v>82392127</v>
      </c>
      <c r="F1882" s="9" t="s">
        <v>5191</v>
      </c>
      <c r="G1882" s="9" t="s">
        <v>5112</v>
      </c>
      <c r="H1882" s="9" t="s">
        <v>5192</v>
      </c>
      <c r="I1882" s="10">
        <v>45632</v>
      </c>
    </row>
    <row r="1883" spans="1:9" x14ac:dyDescent="0.15">
      <c r="A1883" s="9">
        <v>1882</v>
      </c>
      <c r="B1883" s="9" t="s">
        <v>9</v>
      </c>
      <c r="C1883" s="9">
        <v>1926</v>
      </c>
      <c r="D1883" s="10">
        <v>45722</v>
      </c>
      <c r="E1883" s="11" t="str">
        <f>+HYPERLINK("http://trademark.i-assist.jp/data/china/image_1926th/82392131.pdf","82392131")</f>
        <v>82392131</v>
      </c>
      <c r="F1883" s="12" t="s">
        <v>5193</v>
      </c>
      <c r="G1883" s="9" t="s">
        <v>5112</v>
      </c>
      <c r="H1883" s="9" t="s">
        <v>5194</v>
      </c>
      <c r="I1883" s="10">
        <v>45632</v>
      </c>
    </row>
    <row r="1884" spans="1:9" x14ac:dyDescent="0.15">
      <c r="A1884" s="9">
        <v>1883</v>
      </c>
      <c r="B1884" s="9" t="s">
        <v>9</v>
      </c>
      <c r="C1884" s="9">
        <v>1926</v>
      </c>
      <c r="D1884" s="10">
        <v>45722</v>
      </c>
      <c r="E1884" s="11" t="str">
        <f>+HYPERLINK("http://trademark.i-assist.jp/data/china/image_1926th/82392156.pdf","82392156")</f>
        <v>82392156</v>
      </c>
      <c r="F1884" s="9" t="s">
        <v>5195</v>
      </c>
      <c r="G1884" s="12" t="s">
        <v>5196</v>
      </c>
      <c r="H1884" s="12" t="s">
        <v>5197</v>
      </c>
      <c r="I1884" s="10">
        <v>45632</v>
      </c>
    </row>
    <row r="1885" spans="1:9" x14ac:dyDescent="0.15">
      <c r="A1885" s="9">
        <v>1884</v>
      </c>
      <c r="B1885" s="9" t="s">
        <v>9</v>
      </c>
      <c r="C1885" s="9">
        <v>1926</v>
      </c>
      <c r="D1885" s="10">
        <v>45722</v>
      </c>
      <c r="E1885" s="11" t="str">
        <f>+HYPERLINK("http://trademark.i-assist.jp/data/china/image_1926th/82392226.pdf","82392226")</f>
        <v>82392226</v>
      </c>
      <c r="F1885" s="9" t="s">
        <v>5198</v>
      </c>
      <c r="G1885" s="9" t="s">
        <v>5199</v>
      </c>
      <c r="H1885" s="9" t="s">
        <v>5200</v>
      </c>
      <c r="I1885" s="10">
        <v>45632</v>
      </c>
    </row>
    <row r="1886" spans="1:9" x14ac:dyDescent="0.15">
      <c r="A1886" s="9">
        <v>1885</v>
      </c>
      <c r="B1886" s="9" t="s">
        <v>9</v>
      </c>
      <c r="C1886" s="9">
        <v>1926</v>
      </c>
      <c r="D1886" s="10">
        <v>45722</v>
      </c>
      <c r="E1886" s="11" t="str">
        <f>+HYPERLINK("http://trademark.i-assist.jp/data/china/image_1926th/82392971.pdf","82392971")</f>
        <v>82392971</v>
      </c>
      <c r="F1886" s="9" t="s">
        <v>5201</v>
      </c>
      <c r="G1886" s="9" t="s">
        <v>5202</v>
      </c>
      <c r="H1886" s="9" t="s">
        <v>5203</v>
      </c>
      <c r="I1886" s="10">
        <v>45632</v>
      </c>
    </row>
    <row r="1887" spans="1:9" x14ac:dyDescent="0.15">
      <c r="A1887" s="9">
        <v>1886</v>
      </c>
      <c r="B1887" s="9" t="s">
        <v>9</v>
      </c>
      <c r="C1887" s="9">
        <v>1926</v>
      </c>
      <c r="D1887" s="10">
        <v>45722</v>
      </c>
      <c r="E1887" s="11" t="str">
        <f>+HYPERLINK("http://trademark.i-assist.jp/data/china/image_1926th/82393203.pdf","82393203")</f>
        <v>82393203</v>
      </c>
      <c r="F1887" s="9" t="s">
        <v>5204</v>
      </c>
      <c r="G1887" s="9" t="s">
        <v>188</v>
      </c>
      <c r="H1887" s="9" t="s">
        <v>5205</v>
      </c>
      <c r="I1887" s="10">
        <v>45632</v>
      </c>
    </row>
    <row r="1888" spans="1:9" x14ac:dyDescent="0.15">
      <c r="A1888" s="9">
        <v>1887</v>
      </c>
      <c r="B1888" s="9" t="s">
        <v>9</v>
      </c>
      <c r="C1888" s="9">
        <v>1926</v>
      </c>
      <c r="D1888" s="10">
        <v>45722</v>
      </c>
      <c r="E1888" s="11" t="str">
        <f>+HYPERLINK("http://trademark.i-assist.jp/data/china/image_1926th/82393268.pdf","82393268")</f>
        <v>82393268</v>
      </c>
      <c r="F1888" s="9" t="s">
        <v>5206</v>
      </c>
      <c r="G1888" s="9" t="s">
        <v>5207</v>
      </c>
      <c r="H1888" s="12" t="s">
        <v>5208</v>
      </c>
      <c r="I1888" s="10">
        <v>45632</v>
      </c>
    </row>
    <row r="1889" spans="1:9" x14ac:dyDescent="0.15">
      <c r="A1889" s="9">
        <v>1888</v>
      </c>
      <c r="B1889" s="9" t="s">
        <v>9</v>
      </c>
      <c r="C1889" s="9">
        <v>1926</v>
      </c>
      <c r="D1889" s="10">
        <v>45722</v>
      </c>
      <c r="E1889" s="11" t="str">
        <f>+HYPERLINK("http://trademark.i-assist.jp/data/china/image_1926th/82393386.pdf","82393386")</f>
        <v>82393386</v>
      </c>
      <c r="F1889" s="9" t="s">
        <v>5209</v>
      </c>
      <c r="G1889" s="9" t="s">
        <v>5210</v>
      </c>
      <c r="H1889" s="9" t="s">
        <v>5211</v>
      </c>
      <c r="I1889" s="10">
        <v>45632</v>
      </c>
    </row>
    <row r="1890" spans="1:9" x14ac:dyDescent="0.15">
      <c r="A1890" s="9">
        <v>1889</v>
      </c>
      <c r="B1890" s="9" t="s">
        <v>9</v>
      </c>
      <c r="C1890" s="9">
        <v>1926</v>
      </c>
      <c r="D1890" s="10">
        <v>45722</v>
      </c>
      <c r="E1890" s="11" t="str">
        <f>+HYPERLINK("http://trademark.i-assist.jp/data/china/image_1926th/82393725.pdf","82393725")</f>
        <v>82393725</v>
      </c>
      <c r="F1890" s="9" t="s">
        <v>5212</v>
      </c>
      <c r="G1890" s="9" t="s">
        <v>5213</v>
      </c>
      <c r="H1890" s="9" t="s">
        <v>5214</v>
      </c>
      <c r="I1890" s="10">
        <v>45632</v>
      </c>
    </row>
    <row r="1891" spans="1:9" x14ac:dyDescent="0.15">
      <c r="A1891" s="9">
        <v>1890</v>
      </c>
      <c r="B1891" s="9" t="s">
        <v>9</v>
      </c>
      <c r="C1891" s="9">
        <v>1926</v>
      </c>
      <c r="D1891" s="10">
        <v>45722</v>
      </c>
      <c r="E1891" s="11" t="str">
        <f>+HYPERLINK("http://trademark.i-assist.jp/data/china/image_1926th/82393736.pdf","82393736")</f>
        <v>82393736</v>
      </c>
      <c r="F1891" s="9" t="s">
        <v>5215</v>
      </c>
      <c r="G1891" s="9" t="s">
        <v>2812</v>
      </c>
      <c r="H1891" s="12" t="s">
        <v>5216</v>
      </c>
      <c r="I1891" s="10">
        <v>45632</v>
      </c>
    </row>
    <row r="1892" spans="1:9" x14ac:dyDescent="0.15">
      <c r="A1892" s="9">
        <v>1891</v>
      </c>
      <c r="B1892" s="9" t="s">
        <v>9</v>
      </c>
      <c r="C1892" s="9">
        <v>1926</v>
      </c>
      <c r="D1892" s="10">
        <v>45722</v>
      </c>
      <c r="E1892" s="11" t="str">
        <f>+HYPERLINK("http://trademark.i-assist.jp/data/china/image_1926th/82393800.pdf","82393800")</f>
        <v>82393800</v>
      </c>
      <c r="F1892" s="9" t="s">
        <v>5217</v>
      </c>
      <c r="G1892" s="9" t="s">
        <v>5218</v>
      </c>
      <c r="H1892" s="9" t="s">
        <v>5219</v>
      </c>
      <c r="I1892" s="10">
        <v>45632</v>
      </c>
    </row>
    <row r="1893" spans="1:9" x14ac:dyDescent="0.15">
      <c r="A1893" s="9">
        <v>1892</v>
      </c>
      <c r="B1893" s="9" t="s">
        <v>9</v>
      </c>
      <c r="C1893" s="9">
        <v>1926</v>
      </c>
      <c r="D1893" s="10">
        <v>45722</v>
      </c>
      <c r="E1893" s="11" t="str">
        <f>+HYPERLINK("http://trademark.i-assist.jp/data/china/image_1926th/82393828.pdf","82393828")</f>
        <v>82393828</v>
      </c>
      <c r="F1893" s="9" t="s">
        <v>5220</v>
      </c>
      <c r="G1893" s="12" t="s">
        <v>5221</v>
      </c>
      <c r="H1893" s="9" t="s">
        <v>5222</v>
      </c>
      <c r="I1893" s="10">
        <v>45632</v>
      </c>
    </row>
    <row r="1894" spans="1:9" x14ac:dyDescent="0.15">
      <c r="A1894" s="9">
        <v>1893</v>
      </c>
      <c r="B1894" s="9" t="s">
        <v>9</v>
      </c>
      <c r="C1894" s="9">
        <v>1926</v>
      </c>
      <c r="D1894" s="10">
        <v>45722</v>
      </c>
      <c r="E1894" s="11" t="str">
        <f>+HYPERLINK("http://trademark.i-assist.jp/data/china/image_1926th/82393864.pdf","82393864")</f>
        <v>82393864</v>
      </c>
      <c r="F1894" s="9" t="s">
        <v>5223</v>
      </c>
      <c r="G1894" s="12" t="s">
        <v>5224</v>
      </c>
      <c r="H1894" s="9" t="s">
        <v>5225</v>
      </c>
      <c r="I1894" s="10">
        <v>45632</v>
      </c>
    </row>
    <row r="1895" spans="1:9" x14ac:dyDescent="0.15">
      <c r="A1895" s="9">
        <v>1894</v>
      </c>
      <c r="B1895" s="9" t="s">
        <v>9</v>
      </c>
      <c r="C1895" s="9">
        <v>1926</v>
      </c>
      <c r="D1895" s="10">
        <v>45722</v>
      </c>
      <c r="E1895" s="11" t="str">
        <f>+HYPERLINK("http://trademark.i-assist.jp/data/china/image_1926th/82393925.pdf","82393925")</f>
        <v>82393925</v>
      </c>
      <c r="F1895" s="9" t="s">
        <v>5226</v>
      </c>
      <c r="G1895" s="12" t="s">
        <v>5224</v>
      </c>
      <c r="H1895" s="9" t="s">
        <v>5227</v>
      </c>
      <c r="I1895" s="10">
        <v>45632</v>
      </c>
    </row>
    <row r="1896" spans="1:9" x14ac:dyDescent="0.15">
      <c r="A1896" s="9">
        <v>1895</v>
      </c>
      <c r="B1896" s="9" t="s">
        <v>9</v>
      </c>
      <c r="C1896" s="9">
        <v>1926</v>
      </c>
      <c r="D1896" s="10">
        <v>45722</v>
      </c>
      <c r="E1896" s="11" t="str">
        <f>+HYPERLINK("http://trademark.i-assist.jp/data/china/image_1926th/82393926.pdf","82393926")</f>
        <v>82393926</v>
      </c>
      <c r="F1896" s="9" t="s">
        <v>5228</v>
      </c>
      <c r="G1896" s="12" t="s">
        <v>5229</v>
      </c>
      <c r="H1896" s="9" t="s">
        <v>5230</v>
      </c>
      <c r="I1896" s="10">
        <v>45632</v>
      </c>
    </row>
    <row r="1897" spans="1:9" x14ac:dyDescent="0.15">
      <c r="A1897" s="9">
        <v>1896</v>
      </c>
      <c r="B1897" s="9" t="s">
        <v>9</v>
      </c>
      <c r="C1897" s="9">
        <v>1926</v>
      </c>
      <c r="D1897" s="10">
        <v>45722</v>
      </c>
      <c r="E1897" s="11" t="str">
        <f>+HYPERLINK("http://trademark.i-assist.jp/data/china/image_1926th/82393952.pdf","82393952")</f>
        <v>82393952</v>
      </c>
      <c r="F1897" s="9" t="s">
        <v>5231</v>
      </c>
      <c r="G1897" s="12" t="s">
        <v>5161</v>
      </c>
      <c r="H1897" s="9" t="s">
        <v>5232</v>
      </c>
      <c r="I1897" s="10">
        <v>45632</v>
      </c>
    </row>
    <row r="1898" spans="1:9" x14ac:dyDescent="0.15">
      <c r="A1898" s="9">
        <v>1897</v>
      </c>
      <c r="B1898" s="9" t="s">
        <v>9</v>
      </c>
      <c r="C1898" s="9">
        <v>1926</v>
      </c>
      <c r="D1898" s="10">
        <v>45722</v>
      </c>
      <c r="E1898" s="11" t="str">
        <f>+HYPERLINK("http://trademark.i-assist.jp/data/china/image_1926th/82393971.pdf","82393971")</f>
        <v>82393971</v>
      </c>
      <c r="F1898" s="12" t="s">
        <v>5233</v>
      </c>
      <c r="G1898" s="12" t="s">
        <v>5234</v>
      </c>
      <c r="H1898" s="9" t="s">
        <v>5235</v>
      </c>
      <c r="I1898" s="10">
        <v>45632</v>
      </c>
    </row>
    <row r="1899" spans="1:9" x14ac:dyDescent="0.15">
      <c r="A1899" s="9">
        <v>1898</v>
      </c>
      <c r="B1899" s="9" t="s">
        <v>9</v>
      </c>
      <c r="C1899" s="9">
        <v>1926</v>
      </c>
      <c r="D1899" s="10">
        <v>45722</v>
      </c>
      <c r="E1899" s="11" t="str">
        <f>+HYPERLINK("http://trademark.i-assist.jp/data/china/image_1926th/82394327.pdf","82394327")</f>
        <v>82394327</v>
      </c>
      <c r="F1899" s="9" t="s">
        <v>5236</v>
      </c>
      <c r="G1899" s="9" t="s">
        <v>5237</v>
      </c>
      <c r="H1899" s="9" t="s">
        <v>5238</v>
      </c>
      <c r="I1899" s="10">
        <v>45632</v>
      </c>
    </row>
    <row r="1900" spans="1:9" x14ac:dyDescent="0.15">
      <c r="A1900" s="9">
        <v>1899</v>
      </c>
      <c r="B1900" s="9" t="s">
        <v>9</v>
      </c>
      <c r="C1900" s="9">
        <v>1926</v>
      </c>
      <c r="D1900" s="10">
        <v>45722</v>
      </c>
      <c r="E1900" s="11" t="str">
        <f>+HYPERLINK("http://trademark.i-assist.jp/data/china/image_1926th/82394354.pdf","82394354")</f>
        <v>82394354</v>
      </c>
      <c r="F1900" s="12" t="s">
        <v>5239</v>
      </c>
      <c r="G1900" s="9" t="s">
        <v>5240</v>
      </c>
      <c r="H1900" s="9" t="s">
        <v>5241</v>
      </c>
      <c r="I1900" s="10">
        <v>45632</v>
      </c>
    </row>
    <row r="1901" spans="1:9" x14ac:dyDescent="0.15">
      <c r="A1901" s="9">
        <v>1900</v>
      </c>
      <c r="B1901" s="9" t="s">
        <v>9</v>
      </c>
      <c r="C1901" s="9">
        <v>1926</v>
      </c>
      <c r="D1901" s="10">
        <v>45722</v>
      </c>
      <c r="E1901" s="11" t="str">
        <f>+HYPERLINK("http://trademark.i-assist.jp/data/china/image_1926th/82394412.pdf","82394412")</f>
        <v>82394412</v>
      </c>
      <c r="F1901" s="9" t="s">
        <v>5242</v>
      </c>
      <c r="G1901" s="9" t="s">
        <v>5243</v>
      </c>
      <c r="H1901" s="9" t="s">
        <v>5244</v>
      </c>
      <c r="I1901" s="10">
        <v>45632</v>
      </c>
    </row>
    <row r="1902" spans="1:9" x14ac:dyDescent="0.15">
      <c r="A1902" s="9">
        <v>1901</v>
      </c>
      <c r="B1902" s="9" t="s">
        <v>9</v>
      </c>
      <c r="C1902" s="9">
        <v>1926</v>
      </c>
      <c r="D1902" s="10">
        <v>45722</v>
      </c>
      <c r="E1902" s="11" t="str">
        <f>+HYPERLINK("http://trademark.i-assist.jp/data/china/image_1926th/82394415.pdf","82394415")</f>
        <v>82394415</v>
      </c>
      <c r="F1902" s="9" t="s">
        <v>5245</v>
      </c>
      <c r="G1902" s="9" t="s">
        <v>5246</v>
      </c>
      <c r="H1902" s="9" t="s">
        <v>5247</v>
      </c>
      <c r="I1902" s="10">
        <v>45632</v>
      </c>
    </row>
    <row r="1903" spans="1:9" x14ac:dyDescent="0.15">
      <c r="A1903" s="9">
        <v>1902</v>
      </c>
      <c r="B1903" s="9" t="s">
        <v>9</v>
      </c>
      <c r="C1903" s="9">
        <v>1926</v>
      </c>
      <c r="D1903" s="10">
        <v>45722</v>
      </c>
      <c r="E1903" s="11" t="str">
        <f>+HYPERLINK("http://trademark.i-assist.jp/data/china/image_1926th/82394572.pdf","82394572")</f>
        <v>82394572</v>
      </c>
      <c r="F1903" s="9" t="s">
        <v>5248</v>
      </c>
      <c r="G1903" s="9" t="s">
        <v>5249</v>
      </c>
      <c r="H1903" s="9" t="s">
        <v>5250</v>
      </c>
      <c r="I1903" s="10">
        <v>45632</v>
      </c>
    </row>
    <row r="1904" spans="1:9" x14ac:dyDescent="0.15">
      <c r="A1904" s="9">
        <v>1903</v>
      </c>
      <c r="B1904" s="9" t="s">
        <v>9</v>
      </c>
      <c r="C1904" s="9">
        <v>1926</v>
      </c>
      <c r="D1904" s="10">
        <v>45722</v>
      </c>
      <c r="E1904" s="11" t="str">
        <f>+HYPERLINK("http://trademark.i-assist.jp/data/china/image_1926th/82394959.pdf","82394959")</f>
        <v>82394959</v>
      </c>
      <c r="F1904" s="9" t="s">
        <v>5251</v>
      </c>
      <c r="G1904" s="9" t="s">
        <v>1517</v>
      </c>
      <c r="H1904" s="9" t="s">
        <v>5252</v>
      </c>
      <c r="I1904" s="10">
        <v>45632</v>
      </c>
    </row>
    <row r="1905" spans="1:9" x14ac:dyDescent="0.15">
      <c r="A1905" s="9">
        <v>1904</v>
      </c>
      <c r="B1905" s="9" t="s">
        <v>9</v>
      </c>
      <c r="C1905" s="9">
        <v>1926</v>
      </c>
      <c r="D1905" s="10">
        <v>45722</v>
      </c>
      <c r="E1905" s="11" t="str">
        <f>+HYPERLINK("http://trademark.i-assist.jp/data/china/image_1926th/82394995.pdf","82394995")</f>
        <v>82394995</v>
      </c>
      <c r="F1905" s="9" t="s">
        <v>5253</v>
      </c>
      <c r="G1905" s="9" t="s">
        <v>5254</v>
      </c>
      <c r="H1905" s="12" t="s">
        <v>5255</v>
      </c>
      <c r="I1905" s="10">
        <v>45632</v>
      </c>
    </row>
    <row r="1906" spans="1:9" x14ac:dyDescent="0.15">
      <c r="A1906" s="9">
        <v>1905</v>
      </c>
      <c r="B1906" s="9" t="s">
        <v>9</v>
      </c>
      <c r="C1906" s="9">
        <v>1926</v>
      </c>
      <c r="D1906" s="10">
        <v>45722</v>
      </c>
      <c r="E1906" s="11" t="str">
        <f>+HYPERLINK("http://trademark.i-assist.jp/data/china/image_1926th/82395185.pdf","82395185")</f>
        <v>82395185</v>
      </c>
      <c r="F1906" s="9" t="s">
        <v>5256</v>
      </c>
      <c r="G1906" s="9" t="s">
        <v>5112</v>
      </c>
      <c r="H1906" s="9" t="s">
        <v>5257</v>
      </c>
      <c r="I1906" s="10">
        <v>45632</v>
      </c>
    </row>
    <row r="1907" spans="1:9" x14ac:dyDescent="0.15">
      <c r="A1907" s="9">
        <v>1906</v>
      </c>
      <c r="B1907" s="9" t="s">
        <v>9</v>
      </c>
      <c r="C1907" s="9">
        <v>1926</v>
      </c>
      <c r="D1907" s="10">
        <v>45722</v>
      </c>
      <c r="E1907" s="11" t="str">
        <f>+HYPERLINK("http://trademark.i-assist.jp/data/china/image_1926th/82395462.pdf","82395462")</f>
        <v>82395462</v>
      </c>
      <c r="F1907" s="12" t="s">
        <v>5258</v>
      </c>
      <c r="G1907" s="9" t="s">
        <v>82</v>
      </c>
      <c r="H1907" s="9" t="s">
        <v>5259</v>
      </c>
      <c r="I1907" s="10">
        <v>45632</v>
      </c>
    </row>
    <row r="1908" spans="1:9" x14ac:dyDescent="0.15">
      <c r="A1908" s="9">
        <v>1907</v>
      </c>
      <c r="B1908" s="9" t="s">
        <v>9</v>
      </c>
      <c r="C1908" s="9">
        <v>1926</v>
      </c>
      <c r="D1908" s="10">
        <v>45722</v>
      </c>
      <c r="E1908" s="11" t="str">
        <f>+HYPERLINK("http://trademark.i-assist.jp/data/china/image_1926th/82395625.pdf","82395625")</f>
        <v>82395625</v>
      </c>
      <c r="F1908" s="9" t="s">
        <v>5260</v>
      </c>
      <c r="G1908" s="12" t="s">
        <v>5261</v>
      </c>
      <c r="H1908" s="12" t="s">
        <v>5262</v>
      </c>
      <c r="I1908" s="10">
        <v>45632</v>
      </c>
    </row>
    <row r="1909" spans="1:9" x14ac:dyDescent="0.15">
      <c r="A1909" s="9">
        <v>1908</v>
      </c>
      <c r="B1909" s="9" t="s">
        <v>9</v>
      </c>
      <c r="C1909" s="9">
        <v>1926</v>
      </c>
      <c r="D1909" s="10">
        <v>45722</v>
      </c>
      <c r="E1909" s="11" t="str">
        <f>+HYPERLINK("http://trademark.i-assist.jp/data/china/image_1926th/82395772.pdf","82395772")</f>
        <v>82395772</v>
      </c>
      <c r="F1909" s="9" t="s">
        <v>5263</v>
      </c>
      <c r="G1909" s="9" t="s">
        <v>5210</v>
      </c>
      <c r="H1909" s="9" t="s">
        <v>5264</v>
      </c>
      <c r="I1909" s="10">
        <v>45632</v>
      </c>
    </row>
    <row r="1910" spans="1:9" x14ac:dyDescent="0.15">
      <c r="A1910" s="9">
        <v>1909</v>
      </c>
      <c r="B1910" s="9" t="s">
        <v>9</v>
      </c>
      <c r="C1910" s="9">
        <v>1926</v>
      </c>
      <c r="D1910" s="10">
        <v>45722</v>
      </c>
      <c r="E1910" s="11" t="str">
        <f>+HYPERLINK("http://trademark.i-assist.jp/data/china/image_1926th/82395980.pdf","82395980")</f>
        <v>82395980</v>
      </c>
      <c r="F1910" s="12" t="s">
        <v>20</v>
      </c>
      <c r="G1910" s="9" t="s">
        <v>5265</v>
      </c>
      <c r="H1910" s="9" t="s">
        <v>5266</v>
      </c>
      <c r="I1910" s="10">
        <v>45632</v>
      </c>
    </row>
    <row r="1911" spans="1:9" x14ac:dyDescent="0.15">
      <c r="A1911" s="9">
        <v>1910</v>
      </c>
      <c r="B1911" s="9" t="s">
        <v>9</v>
      </c>
      <c r="C1911" s="9">
        <v>1926</v>
      </c>
      <c r="D1911" s="10">
        <v>45722</v>
      </c>
      <c r="E1911" s="11" t="str">
        <f>+HYPERLINK("http://trademark.i-assist.jp/data/china/image_1926th/82396204.pdf","82396204")</f>
        <v>82396204</v>
      </c>
      <c r="F1911" s="9" t="s">
        <v>5267</v>
      </c>
      <c r="G1911" s="9" t="s">
        <v>5268</v>
      </c>
      <c r="H1911" s="12" t="s">
        <v>5269</v>
      </c>
      <c r="I1911" s="10">
        <v>45632</v>
      </c>
    </row>
    <row r="1912" spans="1:9" x14ac:dyDescent="0.15">
      <c r="A1912" s="9">
        <v>1911</v>
      </c>
      <c r="B1912" s="9" t="s">
        <v>9</v>
      </c>
      <c r="C1912" s="9">
        <v>1926</v>
      </c>
      <c r="D1912" s="10">
        <v>45722</v>
      </c>
      <c r="E1912" s="11" t="str">
        <f>+HYPERLINK("http://trademark.i-assist.jp/data/china/image_1926th/82396813.pdf","82396813")</f>
        <v>82396813</v>
      </c>
      <c r="F1912" s="12" t="s">
        <v>5233</v>
      </c>
      <c r="G1912" s="12" t="s">
        <v>5234</v>
      </c>
      <c r="H1912" s="9" t="s">
        <v>5270</v>
      </c>
      <c r="I1912" s="10">
        <v>45632</v>
      </c>
    </row>
    <row r="1913" spans="1:9" x14ac:dyDescent="0.15">
      <c r="A1913" s="9">
        <v>1912</v>
      </c>
      <c r="B1913" s="9" t="s">
        <v>9</v>
      </c>
      <c r="C1913" s="9">
        <v>1926</v>
      </c>
      <c r="D1913" s="10">
        <v>45722</v>
      </c>
      <c r="E1913" s="11" t="str">
        <f>+HYPERLINK("http://trademark.i-assist.jp/data/china/image_1926th/82397079.pdf","82397079")</f>
        <v>82397079</v>
      </c>
      <c r="F1913" s="9" t="s">
        <v>5271</v>
      </c>
      <c r="G1913" s="9" t="s">
        <v>5272</v>
      </c>
      <c r="H1913" s="9" t="s">
        <v>5273</v>
      </c>
      <c r="I1913" s="10">
        <v>45632</v>
      </c>
    </row>
    <row r="1914" spans="1:9" x14ac:dyDescent="0.15">
      <c r="A1914" s="9">
        <v>1913</v>
      </c>
      <c r="B1914" s="9" t="s">
        <v>9</v>
      </c>
      <c r="C1914" s="9">
        <v>1926</v>
      </c>
      <c r="D1914" s="10">
        <v>45722</v>
      </c>
      <c r="E1914" s="11" t="str">
        <f>+HYPERLINK("http://trademark.i-assist.jp/data/china/image_1926th/82397121.pdf","82397121")</f>
        <v>82397121</v>
      </c>
      <c r="F1914" s="9" t="s">
        <v>5274</v>
      </c>
      <c r="G1914" s="12" t="s">
        <v>5275</v>
      </c>
      <c r="H1914" s="9" t="s">
        <v>5276</v>
      </c>
      <c r="I1914" s="10">
        <v>45632</v>
      </c>
    </row>
    <row r="1915" spans="1:9" x14ac:dyDescent="0.15">
      <c r="A1915" s="9">
        <v>1914</v>
      </c>
      <c r="B1915" s="9" t="s">
        <v>9</v>
      </c>
      <c r="C1915" s="9">
        <v>1926</v>
      </c>
      <c r="D1915" s="10">
        <v>45722</v>
      </c>
      <c r="E1915" s="11" t="str">
        <f>+HYPERLINK("http://trademark.i-assist.jp/data/china/image_1926th/82397158.pdf","82397158")</f>
        <v>82397158</v>
      </c>
      <c r="F1915" s="9" t="s">
        <v>5277</v>
      </c>
      <c r="G1915" s="9" t="s">
        <v>5278</v>
      </c>
      <c r="H1915" s="9" t="s">
        <v>5279</v>
      </c>
      <c r="I1915" s="10">
        <v>45632</v>
      </c>
    </row>
    <row r="1916" spans="1:9" x14ac:dyDescent="0.15">
      <c r="A1916" s="9">
        <v>1915</v>
      </c>
      <c r="B1916" s="9" t="s">
        <v>9</v>
      </c>
      <c r="C1916" s="9">
        <v>1926</v>
      </c>
      <c r="D1916" s="10">
        <v>45722</v>
      </c>
      <c r="E1916" s="11" t="str">
        <f>+HYPERLINK("http://trademark.i-assist.jp/data/china/image_1926th/82397190.pdf","82397190")</f>
        <v>82397190</v>
      </c>
      <c r="F1916" s="12" t="s">
        <v>5280</v>
      </c>
      <c r="G1916" s="9" t="s">
        <v>5281</v>
      </c>
      <c r="H1916" s="12" t="s">
        <v>5282</v>
      </c>
      <c r="I1916" s="10">
        <v>45632</v>
      </c>
    </row>
    <row r="1917" spans="1:9" x14ac:dyDescent="0.15">
      <c r="A1917" s="9">
        <v>1916</v>
      </c>
      <c r="B1917" s="9" t="s">
        <v>9</v>
      </c>
      <c r="C1917" s="9">
        <v>1926</v>
      </c>
      <c r="D1917" s="10">
        <v>45722</v>
      </c>
      <c r="E1917" s="11" t="str">
        <f>+HYPERLINK("http://trademark.i-assist.jp/data/china/image_1926th/82397633.pdf","82397633")</f>
        <v>82397633</v>
      </c>
      <c r="F1917" s="9" t="s">
        <v>5283</v>
      </c>
      <c r="G1917" s="9" t="s">
        <v>5284</v>
      </c>
      <c r="H1917" s="9" t="s">
        <v>5285</v>
      </c>
      <c r="I1917" s="10">
        <v>45632</v>
      </c>
    </row>
    <row r="1918" spans="1:9" x14ac:dyDescent="0.15">
      <c r="A1918" s="9">
        <v>1917</v>
      </c>
      <c r="B1918" s="9" t="s">
        <v>9</v>
      </c>
      <c r="C1918" s="9">
        <v>1926</v>
      </c>
      <c r="D1918" s="10">
        <v>45722</v>
      </c>
      <c r="E1918" s="11" t="str">
        <f>+HYPERLINK("http://trademark.i-assist.jp/data/china/image_1926th/82398012.pdf","82398012")</f>
        <v>82398012</v>
      </c>
      <c r="F1918" s="9" t="s">
        <v>5286</v>
      </c>
      <c r="G1918" s="12" t="s">
        <v>5287</v>
      </c>
      <c r="H1918" s="9" t="s">
        <v>5288</v>
      </c>
      <c r="I1918" s="10">
        <v>45632</v>
      </c>
    </row>
    <row r="1919" spans="1:9" x14ac:dyDescent="0.15">
      <c r="A1919" s="9">
        <v>1918</v>
      </c>
      <c r="B1919" s="9" t="s">
        <v>9</v>
      </c>
      <c r="C1919" s="9">
        <v>1926</v>
      </c>
      <c r="D1919" s="10">
        <v>45722</v>
      </c>
      <c r="E1919" s="11" t="str">
        <f>+HYPERLINK("http://trademark.i-assist.jp/data/china/image_1926th/82398025.pdf","82398025")</f>
        <v>82398025</v>
      </c>
      <c r="F1919" s="9" t="s">
        <v>5289</v>
      </c>
      <c r="G1919" s="9" t="s">
        <v>5290</v>
      </c>
      <c r="H1919" s="9" t="s">
        <v>5291</v>
      </c>
      <c r="I1919" s="10">
        <v>45632</v>
      </c>
    </row>
    <row r="1920" spans="1:9" x14ac:dyDescent="0.15">
      <c r="A1920" s="9">
        <v>1919</v>
      </c>
      <c r="B1920" s="9" t="s">
        <v>9</v>
      </c>
      <c r="C1920" s="9">
        <v>1926</v>
      </c>
      <c r="D1920" s="10">
        <v>45722</v>
      </c>
      <c r="E1920" s="11" t="str">
        <f>+HYPERLINK("http://trademark.i-assist.jp/data/china/image_1926th/82398077.pdf","82398077")</f>
        <v>82398077</v>
      </c>
      <c r="F1920" s="12" t="s">
        <v>5292</v>
      </c>
      <c r="G1920" s="12" t="s">
        <v>159</v>
      </c>
      <c r="H1920" s="9" t="s">
        <v>5293</v>
      </c>
      <c r="I1920" s="10">
        <v>45632</v>
      </c>
    </row>
    <row r="1921" spans="1:9" x14ac:dyDescent="0.15">
      <c r="A1921" s="9">
        <v>1920</v>
      </c>
      <c r="B1921" s="9" t="s">
        <v>9</v>
      </c>
      <c r="C1921" s="9">
        <v>1926</v>
      </c>
      <c r="D1921" s="10">
        <v>45722</v>
      </c>
      <c r="E1921" s="11" t="str">
        <f>+HYPERLINK("http://trademark.i-assist.jp/data/china/image_1926th/82398309.pdf","82398309")</f>
        <v>82398309</v>
      </c>
      <c r="F1921" s="9" t="s">
        <v>5294</v>
      </c>
      <c r="G1921" s="12" t="s">
        <v>151</v>
      </c>
      <c r="H1921" s="9" t="s">
        <v>5295</v>
      </c>
      <c r="I1921" s="10">
        <v>45632</v>
      </c>
    </row>
    <row r="1922" spans="1:9" x14ac:dyDescent="0.15">
      <c r="A1922" s="9">
        <v>1921</v>
      </c>
      <c r="B1922" s="9" t="s">
        <v>9</v>
      </c>
      <c r="C1922" s="9">
        <v>1926</v>
      </c>
      <c r="D1922" s="10">
        <v>45722</v>
      </c>
      <c r="E1922" s="11" t="str">
        <f>+HYPERLINK("http://trademark.i-assist.jp/data/china/image_1926th/82398645.pdf","82398645")</f>
        <v>82398645</v>
      </c>
      <c r="F1922" s="9" t="s">
        <v>5296</v>
      </c>
      <c r="G1922" s="9" t="s">
        <v>5297</v>
      </c>
      <c r="H1922" s="9" t="s">
        <v>5298</v>
      </c>
      <c r="I1922" s="10">
        <v>45632</v>
      </c>
    </row>
    <row r="1923" spans="1:9" x14ac:dyDescent="0.15">
      <c r="A1923" s="9">
        <v>1922</v>
      </c>
      <c r="B1923" s="9" t="s">
        <v>9</v>
      </c>
      <c r="C1923" s="9">
        <v>1926</v>
      </c>
      <c r="D1923" s="10">
        <v>45722</v>
      </c>
      <c r="E1923" s="11" t="str">
        <f>+HYPERLINK("http://trademark.i-assist.jp/data/china/image_1926th/82398930.pdf","82398930")</f>
        <v>82398930</v>
      </c>
      <c r="F1923" s="9" t="s">
        <v>5299</v>
      </c>
      <c r="G1923" s="9" t="s">
        <v>5300</v>
      </c>
      <c r="H1923" s="9" t="s">
        <v>5301</v>
      </c>
      <c r="I1923" s="10">
        <v>45632</v>
      </c>
    </row>
    <row r="1924" spans="1:9" x14ac:dyDescent="0.15">
      <c r="A1924" s="9">
        <v>1923</v>
      </c>
      <c r="B1924" s="9" t="s">
        <v>9</v>
      </c>
      <c r="C1924" s="9">
        <v>1926</v>
      </c>
      <c r="D1924" s="10">
        <v>45722</v>
      </c>
      <c r="E1924" s="11" t="str">
        <f>+HYPERLINK("http://trademark.i-assist.jp/data/china/image_1926th/82399199.pdf","82399199")</f>
        <v>82399199</v>
      </c>
      <c r="F1924" s="9" t="s">
        <v>5302</v>
      </c>
      <c r="G1924" s="12" t="s">
        <v>5303</v>
      </c>
      <c r="H1924" s="9" t="s">
        <v>5304</v>
      </c>
      <c r="I1924" s="10">
        <v>45632</v>
      </c>
    </row>
    <row r="1925" spans="1:9" x14ac:dyDescent="0.15">
      <c r="A1925" s="9">
        <v>1924</v>
      </c>
      <c r="B1925" s="9" t="s">
        <v>9</v>
      </c>
      <c r="C1925" s="9">
        <v>1926</v>
      </c>
      <c r="D1925" s="10">
        <v>45722</v>
      </c>
      <c r="E1925" s="11" t="str">
        <f>+HYPERLINK("http://trademark.i-assist.jp/data/china/image_1926th/82399359.pdf","82399359")</f>
        <v>82399359</v>
      </c>
      <c r="F1925" s="9" t="s">
        <v>5305</v>
      </c>
      <c r="G1925" s="9" t="s">
        <v>90</v>
      </c>
      <c r="H1925" s="9" t="s">
        <v>5306</v>
      </c>
      <c r="I1925" s="10">
        <v>45632</v>
      </c>
    </row>
    <row r="1926" spans="1:9" x14ac:dyDescent="0.15">
      <c r="A1926" s="9">
        <v>1925</v>
      </c>
      <c r="B1926" s="9" t="s">
        <v>9</v>
      </c>
      <c r="C1926" s="9">
        <v>1926</v>
      </c>
      <c r="D1926" s="10">
        <v>45722</v>
      </c>
      <c r="E1926" s="11" t="str">
        <f>+HYPERLINK("http://trademark.i-assist.jp/data/china/image_1926th/82399428.pdf","82399428")</f>
        <v>82399428</v>
      </c>
      <c r="F1926" s="9" t="s">
        <v>5307</v>
      </c>
      <c r="G1926" s="12" t="s">
        <v>5308</v>
      </c>
      <c r="H1926" s="9" t="s">
        <v>5309</v>
      </c>
      <c r="I1926" s="10">
        <v>45632</v>
      </c>
    </row>
    <row r="1927" spans="1:9" x14ac:dyDescent="0.15">
      <c r="A1927" s="9">
        <v>1926</v>
      </c>
      <c r="B1927" s="9" t="s">
        <v>9</v>
      </c>
      <c r="C1927" s="9">
        <v>1926</v>
      </c>
      <c r="D1927" s="10">
        <v>45722</v>
      </c>
      <c r="E1927" s="11" t="str">
        <f>+HYPERLINK("http://trademark.i-assist.jp/data/china/image_1926th/82399715.pdf","82399715")</f>
        <v>82399715</v>
      </c>
      <c r="F1927" s="9" t="s">
        <v>5310</v>
      </c>
      <c r="G1927" s="12" t="s">
        <v>5311</v>
      </c>
      <c r="H1927" s="9" t="s">
        <v>5312</v>
      </c>
      <c r="I1927" s="10">
        <v>45632</v>
      </c>
    </row>
    <row r="1928" spans="1:9" x14ac:dyDescent="0.15">
      <c r="A1928" s="9">
        <v>1927</v>
      </c>
      <c r="B1928" s="9" t="s">
        <v>9</v>
      </c>
      <c r="C1928" s="9">
        <v>1926</v>
      </c>
      <c r="D1928" s="10">
        <v>45722</v>
      </c>
      <c r="E1928" s="11" t="str">
        <f>+HYPERLINK("http://trademark.i-assist.jp/data/china/image_1926th/82399755.pdf","82399755")</f>
        <v>82399755</v>
      </c>
      <c r="F1928" s="9" t="s">
        <v>5313</v>
      </c>
      <c r="G1928" s="9" t="s">
        <v>5314</v>
      </c>
      <c r="H1928" s="9" t="s">
        <v>5315</v>
      </c>
      <c r="I1928" s="10">
        <v>45632</v>
      </c>
    </row>
    <row r="1929" spans="1:9" x14ac:dyDescent="0.15">
      <c r="A1929" s="9">
        <v>1928</v>
      </c>
      <c r="B1929" s="9" t="s">
        <v>9</v>
      </c>
      <c r="C1929" s="9">
        <v>1926</v>
      </c>
      <c r="D1929" s="10">
        <v>45722</v>
      </c>
      <c r="E1929" s="11" t="str">
        <f>+HYPERLINK("http://trademark.i-assist.jp/data/china/image_1926th/82399818.pdf","82399818")</f>
        <v>82399818</v>
      </c>
      <c r="F1929" s="9" t="s">
        <v>5316</v>
      </c>
      <c r="G1929" s="9" t="s">
        <v>5317</v>
      </c>
      <c r="H1929" s="12" t="s">
        <v>5318</v>
      </c>
      <c r="I1929" s="10">
        <v>45632</v>
      </c>
    </row>
    <row r="1930" spans="1:9" x14ac:dyDescent="0.15">
      <c r="A1930" s="9">
        <v>1929</v>
      </c>
      <c r="B1930" s="9" t="s">
        <v>9</v>
      </c>
      <c r="C1930" s="9">
        <v>1926</v>
      </c>
      <c r="D1930" s="10">
        <v>45722</v>
      </c>
      <c r="E1930" s="11" t="str">
        <f>+HYPERLINK("http://trademark.i-assist.jp/data/china/image_1926th/82399919.pdf","82399919")</f>
        <v>82399919</v>
      </c>
      <c r="F1930" s="9" t="s">
        <v>5319</v>
      </c>
      <c r="G1930" s="12" t="s">
        <v>5161</v>
      </c>
      <c r="H1930" s="9" t="s">
        <v>5320</v>
      </c>
      <c r="I1930" s="10">
        <v>45632</v>
      </c>
    </row>
    <row r="1931" spans="1:9" x14ac:dyDescent="0.15">
      <c r="A1931" s="9">
        <v>1930</v>
      </c>
      <c r="B1931" s="9" t="s">
        <v>9</v>
      </c>
      <c r="C1931" s="9">
        <v>1926</v>
      </c>
      <c r="D1931" s="10">
        <v>45722</v>
      </c>
      <c r="E1931" s="11" t="str">
        <f>+HYPERLINK("http://trademark.i-assist.jp/data/china/image_1926th/82399999.pdf","82399999")</f>
        <v>82399999</v>
      </c>
      <c r="F1931" s="9" t="s">
        <v>190</v>
      </c>
      <c r="G1931" s="12" t="s">
        <v>191</v>
      </c>
      <c r="H1931" s="9" t="s">
        <v>5321</v>
      </c>
      <c r="I1931" s="10">
        <v>45632</v>
      </c>
    </row>
    <row r="1932" spans="1:9" x14ac:dyDescent="0.15">
      <c r="A1932" s="9">
        <v>1931</v>
      </c>
      <c r="B1932" s="9" t="s">
        <v>9</v>
      </c>
      <c r="C1932" s="9">
        <v>1926</v>
      </c>
      <c r="D1932" s="10">
        <v>45722</v>
      </c>
      <c r="E1932" s="11" t="str">
        <f>+HYPERLINK("http://trademark.i-assist.jp/data/china/image_1926th/82400005.pdf","82400005")</f>
        <v>82400005</v>
      </c>
      <c r="F1932" s="9" t="s">
        <v>5322</v>
      </c>
      <c r="G1932" s="12" t="s">
        <v>78</v>
      </c>
      <c r="H1932" s="9" t="s">
        <v>5323</v>
      </c>
      <c r="I1932" s="10">
        <v>45632</v>
      </c>
    </row>
    <row r="1933" spans="1:9" x14ac:dyDescent="0.15">
      <c r="A1933" s="9">
        <v>1932</v>
      </c>
      <c r="B1933" s="9" t="s">
        <v>9</v>
      </c>
      <c r="C1933" s="9">
        <v>1926</v>
      </c>
      <c r="D1933" s="10">
        <v>45722</v>
      </c>
      <c r="E1933" s="11" t="str">
        <f>+HYPERLINK("http://trademark.i-assist.jp/data/china/image_1926th/82400006.pdf","82400006")</f>
        <v>82400006</v>
      </c>
      <c r="F1933" s="9" t="s">
        <v>5324</v>
      </c>
      <c r="G1933" s="9" t="s">
        <v>5325</v>
      </c>
      <c r="H1933" s="9" t="s">
        <v>5326</v>
      </c>
      <c r="I1933" s="10">
        <v>45632</v>
      </c>
    </row>
    <row r="1934" spans="1:9" x14ac:dyDescent="0.15">
      <c r="A1934" s="9">
        <v>1933</v>
      </c>
      <c r="B1934" s="9" t="s">
        <v>9</v>
      </c>
      <c r="C1934" s="9">
        <v>1926</v>
      </c>
      <c r="D1934" s="10">
        <v>45722</v>
      </c>
      <c r="E1934" s="11" t="str">
        <f>+HYPERLINK("http://trademark.i-assist.jp/data/china/image_1926th/82400027.pdf","82400027")</f>
        <v>82400027</v>
      </c>
      <c r="F1934" s="9" t="s">
        <v>5327</v>
      </c>
      <c r="G1934" s="9" t="s">
        <v>5328</v>
      </c>
      <c r="H1934" s="9" t="s">
        <v>5329</v>
      </c>
      <c r="I1934" s="10">
        <v>45632</v>
      </c>
    </row>
    <row r="1935" spans="1:9" x14ac:dyDescent="0.15">
      <c r="A1935" s="9">
        <v>1934</v>
      </c>
      <c r="B1935" s="9" t="s">
        <v>9</v>
      </c>
      <c r="C1935" s="9">
        <v>1926</v>
      </c>
      <c r="D1935" s="10">
        <v>45722</v>
      </c>
      <c r="E1935" s="11" t="str">
        <f>+HYPERLINK("http://trademark.i-assist.jp/data/china/image_1926th/82400105.pdf","82400105")</f>
        <v>82400105</v>
      </c>
      <c r="F1935" s="9" t="s">
        <v>5330</v>
      </c>
      <c r="G1935" s="12" t="s">
        <v>5331</v>
      </c>
      <c r="H1935" s="9" t="s">
        <v>5332</v>
      </c>
      <c r="I1935" s="10">
        <v>45632</v>
      </c>
    </row>
    <row r="1936" spans="1:9" x14ac:dyDescent="0.15">
      <c r="A1936" s="9">
        <v>1935</v>
      </c>
      <c r="B1936" s="9" t="s">
        <v>9</v>
      </c>
      <c r="C1936" s="9">
        <v>1926</v>
      </c>
      <c r="D1936" s="10">
        <v>45722</v>
      </c>
      <c r="E1936" s="11" t="str">
        <f>+HYPERLINK("http://trademark.i-assist.jp/data/china/image_1926th/82400117.pdf","82400117")</f>
        <v>82400117</v>
      </c>
      <c r="F1936" s="9" t="s">
        <v>5333</v>
      </c>
      <c r="G1936" s="12" t="s">
        <v>5331</v>
      </c>
      <c r="H1936" s="9" t="s">
        <v>5334</v>
      </c>
      <c r="I1936" s="10">
        <v>45632</v>
      </c>
    </row>
    <row r="1937" spans="1:9" x14ac:dyDescent="0.15">
      <c r="A1937" s="9">
        <v>1936</v>
      </c>
      <c r="B1937" s="9" t="s">
        <v>9</v>
      </c>
      <c r="C1937" s="9">
        <v>1926</v>
      </c>
      <c r="D1937" s="10">
        <v>45722</v>
      </c>
      <c r="E1937" s="11" t="str">
        <f>+HYPERLINK("http://trademark.i-assist.jp/data/china/image_1926th/82400158.pdf","82400158")</f>
        <v>82400158</v>
      </c>
      <c r="F1937" s="12" t="s">
        <v>5335</v>
      </c>
      <c r="G1937" s="9" t="s">
        <v>5336</v>
      </c>
      <c r="H1937" s="9" t="s">
        <v>5337</v>
      </c>
      <c r="I1937" s="10">
        <v>45632</v>
      </c>
    </row>
    <row r="1938" spans="1:9" x14ac:dyDescent="0.15">
      <c r="A1938" s="9">
        <v>1937</v>
      </c>
      <c r="B1938" s="9" t="s">
        <v>9</v>
      </c>
      <c r="C1938" s="9">
        <v>1926</v>
      </c>
      <c r="D1938" s="10">
        <v>45722</v>
      </c>
      <c r="E1938" s="11" t="str">
        <f>+HYPERLINK("http://trademark.i-assist.jp/data/china/image_1926th/82400628.pdf","82400628")</f>
        <v>82400628</v>
      </c>
      <c r="F1938" s="9" t="s">
        <v>5338</v>
      </c>
      <c r="G1938" s="12" t="s">
        <v>5331</v>
      </c>
      <c r="H1938" s="9" t="s">
        <v>5339</v>
      </c>
      <c r="I1938" s="10">
        <v>45632</v>
      </c>
    </row>
    <row r="1939" spans="1:9" x14ac:dyDescent="0.15">
      <c r="A1939" s="9">
        <v>1938</v>
      </c>
      <c r="B1939" s="9" t="s">
        <v>9</v>
      </c>
      <c r="C1939" s="9">
        <v>1926</v>
      </c>
      <c r="D1939" s="10">
        <v>45722</v>
      </c>
      <c r="E1939" s="11" t="str">
        <f>+HYPERLINK("http://trademark.i-assist.jp/data/china/image_1926th/82401275.pdf","82401275")</f>
        <v>82401275</v>
      </c>
      <c r="F1939" s="9" t="s">
        <v>5340</v>
      </c>
      <c r="G1939" s="9" t="s">
        <v>5341</v>
      </c>
      <c r="H1939" s="9" t="s">
        <v>5342</v>
      </c>
      <c r="I1939" s="10">
        <v>45632</v>
      </c>
    </row>
    <row r="1940" spans="1:9" x14ac:dyDescent="0.15">
      <c r="A1940" s="9">
        <v>1939</v>
      </c>
      <c r="B1940" s="9" t="s">
        <v>9</v>
      </c>
      <c r="C1940" s="9">
        <v>1926</v>
      </c>
      <c r="D1940" s="10">
        <v>45722</v>
      </c>
      <c r="E1940" s="11" t="str">
        <f>+HYPERLINK("http://trademark.i-assist.jp/data/china/image_1926th/82401452.pdf","82401452")</f>
        <v>82401452</v>
      </c>
      <c r="F1940" s="9" t="s">
        <v>5343</v>
      </c>
      <c r="G1940" s="12" t="s">
        <v>5344</v>
      </c>
      <c r="H1940" s="9" t="s">
        <v>5345</v>
      </c>
      <c r="I1940" s="10">
        <v>45632</v>
      </c>
    </row>
    <row r="1941" spans="1:9" x14ac:dyDescent="0.15">
      <c r="A1941" s="9">
        <v>1940</v>
      </c>
      <c r="B1941" s="9" t="s">
        <v>9</v>
      </c>
      <c r="C1941" s="9">
        <v>1926</v>
      </c>
      <c r="D1941" s="10">
        <v>45722</v>
      </c>
      <c r="E1941" s="11" t="str">
        <f>+HYPERLINK("http://trademark.i-assist.jp/data/china/image_1926th/82401716.pdf","82401716")</f>
        <v>82401716</v>
      </c>
      <c r="F1941" s="12" t="s">
        <v>5346</v>
      </c>
      <c r="G1941" s="9" t="s">
        <v>5347</v>
      </c>
      <c r="H1941" s="9" t="s">
        <v>5348</v>
      </c>
      <c r="I1941" s="10">
        <v>45632</v>
      </c>
    </row>
    <row r="1942" spans="1:9" x14ac:dyDescent="0.15">
      <c r="A1942" s="9">
        <v>1941</v>
      </c>
      <c r="B1942" s="9" t="s">
        <v>9</v>
      </c>
      <c r="C1942" s="9">
        <v>1926</v>
      </c>
      <c r="D1942" s="10">
        <v>45722</v>
      </c>
      <c r="E1942" s="11" t="str">
        <f>+HYPERLINK("http://trademark.i-assist.jp/data/china/image_1926th/82401796.pdf","82401796")</f>
        <v>82401796</v>
      </c>
      <c r="F1942" s="9" t="s">
        <v>5349</v>
      </c>
      <c r="G1942" s="12" t="s">
        <v>5224</v>
      </c>
      <c r="H1942" s="9" t="s">
        <v>5350</v>
      </c>
      <c r="I1942" s="10">
        <v>45632</v>
      </c>
    </row>
    <row r="1943" spans="1:9" x14ac:dyDescent="0.15">
      <c r="A1943" s="9">
        <v>1942</v>
      </c>
      <c r="B1943" s="9" t="s">
        <v>9</v>
      </c>
      <c r="C1943" s="9">
        <v>1926</v>
      </c>
      <c r="D1943" s="10">
        <v>45722</v>
      </c>
      <c r="E1943" s="11" t="str">
        <f>+HYPERLINK("http://trademark.i-assist.jp/data/china/image_1926th/82401858.pdf","82401858")</f>
        <v>82401858</v>
      </c>
      <c r="F1943" s="9" t="s">
        <v>5351</v>
      </c>
      <c r="G1943" s="12" t="s">
        <v>5352</v>
      </c>
      <c r="H1943" s="9" t="s">
        <v>5353</v>
      </c>
      <c r="I1943" s="10">
        <v>45632</v>
      </c>
    </row>
    <row r="1944" spans="1:9" x14ac:dyDescent="0.15">
      <c r="A1944" s="9">
        <v>1943</v>
      </c>
      <c r="B1944" s="9" t="s">
        <v>9</v>
      </c>
      <c r="C1944" s="9">
        <v>1926</v>
      </c>
      <c r="D1944" s="10">
        <v>45722</v>
      </c>
      <c r="E1944" s="11" t="str">
        <f>+HYPERLINK("http://trademark.i-assist.jp/data/china/image_1926th/82401990.pdf","82401990")</f>
        <v>82401990</v>
      </c>
      <c r="F1944" s="9" t="s">
        <v>5354</v>
      </c>
      <c r="G1944" s="9" t="s">
        <v>5355</v>
      </c>
      <c r="H1944" s="9" t="s">
        <v>5356</v>
      </c>
      <c r="I1944" s="10">
        <v>45632</v>
      </c>
    </row>
    <row r="1945" spans="1:9" x14ac:dyDescent="0.15">
      <c r="A1945" s="9">
        <v>1944</v>
      </c>
      <c r="B1945" s="9" t="s">
        <v>9</v>
      </c>
      <c r="C1945" s="9">
        <v>1926</v>
      </c>
      <c r="D1945" s="10">
        <v>45722</v>
      </c>
      <c r="E1945" s="11" t="str">
        <f>+HYPERLINK("http://trademark.i-assist.jp/data/china/image_1926th/82402188.pdf","82402188")</f>
        <v>82402188</v>
      </c>
      <c r="F1945" s="9" t="s">
        <v>5357</v>
      </c>
      <c r="G1945" s="9" t="s">
        <v>5336</v>
      </c>
      <c r="H1945" s="9" t="s">
        <v>5358</v>
      </c>
      <c r="I1945" s="10">
        <v>45632</v>
      </c>
    </row>
    <row r="1946" spans="1:9" x14ac:dyDescent="0.15">
      <c r="A1946" s="9">
        <v>1945</v>
      </c>
      <c r="B1946" s="9" t="s">
        <v>9</v>
      </c>
      <c r="C1946" s="9">
        <v>1926</v>
      </c>
      <c r="D1946" s="10">
        <v>45722</v>
      </c>
      <c r="E1946" s="11" t="str">
        <f>+HYPERLINK("http://trademark.i-assist.jp/data/china/image_1926th/82402612.pdf","82402612")</f>
        <v>82402612</v>
      </c>
      <c r="F1946" s="9" t="s">
        <v>5359</v>
      </c>
      <c r="G1946" s="9" t="s">
        <v>5360</v>
      </c>
      <c r="H1946" s="9" t="s">
        <v>5361</v>
      </c>
      <c r="I1946" s="10">
        <v>45632</v>
      </c>
    </row>
    <row r="1947" spans="1:9" x14ac:dyDescent="0.15">
      <c r="A1947" s="9">
        <v>1946</v>
      </c>
      <c r="B1947" s="9" t="s">
        <v>9</v>
      </c>
      <c r="C1947" s="9">
        <v>1926</v>
      </c>
      <c r="D1947" s="10">
        <v>45722</v>
      </c>
      <c r="E1947" s="11" t="str">
        <f>+HYPERLINK("http://trademark.i-assist.jp/data/china/image_1926th/82403013.pdf","82403013")</f>
        <v>82403013</v>
      </c>
      <c r="F1947" s="12" t="s">
        <v>20</v>
      </c>
      <c r="G1947" s="9" t="s">
        <v>5362</v>
      </c>
      <c r="H1947" s="9" t="s">
        <v>5363</v>
      </c>
      <c r="I1947" s="10">
        <v>45632</v>
      </c>
    </row>
    <row r="1948" spans="1:9" x14ac:dyDescent="0.15">
      <c r="A1948" s="9">
        <v>1947</v>
      </c>
      <c r="B1948" s="9" t="s">
        <v>9</v>
      </c>
      <c r="C1948" s="9">
        <v>1926</v>
      </c>
      <c r="D1948" s="10">
        <v>45722</v>
      </c>
      <c r="E1948" s="11" t="str">
        <f>+HYPERLINK("http://trademark.i-assist.jp/data/china/image_1926th/82403090.pdf","82403090")</f>
        <v>82403090</v>
      </c>
      <c r="F1948" s="12" t="s">
        <v>5364</v>
      </c>
      <c r="G1948" s="12" t="s">
        <v>5365</v>
      </c>
      <c r="H1948" s="9" t="s">
        <v>5366</v>
      </c>
      <c r="I1948" s="10">
        <v>45632</v>
      </c>
    </row>
    <row r="1949" spans="1:9" x14ac:dyDescent="0.15">
      <c r="A1949" s="9">
        <v>1948</v>
      </c>
      <c r="B1949" s="9" t="s">
        <v>9</v>
      </c>
      <c r="C1949" s="9">
        <v>1926</v>
      </c>
      <c r="D1949" s="10">
        <v>45722</v>
      </c>
      <c r="E1949" s="11" t="str">
        <f>+HYPERLINK("http://trademark.i-assist.jp/data/china/image_1926th/82403379.pdf","82403379")</f>
        <v>82403379</v>
      </c>
      <c r="F1949" s="9" t="s">
        <v>5367</v>
      </c>
      <c r="G1949" s="12" t="s">
        <v>5161</v>
      </c>
      <c r="H1949" s="9" t="s">
        <v>5368</v>
      </c>
      <c r="I1949" s="10">
        <v>45632</v>
      </c>
    </row>
    <row r="1950" spans="1:9" x14ac:dyDescent="0.15">
      <c r="A1950" s="9">
        <v>1949</v>
      </c>
      <c r="B1950" s="9" t="s">
        <v>9</v>
      </c>
      <c r="C1950" s="9">
        <v>1926</v>
      </c>
      <c r="D1950" s="10">
        <v>45722</v>
      </c>
      <c r="E1950" s="11" t="str">
        <f>+HYPERLINK("http://trademark.i-assist.jp/data/china/image_1926th/82403389.pdf","82403389")</f>
        <v>82403389</v>
      </c>
      <c r="F1950" s="9" t="s">
        <v>5369</v>
      </c>
      <c r="G1950" s="9" t="s">
        <v>5123</v>
      </c>
      <c r="H1950" s="9" t="s">
        <v>5370</v>
      </c>
      <c r="I1950" s="10">
        <v>45632</v>
      </c>
    </row>
    <row r="1951" spans="1:9" x14ac:dyDescent="0.15">
      <c r="A1951" s="9">
        <v>1950</v>
      </c>
      <c r="B1951" s="9" t="s">
        <v>9</v>
      </c>
      <c r="C1951" s="9">
        <v>1926</v>
      </c>
      <c r="D1951" s="10">
        <v>45722</v>
      </c>
      <c r="E1951" s="11" t="str">
        <f>+HYPERLINK("http://trademark.i-assist.jp/data/china/image_1926th/82404171.pdf","82404171")</f>
        <v>82404171</v>
      </c>
      <c r="F1951" s="12" t="s">
        <v>5371</v>
      </c>
      <c r="G1951" s="12" t="s">
        <v>5372</v>
      </c>
      <c r="H1951" s="9" t="s">
        <v>5373</v>
      </c>
      <c r="I1951" s="10">
        <v>45632</v>
      </c>
    </row>
    <row r="1952" spans="1:9" x14ac:dyDescent="0.15">
      <c r="A1952" s="9">
        <v>1951</v>
      </c>
      <c r="B1952" s="9" t="s">
        <v>9</v>
      </c>
      <c r="C1952" s="9">
        <v>1926</v>
      </c>
      <c r="D1952" s="10">
        <v>45722</v>
      </c>
      <c r="E1952" s="11" t="str">
        <f>+HYPERLINK("http://trademark.i-assist.jp/data/china/image_1926th/82404396.pdf","82404396")</f>
        <v>82404396</v>
      </c>
      <c r="F1952" s="9" t="s">
        <v>5374</v>
      </c>
      <c r="G1952" s="12" t="s">
        <v>5375</v>
      </c>
      <c r="H1952" s="9" t="s">
        <v>5376</v>
      </c>
      <c r="I1952" s="10">
        <v>45632</v>
      </c>
    </row>
    <row r="1953" spans="1:9" x14ac:dyDescent="0.15">
      <c r="A1953" s="9">
        <v>1952</v>
      </c>
      <c r="B1953" s="9" t="s">
        <v>9</v>
      </c>
      <c r="C1953" s="9">
        <v>1926</v>
      </c>
      <c r="D1953" s="10">
        <v>45722</v>
      </c>
      <c r="E1953" s="11" t="str">
        <f>+HYPERLINK("http://trademark.i-assist.jp/data/china/image_1926th/82404472.pdf","82404472")</f>
        <v>82404472</v>
      </c>
      <c r="F1953" s="9" t="s">
        <v>5377</v>
      </c>
      <c r="G1953" s="12" t="s">
        <v>5224</v>
      </c>
      <c r="H1953" s="9" t="s">
        <v>5378</v>
      </c>
      <c r="I1953" s="10">
        <v>45632</v>
      </c>
    </row>
    <row r="1954" spans="1:9" x14ac:dyDescent="0.15">
      <c r="A1954" s="9">
        <v>1953</v>
      </c>
      <c r="B1954" s="9" t="s">
        <v>9</v>
      </c>
      <c r="C1954" s="9">
        <v>1926</v>
      </c>
      <c r="D1954" s="10">
        <v>45722</v>
      </c>
      <c r="E1954" s="11" t="str">
        <f>+HYPERLINK("http://trademark.i-assist.jp/data/china/image_1926th/82404486.pdf","82404486")</f>
        <v>82404486</v>
      </c>
      <c r="F1954" s="9" t="s">
        <v>5379</v>
      </c>
      <c r="G1954" s="12" t="s">
        <v>5380</v>
      </c>
      <c r="H1954" s="9" t="s">
        <v>5381</v>
      </c>
      <c r="I1954" s="10">
        <v>45632</v>
      </c>
    </row>
    <row r="1955" spans="1:9" x14ac:dyDescent="0.15">
      <c r="A1955" s="9">
        <v>1954</v>
      </c>
      <c r="B1955" s="9" t="s">
        <v>9</v>
      </c>
      <c r="C1955" s="9">
        <v>1926</v>
      </c>
      <c r="D1955" s="10">
        <v>45722</v>
      </c>
      <c r="E1955" s="11" t="str">
        <f>+HYPERLINK("http://trademark.i-assist.jp/data/china/image_1926th/82404560.pdf","82404560")</f>
        <v>82404560</v>
      </c>
      <c r="F1955" s="9" t="s">
        <v>5382</v>
      </c>
      <c r="G1955" s="9" t="s">
        <v>5383</v>
      </c>
      <c r="H1955" s="9" t="s">
        <v>5384</v>
      </c>
      <c r="I1955" s="10">
        <v>45632</v>
      </c>
    </row>
    <row r="1956" spans="1:9" x14ac:dyDescent="0.15">
      <c r="A1956" s="9">
        <v>1955</v>
      </c>
      <c r="B1956" s="9" t="s">
        <v>9</v>
      </c>
      <c r="C1956" s="9">
        <v>1926</v>
      </c>
      <c r="D1956" s="10">
        <v>45722</v>
      </c>
      <c r="E1956" s="11" t="str">
        <f>+HYPERLINK("http://trademark.i-assist.jp/data/china/image_1926th/82404709.pdf","82404709")</f>
        <v>82404709</v>
      </c>
      <c r="F1956" s="12" t="s">
        <v>5385</v>
      </c>
      <c r="G1956" s="9" t="s">
        <v>129</v>
      </c>
      <c r="H1956" s="9" t="s">
        <v>5386</v>
      </c>
      <c r="I1956" s="10">
        <v>45632</v>
      </c>
    </row>
    <row r="1957" spans="1:9" x14ac:dyDescent="0.15">
      <c r="A1957" s="9">
        <v>1956</v>
      </c>
      <c r="B1957" s="9" t="s">
        <v>9</v>
      </c>
      <c r="C1957" s="9">
        <v>1926</v>
      </c>
      <c r="D1957" s="10">
        <v>45722</v>
      </c>
      <c r="E1957" s="11" t="str">
        <f>+HYPERLINK("http://trademark.i-assist.jp/data/china/image_1926th/82404748.pdf","82404748")</f>
        <v>82404748</v>
      </c>
      <c r="F1957" s="12" t="s">
        <v>5387</v>
      </c>
      <c r="G1957" s="9" t="s">
        <v>5388</v>
      </c>
      <c r="H1957" s="12" t="s">
        <v>5389</v>
      </c>
      <c r="I1957" s="10">
        <v>45632</v>
      </c>
    </row>
    <row r="1958" spans="1:9" x14ac:dyDescent="0.15">
      <c r="A1958" s="9">
        <v>1957</v>
      </c>
      <c r="B1958" s="9" t="s">
        <v>9</v>
      </c>
      <c r="C1958" s="9">
        <v>1926</v>
      </c>
      <c r="D1958" s="10">
        <v>45722</v>
      </c>
      <c r="E1958" s="11" t="str">
        <f>+HYPERLINK("http://trademark.i-assist.jp/data/china/image_1926th/82405141.pdf","82405141")</f>
        <v>82405141</v>
      </c>
      <c r="F1958" s="9" t="s">
        <v>5390</v>
      </c>
      <c r="G1958" s="12" t="s">
        <v>5391</v>
      </c>
      <c r="H1958" s="9" t="s">
        <v>5392</v>
      </c>
      <c r="I1958" s="10">
        <v>45632</v>
      </c>
    </row>
    <row r="1959" spans="1:9" x14ac:dyDescent="0.15">
      <c r="A1959" s="9">
        <v>1958</v>
      </c>
      <c r="B1959" s="9" t="s">
        <v>9</v>
      </c>
      <c r="C1959" s="9">
        <v>1926</v>
      </c>
      <c r="D1959" s="10">
        <v>45722</v>
      </c>
      <c r="E1959" s="11" t="str">
        <f>+HYPERLINK("http://trademark.i-assist.jp/data/china/image_1926th/82405739.pdf","82405739")</f>
        <v>82405739</v>
      </c>
      <c r="F1959" s="9" t="s">
        <v>5393</v>
      </c>
      <c r="G1959" s="9" t="s">
        <v>5394</v>
      </c>
      <c r="H1959" s="9" t="s">
        <v>5395</v>
      </c>
      <c r="I1959" s="10">
        <v>45632</v>
      </c>
    </row>
    <row r="1960" spans="1:9" x14ac:dyDescent="0.15">
      <c r="A1960" s="9">
        <v>1959</v>
      </c>
      <c r="B1960" s="9" t="s">
        <v>9</v>
      </c>
      <c r="C1960" s="9">
        <v>1926</v>
      </c>
      <c r="D1960" s="10">
        <v>45722</v>
      </c>
      <c r="E1960" s="11" t="str">
        <f>+HYPERLINK("http://trademark.i-assist.jp/data/china/image_1926th/82405831.pdf","82405831")</f>
        <v>82405831</v>
      </c>
      <c r="F1960" s="12" t="s">
        <v>20</v>
      </c>
      <c r="G1960" s="9" t="s">
        <v>5396</v>
      </c>
      <c r="H1960" s="9" t="s">
        <v>5397</v>
      </c>
      <c r="I1960" s="10">
        <v>45632</v>
      </c>
    </row>
    <row r="1961" spans="1:9" x14ac:dyDescent="0.15">
      <c r="A1961" s="9">
        <v>1960</v>
      </c>
      <c r="B1961" s="9" t="s">
        <v>9</v>
      </c>
      <c r="C1961" s="9">
        <v>1926</v>
      </c>
      <c r="D1961" s="10">
        <v>45722</v>
      </c>
      <c r="E1961" s="11" t="str">
        <f>+HYPERLINK("http://trademark.i-assist.jp/data/china/image_1926th/82405867.pdf","82405867")</f>
        <v>82405867</v>
      </c>
      <c r="F1961" s="9" t="s">
        <v>5398</v>
      </c>
      <c r="G1961" s="9" t="s">
        <v>5399</v>
      </c>
      <c r="H1961" s="9" t="s">
        <v>5400</v>
      </c>
      <c r="I1961" s="10">
        <v>45632</v>
      </c>
    </row>
    <row r="1962" spans="1:9" x14ac:dyDescent="0.15">
      <c r="A1962" s="9">
        <v>1961</v>
      </c>
      <c r="B1962" s="9" t="s">
        <v>9</v>
      </c>
      <c r="C1962" s="9">
        <v>1926</v>
      </c>
      <c r="D1962" s="10">
        <v>45722</v>
      </c>
      <c r="E1962" s="11" t="str">
        <f>+HYPERLINK("http://trademark.i-assist.jp/data/china/image_1926th/82406084.pdf","82406084")</f>
        <v>82406084</v>
      </c>
      <c r="F1962" s="9" t="s">
        <v>5401</v>
      </c>
      <c r="G1962" s="9" t="s">
        <v>5402</v>
      </c>
      <c r="H1962" s="9" t="s">
        <v>5403</v>
      </c>
      <c r="I1962" s="10">
        <v>45632</v>
      </c>
    </row>
    <row r="1963" spans="1:9" x14ac:dyDescent="0.15">
      <c r="A1963" s="9">
        <v>1962</v>
      </c>
      <c r="B1963" s="9" t="s">
        <v>9</v>
      </c>
      <c r="C1963" s="9">
        <v>1926</v>
      </c>
      <c r="D1963" s="10">
        <v>45722</v>
      </c>
      <c r="E1963" s="11" t="str">
        <f>+HYPERLINK("http://trademark.i-assist.jp/data/china/image_1926th/82406337.pdf","82406337")</f>
        <v>82406337</v>
      </c>
      <c r="F1963" s="13" t="s">
        <v>5404</v>
      </c>
      <c r="G1963" s="13" t="s">
        <v>5405</v>
      </c>
      <c r="H1963" s="9" t="s">
        <v>5406</v>
      </c>
      <c r="I1963" s="10">
        <v>45632</v>
      </c>
    </row>
    <row r="1964" spans="1:9" x14ac:dyDescent="0.15">
      <c r="A1964" s="9">
        <v>1963</v>
      </c>
      <c r="B1964" s="9" t="s">
        <v>9</v>
      </c>
      <c r="C1964" s="9">
        <v>1926</v>
      </c>
      <c r="D1964" s="10">
        <v>45722</v>
      </c>
      <c r="E1964" s="11" t="str">
        <f>+HYPERLINK("http://trademark.i-assist.jp/data/china/image_1926th/82406793.pdf","82406793")</f>
        <v>82406793</v>
      </c>
      <c r="F1964" s="9" t="s">
        <v>5407</v>
      </c>
      <c r="G1964" s="9" t="s">
        <v>5408</v>
      </c>
      <c r="H1964" s="9" t="s">
        <v>5409</v>
      </c>
      <c r="I1964" s="10">
        <v>45632</v>
      </c>
    </row>
    <row r="1965" spans="1:9" x14ac:dyDescent="0.15">
      <c r="A1965" s="9">
        <v>1964</v>
      </c>
      <c r="B1965" s="9" t="s">
        <v>9</v>
      </c>
      <c r="C1965" s="9">
        <v>1926</v>
      </c>
      <c r="D1965" s="10">
        <v>45722</v>
      </c>
      <c r="E1965" s="11" t="str">
        <f>+HYPERLINK("http://trademark.i-assist.jp/data/china/image_1926th/82407048.pdf","82407048")</f>
        <v>82407048</v>
      </c>
      <c r="F1965" s="12" t="s">
        <v>5410</v>
      </c>
      <c r="G1965" s="9" t="s">
        <v>5411</v>
      </c>
      <c r="H1965" s="9" t="s">
        <v>5412</v>
      </c>
      <c r="I1965" s="10">
        <v>45632</v>
      </c>
    </row>
    <row r="1966" spans="1:9" x14ac:dyDescent="0.15">
      <c r="A1966" s="9">
        <v>1965</v>
      </c>
      <c r="B1966" s="9" t="s">
        <v>9</v>
      </c>
      <c r="C1966" s="9">
        <v>1926</v>
      </c>
      <c r="D1966" s="10">
        <v>45722</v>
      </c>
      <c r="E1966" s="11" t="str">
        <f>+HYPERLINK("http://trademark.i-assist.jp/data/china/image_1926th/82407057.pdf","82407057")</f>
        <v>82407057</v>
      </c>
      <c r="F1966" s="9" t="s">
        <v>5413</v>
      </c>
      <c r="G1966" s="12" t="s">
        <v>4450</v>
      </c>
      <c r="H1966" s="9" t="s">
        <v>5414</v>
      </c>
      <c r="I1966" s="10">
        <v>45632</v>
      </c>
    </row>
    <row r="1967" spans="1:9" x14ac:dyDescent="0.15">
      <c r="A1967" s="9">
        <v>1966</v>
      </c>
      <c r="B1967" s="9" t="s">
        <v>9</v>
      </c>
      <c r="C1967" s="9">
        <v>1926</v>
      </c>
      <c r="D1967" s="10">
        <v>45722</v>
      </c>
      <c r="E1967" s="11" t="str">
        <f>+HYPERLINK("http://trademark.i-assist.jp/data/china/image_1926th/82407122.pdf","82407122")</f>
        <v>82407122</v>
      </c>
      <c r="F1967" s="12" t="s">
        <v>5415</v>
      </c>
      <c r="G1967" s="12" t="s">
        <v>78</v>
      </c>
      <c r="H1967" s="9" t="s">
        <v>5416</v>
      </c>
      <c r="I1967" s="10">
        <v>45632</v>
      </c>
    </row>
    <row r="1968" spans="1:9" x14ac:dyDescent="0.15">
      <c r="A1968" s="9">
        <v>1967</v>
      </c>
      <c r="B1968" s="9" t="s">
        <v>9</v>
      </c>
      <c r="C1968" s="9">
        <v>1926</v>
      </c>
      <c r="D1968" s="10">
        <v>45722</v>
      </c>
      <c r="E1968" s="11" t="str">
        <f>+HYPERLINK("http://trademark.i-assist.jp/data/china/image_1926th/82407154.pdf","82407154")</f>
        <v>82407154</v>
      </c>
      <c r="F1968" s="9" t="s">
        <v>5417</v>
      </c>
      <c r="G1968" s="12" t="s">
        <v>661</v>
      </c>
      <c r="H1968" s="9" t="s">
        <v>5418</v>
      </c>
      <c r="I1968" s="10">
        <v>45632</v>
      </c>
    </row>
    <row r="1969" spans="1:9" x14ac:dyDescent="0.15">
      <c r="A1969" s="9">
        <v>1968</v>
      </c>
      <c r="B1969" s="9" t="s">
        <v>9</v>
      </c>
      <c r="C1969" s="9">
        <v>1926</v>
      </c>
      <c r="D1969" s="10">
        <v>45722</v>
      </c>
      <c r="E1969" s="11" t="str">
        <f>+HYPERLINK("http://trademark.i-assist.jp/data/china/image_1926th/82407216.pdf","82407216")</f>
        <v>82407216</v>
      </c>
      <c r="F1969" s="9" t="s">
        <v>5419</v>
      </c>
      <c r="G1969" s="12" t="s">
        <v>5420</v>
      </c>
      <c r="H1969" s="9" t="s">
        <v>5421</v>
      </c>
      <c r="I1969" s="10">
        <v>45632</v>
      </c>
    </row>
    <row r="1970" spans="1:9" x14ac:dyDescent="0.15">
      <c r="A1970" s="9">
        <v>1969</v>
      </c>
      <c r="B1970" s="9" t="s">
        <v>9</v>
      </c>
      <c r="C1970" s="9">
        <v>1926</v>
      </c>
      <c r="D1970" s="10">
        <v>45722</v>
      </c>
      <c r="E1970" s="11" t="str">
        <f>+HYPERLINK("http://trademark.i-assist.jp/data/china/image_1926th/82407449.pdf","82407449")</f>
        <v>82407449</v>
      </c>
      <c r="F1970" s="9" t="s">
        <v>5422</v>
      </c>
      <c r="G1970" s="12" t="s">
        <v>5423</v>
      </c>
      <c r="H1970" s="9" t="s">
        <v>5424</v>
      </c>
      <c r="I1970" s="10">
        <v>45632</v>
      </c>
    </row>
    <row r="1971" spans="1:9" x14ac:dyDescent="0.15">
      <c r="A1971" s="9">
        <v>1970</v>
      </c>
      <c r="B1971" s="9" t="s">
        <v>9</v>
      </c>
      <c r="C1971" s="9">
        <v>1926</v>
      </c>
      <c r="D1971" s="10">
        <v>45722</v>
      </c>
      <c r="E1971" s="11" t="str">
        <f>+HYPERLINK("http://trademark.i-assist.jp/data/china/image_1926th/82407522.pdf","82407522")</f>
        <v>82407522</v>
      </c>
      <c r="F1971" s="9" t="s">
        <v>5425</v>
      </c>
      <c r="G1971" s="12" t="s">
        <v>132</v>
      </c>
      <c r="H1971" s="9" t="s">
        <v>5426</v>
      </c>
      <c r="I1971" s="10">
        <v>45632</v>
      </c>
    </row>
    <row r="1972" spans="1:9" x14ac:dyDescent="0.15">
      <c r="A1972" s="9">
        <v>1971</v>
      </c>
      <c r="B1972" s="9" t="s">
        <v>9</v>
      </c>
      <c r="C1972" s="9">
        <v>1926</v>
      </c>
      <c r="D1972" s="10">
        <v>45722</v>
      </c>
      <c r="E1972" s="11" t="str">
        <f>+HYPERLINK("http://trademark.i-assist.jp/data/china/image_1926th/82407537.pdf","82407537")</f>
        <v>82407537</v>
      </c>
      <c r="F1972" s="12" t="s">
        <v>5427</v>
      </c>
      <c r="G1972" s="12" t="s">
        <v>5161</v>
      </c>
      <c r="H1972" s="9" t="s">
        <v>5428</v>
      </c>
      <c r="I1972" s="10">
        <v>45632</v>
      </c>
    </row>
    <row r="1973" spans="1:9" x14ac:dyDescent="0.15">
      <c r="A1973" s="9">
        <v>1972</v>
      </c>
      <c r="B1973" s="9" t="s">
        <v>9</v>
      </c>
      <c r="C1973" s="9">
        <v>1926</v>
      </c>
      <c r="D1973" s="10">
        <v>45722</v>
      </c>
      <c r="E1973" s="11" t="str">
        <f>+HYPERLINK("http://trademark.i-assist.jp/data/china/image_1926th/82407631.pdf","82407631")</f>
        <v>82407631</v>
      </c>
      <c r="F1973" s="9" t="s">
        <v>5429</v>
      </c>
      <c r="G1973" s="9" t="s">
        <v>5430</v>
      </c>
      <c r="H1973" s="9" t="s">
        <v>5431</v>
      </c>
      <c r="I1973" s="10">
        <v>45632</v>
      </c>
    </row>
    <row r="1974" spans="1:9" x14ac:dyDescent="0.15">
      <c r="A1974" s="9">
        <v>1973</v>
      </c>
      <c r="B1974" s="9" t="s">
        <v>9</v>
      </c>
      <c r="C1974" s="9">
        <v>1926</v>
      </c>
      <c r="D1974" s="10">
        <v>45722</v>
      </c>
      <c r="E1974" s="11" t="str">
        <f>+HYPERLINK("http://trademark.i-assist.jp/data/china/image_1926th/82408321.pdf","82408321")</f>
        <v>82408321</v>
      </c>
      <c r="F1974" s="9" t="s">
        <v>5432</v>
      </c>
      <c r="G1974" s="9" t="s">
        <v>5347</v>
      </c>
      <c r="H1974" s="9" t="s">
        <v>5433</v>
      </c>
      <c r="I1974" s="10">
        <v>45632</v>
      </c>
    </row>
    <row r="1975" spans="1:9" x14ac:dyDescent="0.15">
      <c r="A1975" s="9">
        <v>1974</v>
      </c>
      <c r="B1975" s="9" t="s">
        <v>9</v>
      </c>
      <c r="C1975" s="9">
        <v>1926</v>
      </c>
      <c r="D1975" s="10">
        <v>45722</v>
      </c>
      <c r="E1975" s="11" t="str">
        <f>+HYPERLINK("http://trademark.i-assist.jp/data/china/image_1926th/82409092.pdf","82409092")</f>
        <v>82409092</v>
      </c>
      <c r="F1975" s="12" t="s">
        <v>5434</v>
      </c>
      <c r="G1975" s="9" t="s">
        <v>5435</v>
      </c>
      <c r="H1975" s="9" t="s">
        <v>5436</v>
      </c>
      <c r="I1975" s="10">
        <v>45632</v>
      </c>
    </row>
    <row r="1976" spans="1:9" x14ac:dyDescent="0.15">
      <c r="A1976" s="9">
        <v>1975</v>
      </c>
      <c r="B1976" s="9" t="s">
        <v>9</v>
      </c>
      <c r="C1976" s="9">
        <v>1926</v>
      </c>
      <c r="D1976" s="10">
        <v>45722</v>
      </c>
      <c r="E1976" s="11" t="str">
        <f>+HYPERLINK("http://trademark.i-assist.jp/data/china/image_1926th/82409155.pdf","82409155")</f>
        <v>82409155</v>
      </c>
      <c r="F1976" s="9" t="s">
        <v>5437</v>
      </c>
      <c r="G1976" s="9" t="s">
        <v>5284</v>
      </c>
      <c r="H1976" s="9" t="s">
        <v>5438</v>
      </c>
      <c r="I1976" s="10">
        <v>45632</v>
      </c>
    </row>
    <row r="1977" spans="1:9" x14ac:dyDescent="0.15">
      <c r="A1977" s="9">
        <v>1976</v>
      </c>
      <c r="B1977" s="9" t="s">
        <v>9</v>
      </c>
      <c r="C1977" s="9">
        <v>1926</v>
      </c>
      <c r="D1977" s="10">
        <v>45722</v>
      </c>
      <c r="E1977" s="11" t="str">
        <f>+HYPERLINK("http://trademark.i-assist.jp/data/china/image_1926th/82409196.pdf","82409196")</f>
        <v>82409196</v>
      </c>
      <c r="F1977" s="12" t="s">
        <v>20</v>
      </c>
      <c r="G1977" s="12" t="s">
        <v>5439</v>
      </c>
      <c r="H1977" s="9" t="s">
        <v>5440</v>
      </c>
      <c r="I1977" s="10">
        <v>45632</v>
      </c>
    </row>
    <row r="1978" spans="1:9" x14ac:dyDescent="0.15">
      <c r="A1978" s="9">
        <v>1977</v>
      </c>
      <c r="B1978" s="9" t="s">
        <v>9</v>
      </c>
      <c r="C1978" s="9">
        <v>1926</v>
      </c>
      <c r="D1978" s="10">
        <v>45722</v>
      </c>
      <c r="E1978" s="11" t="str">
        <f>+HYPERLINK("http://trademark.i-assist.jp/data/china/image_1926th/82409479.pdf","82409479")</f>
        <v>82409479</v>
      </c>
      <c r="F1978" s="9" t="s">
        <v>5441</v>
      </c>
      <c r="G1978" s="12" t="s">
        <v>5287</v>
      </c>
      <c r="H1978" s="9" t="s">
        <v>5442</v>
      </c>
      <c r="I1978" s="10">
        <v>45632</v>
      </c>
    </row>
    <row r="1979" spans="1:9" x14ac:dyDescent="0.15">
      <c r="A1979" s="9">
        <v>1978</v>
      </c>
      <c r="B1979" s="9" t="s">
        <v>9</v>
      </c>
      <c r="C1979" s="9">
        <v>1926</v>
      </c>
      <c r="D1979" s="10">
        <v>45722</v>
      </c>
      <c r="E1979" s="11" t="str">
        <f>+HYPERLINK("http://trademark.i-assist.jp/data/china/image_1926th/82409556.pdf","82409556")</f>
        <v>82409556</v>
      </c>
      <c r="F1979" s="9" t="s">
        <v>5443</v>
      </c>
      <c r="G1979" s="9" t="s">
        <v>5444</v>
      </c>
      <c r="H1979" s="9" t="s">
        <v>5445</v>
      </c>
      <c r="I1979" s="10">
        <v>45632</v>
      </c>
    </row>
    <row r="1980" spans="1:9" x14ac:dyDescent="0.15">
      <c r="A1980" s="9">
        <v>1979</v>
      </c>
      <c r="B1980" s="9" t="s">
        <v>9</v>
      </c>
      <c r="C1980" s="9">
        <v>1926</v>
      </c>
      <c r="D1980" s="10">
        <v>45722</v>
      </c>
      <c r="E1980" s="11" t="str">
        <f>+HYPERLINK("http://trademark.i-assist.jp/data/china/image_1926th/82409886.pdf","82409886")</f>
        <v>82409886</v>
      </c>
      <c r="F1980" s="12" t="s">
        <v>5446</v>
      </c>
      <c r="G1980" s="12" t="s">
        <v>5447</v>
      </c>
      <c r="H1980" s="9" t="s">
        <v>5448</v>
      </c>
      <c r="I1980" s="10">
        <v>45632</v>
      </c>
    </row>
    <row r="1981" spans="1:9" x14ac:dyDescent="0.15">
      <c r="A1981" s="9">
        <v>1980</v>
      </c>
      <c r="B1981" s="9" t="s">
        <v>9</v>
      </c>
      <c r="C1981" s="9">
        <v>1926</v>
      </c>
      <c r="D1981" s="10">
        <v>45722</v>
      </c>
      <c r="E1981" s="11" t="str">
        <f>+HYPERLINK("http://trademark.i-assist.jp/data/china/image_1926th/82410722.pdf","82410722")</f>
        <v>82410722</v>
      </c>
      <c r="F1981" s="9" t="s">
        <v>5449</v>
      </c>
      <c r="G1981" s="9" t="s">
        <v>5450</v>
      </c>
      <c r="H1981" s="9" t="s">
        <v>5451</v>
      </c>
      <c r="I1981" s="10">
        <v>45632</v>
      </c>
    </row>
    <row r="1982" spans="1:9" x14ac:dyDescent="0.15">
      <c r="A1982" s="9">
        <v>1981</v>
      </c>
      <c r="B1982" s="9" t="s">
        <v>9</v>
      </c>
      <c r="C1982" s="9">
        <v>1926</v>
      </c>
      <c r="D1982" s="10">
        <v>45722</v>
      </c>
      <c r="E1982" s="11" t="str">
        <f>+HYPERLINK("http://trademark.i-assist.jp/data/china/image_1926th/82410959.pdf","82410959")</f>
        <v>82410959</v>
      </c>
      <c r="F1982" s="9" t="s">
        <v>5452</v>
      </c>
      <c r="G1982" s="12" t="s">
        <v>5224</v>
      </c>
      <c r="H1982" s="9" t="s">
        <v>5453</v>
      </c>
      <c r="I1982" s="10">
        <v>45632</v>
      </c>
    </row>
    <row r="1983" spans="1:9" x14ac:dyDescent="0.15">
      <c r="A1983" s="9">
        <v>1982</v>
      </c>
      <c r="B1983" s="9" t="s">
        <v>9</v>
      </c>
      <c r="C1983" s="9">
        <v>1926</v>
      </c>
      <c r="D1983" s="10">
        <v>45722</v>
      </c>
      <c r="E1983" s="11" t="str">
        <f>+HYPERLINK("http://trademark.i-assist.jp/data/china/image_1926th/82411010.pdf","82411010")</f>
        <v>82411010</v>
      </c>
      <c r="F1983" s="12" t="s">
        <v>5454</v>
      </c>
      <c r="G1983" s="12" t="s">
        <v>5455</v>
      </c>
      <c r="H1983" s="9" t="s">
        <v>5456</v>
      </c>
      <c r="I1983" s="10">
        <v>45632</v>
      </c>
    </row>
    <row r="1984" spans="1:9" x14ac:dyDescent="0.15">
      <c r="A1984" s="9">
        <v>1983</v>
      </c>
      <c r="B1984" s="9" t="s">
        <v>9</v>
      </c>
      <c r="C1984" s="9">
        <v>1926</v>
      </c>
      <c r="D1984" s="10">
        <v>45722</v>
      </c>
      <c r="E1984" s="11" t="str">
        <f>+HYPERLINK("http://trademark.i-assist.jp/data/china/image_1926th/82411030.pdf","82411030")</f>
        <v>82411030</v>
      </c>
      <c r="F1984" s="12" t="s">
        <v>5457</v>
      </c>
      <c r="G1984" s="9" t="s">
        <v>5458</v>
      </c>
      <c r="H1984" s="9" t="s">
        <v>5459</v>
      </c>
      <c r="I1984" s="10">
        <v>45632</v>
      </c>
    </row>
    <row r="1985" spans="1:9" x14ac:dyDescent="0.15">
      <c r="A1985" s="9">
        <v>1984</v>
      </c>
      <c r="B1985" s="9" t="s">
        <v>9</v>
      </c>
      <c r="C1985" s="9">
        <v>1926</v>
      </c>
      <c r="D1985" s="10">
        <v>45722</v>
      </c>
      <c r="E1985" s="11" t="str">
        <f>+HYPERLINK("http://trademark.i-assist.jp/data/china/image_1926th/82411088.pdf","82411088")</f>
        <v>82411088</v>
      </c>
      <c r="F1985" s="9" t="s">
        <v>5460</v>
      </c>
      <c r="G1985" s="9" t="s">
        <v>5461</v>
      </c>
      <c r="H1985" s="9" t="s">
        <v>5462</v>
      </c>
      <c r="I1985" s="10">
        <v>45632</v>
      </c>
    </row>
    <row r="1986" spans="1:9" x14ac:dyDescent="0.15">
      <c r="A1986" s="9">
        <v>1985</v>
      </c>
      <c r="B1986" s="9" t="s">
        <v>9</v>
      </c>
      <c r="C1986" s="9">
        <v>1926</v>
      </c>
      <c r="D1986" s="10">
        <v>45722</v>
      </c>
      <c r="E1986" s="11" t="str">
        <f>+HYPERLINK("http://trademark.i-assist.jp/data/china/image_1926th/82411191.pdf","82411191")</f>
        <v>82411191</v>
      </c>
      <c r="F1986" s="12" t="s">
        <v>5463</v>
      </c>
      <c r="G1986" s="9" t="s">
        <v>5464</v>
      </c>
      <c r="H1986" s="12" t="s">
        <v>5465</v>
      </c>
      <c r="I1986" s="10">
        <v>45632</v>
      </c>
    </row>
    <row r="1987" spans="1:9" x14ac:dyDescent="0.15">
      <c r="A1987" s="9">
        <v>1986</v>
      </c>
      <c r="B1987" s="9" t="s">
        <v>9</v>
      </c>
      <c r="C1987" s="9">
        <v>1926</v>
      </c>
      <c r="D1987" s="10">
        <v>45722</v>
      </c>
      <c r="E1987" s="11" t="str">
        <f>+HYPERLINK("http://trademark.i-assist.jp/data/china/image_1926th/82411291.pdf","82411291")</f>
        <v>82411291</v>
      </c>
      <c r="F1987" s="12" t="s">
        <v>5466</v>
      </c>
      <c r="G1987" s="12" t="s">
        <v>5447</v>
      </c>
      <c r="H1987" s="9" t="s">
        <v>5467</v>
      </c>
      <c r="I1987" s="10">
        <v>45632</v>
      </c>
    </row>
    <row r="1988" spans="1:9" x14ac:dyDescent="0.15">
      <c r="A1988" s="9">
        <v>1987</v>
      </c>
      <c r="B1988" s="9" t="s">
        <v>9</v>
      </c>
      <c r="C1988" s="9">
        <v>1926</v>
      </c>
      <c r="D1988" s="10">
        <v>45722</v>
      </c>
      <c r="E1988" s="11" t="str">
        <f>+HYPERLINK("http://trademark.i-assist.jp/data/china/image_1926th/82412070.pdf","82412070")</f>
        <v>82412070</v>
      </c>
      <c r="F1988" s="12" t="s">
        <v>5468</v>
      </c>
      <c r="G1988" s="12" t="s">
        <v>5469</v>
      </c>
      <c r="H1988" s="9" t="s">
        <v>5470</v>
      </c>
      <c r="I1988" s="10">
        <v>45632</v>
      </c>
    </row>
    <row r="1989" spans="1:9" x14ac:dyDescent="0.15">
      <c r="A1989" s="9">
        <v>1988</v>
      </c>
      <c r="B1989" s="9" t="s">
        <v>9</v>
      </c>
      <c r="C1989" s="9">
        <v>1926</v>
      </c>
      <c r="D1989" s="10">
        <v>45722</v>
      </c>
      <c r="E1989" s="11" t="str">
        <f>+HYPERLINK("http://trademark.i-assist.jp/data/china/image_1926th/82412076.pdf","82412076")</f>
        <v>82412076</v>
      </c>
      <c r="F1989" s="9" t="s">
        <v>5471</v>
      </c>
      <c r="G1989" s="12" t="s">
        <v>5275</v>
      </c>
      <c r="H1989" s="9" t="s">
        <v>5472</v>
      </c>
      <c r="I1989" s="10">
        <v>45632</v>
      </c>
    </row>
    <row r="1990" spans="1:9" x14ac:dyDescent="0.15">
      <c r="A1990" s="9">
        <v>1989</v>
      </c>
      <c r="B1990" s="9" t="s">
        <v>9</v>
      </c>
      <c r="C1990" s="9">
        <v>1926</v>
      </c>
      <c r="D1990" s="10">
        <v>45722</v>
      </c>
      <c r="E1990" s="11" t="str">
        <f>+HYPERLINK("http://trademark.i-assist.jp/data/china/image_1926th/82412094.pdf","82412094")</f>
        <v>82412094</v>
      </c>
      <c r="F1990" s="9" t="s">
        <v>5473</v>
      </c>
      <c r="G1990" s="12" t="s">
        <v>5224</v>
      </c>
      <c r="H1990" s="9" t="s">
        <v>5474</v>
      </c>
      <c r="I1990" s="10">
        <v>45632</v>
      </c>
    </row>
    <row r="1991" spans="1:9" x14ac:dyDescent="0.15">
      <c r="A1991" s="9">
        <v>1990</v>
      </c>
      <c r="B1991" s="9" t="s">
        <v>9</v>
      </c>
      <c r="C1991" s="9">
        <v>1926</v>
      </c>
      <c r="D1991" s="10">
        <v>45722</v>
      </c>
      <c r="E1991" s="11" t="str">
        <f>+HYPERLINK("http://trademark.i-assist.jp/data/china/image_1926th/82412591.pdf","82412591")</f>
        <v>82412591</v>
      </c>
      <c r="F1991" s="12" t="s">
        <v>5475</v>
      </c>
      <c r="G1991" s="9" t="s">
        <v>157</v>
      </c>
      <c r="H1991" s="9" t="s">
        <v>5476</v>
      </c>
      <c r="I1991" s="10">
        <v>45632</v>
      </c>
    </row>
    <row r="1992" spans="1:9" x14ac:dyDescent="0.15">
      <c r="A1992" s="9">
        <v>1991</v>
      </c>
      <c r="B1992" s="9" t="s">
        <v>9</v>
      </c>
      <c r="C1992" s="9">
        <v>1926</v>
      </c>
      <c r="D1992" s="10">
        <v>45722</v>
      </c>
      <c r="E1992" s="11" t="str">
        <f>+HYPERLINK("http://trademark.i-assist.jp/data/china/image_1926th/82412642.pdf","82412642")</f>
        <v>82412642</v>
      </c>
      <c r="F1992" s="9" t="s">
        <v>5477</v>
      </c>
      <c r="G1992" s="12" t="s">
        <v>5144</v>
      </c>
      <c r="H1992" s="9" t="s">
        <v>5478</v>
      </c>
      <c r="I1992" s="10">
        <v>45632</v>
      </c>
    </row>
    <row r="1993" spans="1:9" x14ac:dyDescent="0.15">
      <c r="A1993" s="9">
        <v>1992</v>
      </c>
      <c r="B1993" s="9" t="s">
        <v>9</v>
      </c>
      <c r="C1993" s="9">
        <v>1926</v>
      </c>
      <c r="D1993" s="10">
        <v>45722</v>
      </c>
      <c r="E1993" s="11" t="str">
        <f>+HYPERLINK("http://trademark.i-assist.jp/data/china/image_1926th/82412724.pdf","82412724")</f>
        <v>82412724</v>
      </c>
      <c r="F1993" s="12" t="s">
        <v>5479</v>
      </c>
      <c r="G1993" s="12" t="s">
        <v>5480</v>
      </c>
      <c r="H1993" s="9" t="s">
        <v>5481</v>
      </c>
      <c r="I1993" s="10">
        <v>45632</v>
      </c>
    </row>
    <row r="1994" spans="1:9" x14ac:dyDescent="0.15">
      <c r="A1994" s="9">
        <v>1993</v>
      </c>
      <c r="B1994" s="9" t="s">
        <v>9</v>
      </c>
      <c r="C1994" s="9">
        <v>1926</v>
      </c>
      <c r="D1994" s="10">
        <v>45722</v>
      </c>
      <c r="E1994" s="11" t="str">
        <f>+HYPERLINK("http://trademark.i-assist.jp/data/china/image_1926th/82412833.pdf","82412833")</f>
        <v>82412833</v>
      </c>
      <c r="F1994" s="9" t="s">
        <v>5482</v>
      </c>
      <c r="G1994" s="9" t="s">
        <v>5483</v>
      </c>
      <c r="H1994" s="9" t="s">
        <v>5484</v>
      </c>
      <c r="I1994" s="10">
        <v>45632</v>
      </c>
    </row>
    <row r="1995" spans="1:9" x14ac:dyDescent="0.15">
      <c r="A1995" s="9">
        <v>1994</v>
      </c>
      <c r="B1995" s="9" t="s">
        <v>9</v>
      </c>
      <c r="C1995" s="9">
        <v>1926</v>
      </c>
      <c r="D1995" s="10">
        <v>45722</v>
      </c>
      <c r="E1995" s="11" t="str">
        <f>+HYPERLINK("http://trademark.i-assist.jp/data/china/image_1926th/82412921.pdf","82412921")</f>
        <v>82412921</v>
      </c>
      <c r="F1995" s="12" t="s">
        <v>5485</v>
      </c>
      <c r="G1995" s="12" t="s">
        <v>5486</v>
      </c>
      <c r="H1995" s="9" t="s">
        <v>5487</v>
      </c>
      <c r="I1995" s="10">
        <v>45632</v>
      </c>
    </row>
    <row r="1996" spans="1:9" x14ac:dyDescent="0.15">
      <c r="A1996" s="9">
        <v>1995</v>
      </c>
      <c r="B1996" s="9" t="s">
        <v>9</v>
      </c>
      <c r="C1996" s="9">
        <v>1926</v>
      </c>
      <c r="D1996" s="10">
        <v>45722</v>
      </c>
      <c r="E1996" s="11" t="str">
        <f>+HYPERLINK("http://trademark.i-assist.jp/data/china/image_1926th/82412929.pdf","82412929")</f>
        <v>82412929</v>
      </c>
      <c r="F1996" s="12" t="s">
        <v>20</v>
      </c>
      <c r="G1996" s="12" t="s">
        <v>5488</v>
      </c>
      <c r="H1996" s="9" t="s">
        <v>5489</v>
      </c>
      <c r="I1996" s="10">
        <v>45632</v>
      </c>
    </row>
    <row r="1997" spans="1:9" x14ac:dyDescent="0.15">
      <c r="A1997" s="9">
        <v>1996</v>
      </c>
      <c r="B1997" s="9" t="s">
        <v>9</v>
      </c>
      <c r="C1997" s="9">
        <v>1926</v>
      </c>
      <c r="D1997" s="10">
        <v>45722</v>
      </c>
      <c r="E1997" s="11" t="str">
        <f>+HYPERLINK("http://trademark.i-assist.jp/data/china/image_1926th/82413117.pdf","82413117")</f>
        <v>82413117</v>
      </c>
      <c r="F1997" s="9" t="s">
        <v>5490</v>
      </c>
      <c r="G1997" s="12" t="s">
        <v>5491</v>
      </c>
      <c r="H1997" s="9" t="s">
        <v>5492</v>
      </c>
      <c r="I1997" s="10">
        <v>45632</v>
      </c>
    </row>
    <row r="1998" spans="1:9" x14ac:dyDescent="0.15">
      <c r="A1998" s="9">
        <v>1997</v>
      </c>
      <c r="B1998" s="9" t="s">
        <v>9</v>
      </c>
      <c r="C1998" s="9">
        <v>1926</v>
      </c>
      <c r="D1998" s="10">
        <v>45722</v>
      </c>
      <c r="E1998" s="11" t="str">
        <f>+HYPERLINK("http://trademark.i-assist.jp/data/china/image_1926th/82413445.pdf","82413445")</f>
        <v>82413445</v>
      </c>
      <c r="F1998" s="9" t="s">
        <v>5493</v>
      </c>
      <c r="G1998" s="9" t="s">
        <v>5494</v>
      </c>
      <c r="H1998" s="9" t="s">
        <v>5495</v>
      </c>
      <c r="I1998" s="10">
        <v>45633</v>
      </c>
    </row>
    <row r="1999" spans="1:9" x14ac:dyDescent="0.15">
      <c r="A1999" s="9">
        <v>1998</v>
      </c>
      <c r="B1999" s="9" t="s">
        <v>9</v>
      </c>
      <c r="C1999" s="9">
        <v>1926</v>
      </c>
      <c r="D1999" s="10">
        <v>45722</v>
      </c>
      <c r="E1999" s="11" t="str">
        <f>+HYPERLINK("http://trademark.i-assist.jp/data/china/image_1926th/82414127.pdf","82414127")</f>
        <v>82414127</v>
      </c>
      <c r="F1999" s="9" t="s">
        <v>5496</v>
      </c>
      <c r="G1999" s="12" t="s">
        <v>5497</v>
      </c>
      <c r="H1999" s="9" t="s">
        <v>5498</v>
      </c>
      <c r="I1999" s="10">
        <v>45633</v>
      </c>
    </row>
    <row r="2000" spans="1:9" x14ac:dyDescent="0.15">
      <c r="A2000" s="9">
        <v>1999</v>
      </c>
      <c r="B2000" s="9" t="s">
        <v>9</v>
      </c>
      <c r="C2000" s="9">
        <v>1926</v>
      </c>
      <c r="D2000" s="10">
        <v>45722</v>
      </c>
      <c r="E2000" s="11" t="str">
        <f>+HYPERLINK("http://trademark.i-assist.jp/data/china/image_1926th/82414264.pdf","82414264")</f>
        <v>82414264</v>
      </c>
      <c r="F2000" s="9" t="s">
        <v>5499</v>
      </c>
      <c r="G2000" s="12" t="s">
        <v>5500</v>
      </c>
      <c r="H2000" s="9" t="s">
        <v>5501</v>
      </c>
      <c r="I2000" s="10">
        <v>45633</v>
      </c>
    </row>
    <row r="2001" spans="1:9" x14ac:dyDescent="0.15">
      <c r="A2001" s="9">
        <v>2000</v>
      </c>
      <c r="B2001" s="9" t="s">
        <v>9</v>
      </c>
      <c r="C2001" s="9">
        <v>1926</v>
      </c>
      <c r="D2001" s="10">
        <v>45722</v>
      </c>
      <c r="E2001" s="11" t="str">
        <f>+HYPERLINK("http://trademark.i-assist.jp/data/china/image_1926th/82414326.pdf","82414326")</f>
        <v>82414326</v>
      </c>
      <c r="F2001" s="12" t="s">
        <v>5502</v>
      </c>
      <c r="G2001" s="12" t="s">
        <v>5503</v>
      </c>
      <c r="H2001" s="9" t="s">
        <v>5504</v>
      </c>
      <c r="I2001" s="10">
        <v>45633</v>
      </c>
    </row>
    <row r="2002" spans="1:9" x14ac:dyDescent="0.15">
      <c r="A2002" s="9">
        <v>2001</v>
      </c>
      <c r="B2002" s="9" t="s">
        <v>9</v>
      </c>
      <c r="C2002" s="9">
        <v>1926</v>
      </c>
      <c r="D2002" s="10">
        <v>45722</v>
      </c>
      <c r="E2002" s="11" t="str">
        <f>+HYPERLINK("http://trademark.i-assist.jp/data/china/image_1926th/82414489.pdf","82414489")</f>
        <v>82414489</v>
      </c>
      <c r="F2002" s="12" t="s">
        <v>20</v>
      </c>
      <c r="G2002" s="9" t="s">
        <v>5505</v>
      </c>
      <c r="H2002" s="9" t="s">
        <v>5506</v>
      </c>
      <c r="I2002" s="10">
        <v>45633</v>
      </c>
    </row>
    <row r="2003" spans="1:9" x14ac:dyDescent="0.15">
      <c r="A2003" s="9">
        <v>2002</v>
      </c>
      <c r="B2003" s="9" t="s">
        <v>9</v>
      </c>
      <c r="C2003" s="9">
        <v>1926</v>
      </c>
      <c r="D2003" s="10">
        <v>45722</v>
      </c>
      <c r="E2003" s="11" t="str">
        <f>+HYPERLINK("http://trademark.i-assist.jp/data/china/image_1926th/82414533.pdf","82414533")</f>
        <v>82414533</v>
      </c>
      <c r="F2003" s="9" t="s">
        <v>5507</v>
      </c>
      <c r="G2003" s="12" t="s">
        <v>5508</v>
      </c>
      <c r="H2003" s="9" t="s">
        <v>5509</v>
      </c>
      <c r="I2003" s="10">
        <v>45633</v>
      </c>
    </row>
    <row r="2004" spans="1:9" x14ac:dyDescent="0.15">
      <c r="A2004" s="9">
        <v>2003</v>
      </c>
      <c r="B2004" s="9" t="s">
        <v>9</v>
      </c>
      <c r="C2004" s="9">
        <v>1926</v>
      </c>
      <c r="D2004" s="10">
        <v>45722</v>
      </c>
      <c r="E2004" s="11" t="str">
        <f>+HYPERLINK("http://trademark.i-assist.jp/data/china/image_1926th/82414554.pdf","82414554")</f>
        <v>82414554</v>
      </c>
      <c r="F2004" s="12" t="s">
        <v>5510</v>
      </c>
      <c r="G2004" s="9" t="s">
        <v>5511</v>
      </c>
      <c r="H2004" s="9" t="s">
        <v>5512</v>
      </c>
      <c r="I2004" s="10">
        <v>45633</v>
      </c>
    </row>
    <row r="2005" spans="1:9" x14ac:dyDescent="0.15">
      <c r="A2005" s="9">
        <v>2004</v>
      </c>
      <c r="B2005" s="9" t="s">
        <v>9</v>
      </c>
      <c r="C2005" s="9">
        <v>1926</v>
      </c>
      <c r="D2005" s="10">
        <v>45722</v>
      </c>
      <c r="E2005" s="11" t="str">
        <f>+HYPERLINK("http://trademark.i-assist.jp/data/china/image_1926th/82414757.pdf","82414757")</f>
        <v>82414757</v>
      </c>
      <c r="F2005" s="12" t="s">
        <v>5513</v>
      </c>
      <c r="G2005" s="9" t="s">
        <v>156</v>
      </c>
      <c r="H2005" s="9" t="s">
        <v>5514</v>
      </c>
      <c r="I2005" s="10">
        <v>45633</v>
      </c>
    </row>
    <row r="2006" spans="1:9" x14ac:dyDescent="0.15">
      <c r="A2006" s="9">
        <v>2005</v>
      </c>
      <c r="B2006" s="9" t="s">
        <v>9</v>
      </c>
      <c r="C2006" s="9">
        <v>1926</v>
      </c>
      <c r="D2006" s="10">
        <v>45722</v>
      </c>
      <c r="E2006" s="11" t="str">
        <f>+HYPERLINK("http://trademark.i-assist.jp/data/china/image_1926th/82415159.pdf","82415159")</f>
        <v>82415159</v>
      </c>
      <c r="F2006" s="12" t="s">
        <v>5515</v>
      </c>
      <c r="G2006" s="9" t="s">
        <v>5516</v>
      </c>
      <c r="H2006" s="9" t="s">
        <v>5517</v>
      </c>
      <c r="I2006" s="10">
        <v>45633</v>
      </c>
    </row>
    <row r="2007" spans="1:9" x14ac:dyDescent="0.15">
      <c r="A2007" s="9">
        <v>2006</v>
      </c>
      <c r="B2007" s="9" t="s">
        <v>9</v>
      </c>
      <c r="C2007" s="9">
        <v>1926</v>
      </c>
      <c r="D2007" s="10">
        <v>45722</v>
      </c>
      <c r="E2007" s="11" t="str">
        <f>+HYPERLINK("http://trademark.i-assist.jp/data/china/image_1926th/82415276.pdf","82415276")</f>
        <v>82415276</v>
      </c>
      <c r="F2007" s="9" t="s">
        <v>5518</v>
      </c>
      <c r="G2007" s="9" t="s">
        <v>5519</v>
      </c>
      <c r="H2007" s="12" t="s">
        <v>5520</v>
      </c>
      <c r="I2007" s="10">
        <v>45633</v>
      </c>
    </row>
    <row r="2008" spans="1:9" x14ac:dyDescent="0.15">
      <c r="A2008" s="9">
        <v>2007</v>
      </c>
      <c r="B2008" s="9" t="s">
        <v>9</v>
      </c>
      <c r="C2008" s="9">
        <v>1926</v>
      </c>
      <c r="D2008" s="10">
        <v>45722</v>
      </c>
      <c r="E2008" s="11" t="str">
        <f>+HYPERLINK("http://trademark.i-assist.jp/data/china/image_1926th/82415336.pdf","82415336")</f>
        <v>82415336</v>
      </c>
      <c r="F2008" s="9" t="s">
        <v>5521</v>
      </c>
      <c r="G2008" s="12" t="s">
        <v>5522</v>
      </c>
      <c r="H2008" s="9" t="s">
        <v>5523</v>
      </c>
      <c r="I2008" s="10">
        <v>45633</v>
      </c>
    </row>
    <row r="2009" spans="1:9" x14ac:dyDescent="0.15">
      <c r="A2009" s="9">
        <v>2008</v>
      </c>
      <c r="B2009" s="9" t="s">
        <v>9</v>
      </c>
      <c r="C2009" s="9">
        <v>1926</v>
      </c>
      <c r="D2009" s="10">
        <v>45722</v>
      </c>
      <c r="E2009" s="11" t="str">
        <f>+HYPERLINK("http://trademark.i-assist.jp/data/china/image_1926th/82415940.pdf","82415940")</f>
        <v>82415940</v>
      </c>
      <c r="F2009" s="9" t="s">
        <v>5524</v>
      </c>
      <c r="G2009" s="9" t="s">
        <v>5511</v>
      </c>
      <c r="H2009" s="12" t="s">
        <v>5525</v>
      </c>
      <c r="I2009" s="10">
        <v>45633</v>
      </c>
    </row>
    <row r="2010" spans="1:9" x14ac:dyDescent="0.15">
      <c r="A2010" s="9">
        <v>2009</v>
      </c>
      <c r="B2010" s="9" t="s">
        <v>9</v>
      </c>
      <c r="C2010" s="9">
        <v>1926</v>
      </c>
      <c r="D2010" s="10">
        <v>45722</v>
      </c>
      <c r="E2010" s="11" t="str">
        <f>+HYPERLINK("http://trademark.i-assist.jp/data/china/image_1926th/82416537.pdf","82416537")</f>
        <v>82416537</v>
      </c>
      <c r="F2010" s="12" t="s">
        <v>5526</v>
      </c>
      <c r="G2010" s="9" t="s">
        <v>5527</v>
      </c>
      <c r="H2010" s="9" t="s">
        <v>5528</v>
      </c>
      <c r="I2010" s="10">
        <v>45633</v>
      </c>
    </row>
    <row r="2011" spans="1:9" x14ac:dyDescent="0.15">
      <c r="A2011" s="9">
        <v>2010</v>
      </c>
      <c r="B2011" s="9" t="s">
        <v>9</v>
      </c>
      <c r="C2011" s="9">
        <v>1926</v>
      </c>
      <c r="D2011" s="10">
        <v>45722</v>
      </c>
      <c r="E2011" s="11" t="str">
        <f>+HYPERLINK("http://trademark.i-assist.jp/data/china/image_1926th/82416611.pdf","82416611")</f>
        <v>82416611</v>
      </c>
      <c r="F2011" s="9" t="s">
        <v>5529</v>
      </c>
      <c r="G2011" s="9" t="s">
        <v>5530</v>
      </c>
      <c r="H2011" s="9" t="s">
        <v>5531</v>
      </c>
      <c r="I2011" s="10">
        <v>45633</v>
      </c>
    </row>
    <row r="2012" spans="1:9" x14ac:dyDescent="0.15">
      <c r="A2012" s="9">
        <v>2011</v>
      </c>
      <c r="B2012" s="9" t="s">
        <v>9</v>
      </c>
      <c r="C2012" s="9">
        <v>1926</v>
      </c>
      <c r="D2012" s="10">
        <v>45722</v>
      </c>
      <c r="E2012" s="11" t="str">
        <f>+HYPERLINK("http://trademark.i-assist.jp/data/china/image_1926th/82416672.pdf","82416672")</f>
        <v>82416672</v>
      </c>
      <c r="F2012" s="12" t="s">
        <v>5532</v>
      </c>
      <c r="G2012" s="9" t="s">
        <v>5533</v>
      </c>
      <c r="H2012" s="9" t="s">
        <v>5534</v>
      </c>
      <c r="I2012" s="10">
        <v>45633</v>
      </c>
    </row>
    <row r="2013" spans="1:9" x14ac:dyDescent="0.15">
      <c r="A2013" s="9">
        <v>2012</v>
      </c>
      <c r="B2013" s="9" t="s">
        <v>9</v>
      </c>
      <c r="C2013" s="9">
        <v>1926</v>
      </c>
      <c r="D2013" s="10">
        <v>45722</v>
      </c>
      <c r="E2013" s="11" t="str">
        <f>+HYPERLINK("http://trademark.i-assist.jp/data/china/image_1926th/82416791.pdf","82416791")</f>
        <v>82416791</v>
      </c>
      <c r="F2013" s="9" t="s">
        <v>5535</v>
      </c>
      <c r="G2013" s="9" t="s">
        <v>5536</v>
      </c>
      <c r="H2013" s="9" t="s">
        <v>5537</v>
      </c>
      <c r="I2013" s="10">
        <v>45633</v>
      </c>
    </row>
    <row r="2014" spans="1:9" x14ac:dyDescent="0.15">
      <c r="A2014" s="9">
        <v>2013</v>
      </c>
      <c r="B2014" s="9" t="s">
        <v>9</v>
      </c>
      <c r="C2014" s="9">
        <v>1926</v>
      </c>
      <c r="D2014" s="10">
        <v>45722</v>
      </c>
      <c r="E2014" s="11" t="str">
        <f>+HYPERLINK("http://trademark.i-assist.jp/data/china/image_1926th/82416895.pdf","82416895")</f>
        <v>82416895</v>
      </c>
      <c r="F2014" s="12" t="s">
        <v>20</v>
      </c>
      <c r="G2014" s="9" t="s">
        <v>5538</v>
      </c>
      <c r="H2014" s="12" t="s">
        <v>5539</v>
      </c>
      <c r="I2014" s="10">
        <v>45633</v>
      </c>
    </row>
    <row r="2015" spans="1:9" x14ac:dyDescent="0.15">
      <c r="A2015" s="9">
        <v>2014</v>
      </c>
      <c r="B2015" s="9" t="s">
        <v>9</v>
      </c>
      <c r="C2015" s="9">
        <v>1926</v>
      </c>
      <c r="D2015" s="10">
        <v>45722</v>
      </c>
      <c r="E2015" s="11" t="str">
        <f>+HYPERLINK("http://trademark.i-assist.jp/data/china/image_1926th/82417021.pdf","82417021")</f>
        <v>82417021</v>
      </c>
      <c r="F2015" s="9" t="s">
        <v>5540</v>
      </c>
      <c r="G2015" s="9" t="s">
        <v>5541</v>
      </c>
      <c r="H2015" s="9" t="s">
        <v>5542</v>
      </c>
      <c r="I2015" s="10">
        <v>45633</v>
      </c>
    </row>
    <row r="2016" spans="1:9" x14ac:dyDescent="0.15">
      <c r="A2016" s="9">
        <v>2015</v>
      </c>
      <c r="B2016" s="9" t="s">
        <v>9</v>
      </c>
      <c r="C2016" s="9">
        <v>1926</v>
      </c>
      <c r="D2016" s="10">
        <v>45722</v>
      </c>
      <c r="E2016" s="11" t="str">
        <f>+HYPERLINK("http://trademark.i-assist.jp/data/china/image_1926th/82417242.pdf","82417242")</f>
        <v>82417242</v>
      </c>
      <c r="F2016" s="12" t="s">
        <v>20</v>
      </c>
      <c r="G2016" s="9" t="s">
        <v>5543</v>
      </c>
      <c r="H2016" s="9" t="s">
        <v>5544</v>
      </c>
      <c r="I2016" s="10">
        <v>45633</v>
      </c>
    </row>
    <row r="2017" spans="1:9" x14ac:dyDescent="0.15">
      <c r="A2017" s="9">
        <v>2016</v>
      </c>
      <c r="B2017" s="9" t="s">
        <v>9</v>
      </c>
      <c r="C2017" s="9">
        <v>1926</v>
      </c>
      <c r="D2017" s="10">
        <v>45722</v>
      </c>
      <c r="E2017" s="11" t="str">
        <f>+HYPERLINK("http://trademark.i-assist.jp/data/china/image_1926th/82417288.pdf","82417288")</f>
        <v>82417288</v>
      </c>
      <c r="F2017" s="9" t="s">
        <v>5545</v>
      </c>
      <c r="G2017" s="9" t="s">
        <v>5546</v>
      </c>
      <c r="H2017" s="9" t="s">
        <v>5547</v>
      </c>
      <c r="I2017" s="10">
        <v>45633</v>
      </c>
    </row>
    <row r="2018" spans="1:9" x14ac:dyDescent="0.15">
      <c r="A2018" s="9">
        <v>2017</v>
      </c>
      <c r="B2018" s="9" t="s">
        <v>9</v>
      </c>
      <c r="C2018" s="9">
        <v>1926</v>
      </c>
      <c r="D2018" s="10">
        <v>45722</v>
      </c>
      <c r="E2018" s="11" t="str">
        <f>+HYPERLINK("http://trademark.i-assist.jp/data/china/image_1926th/82417833.pdf","82417833")</f>
        <v>82417833</v>
      </c>
      <c r="F2018" s="12" t="s">
        <v>5548</v>
      </c>
      <c r="G2018" s="12" t="s">
        <v>5549</v>
      </c>
      <c r="H2018" s="9" t="s">
        <v>5550</v>
      </c>
      <c r="I2018" s="10">
        <v>45633</v>
      </c>
    </row>
    <row r="2019" spans="1:9" x14ac:dyDescent="0.15">
      <c r="A2019" s="9">
        <v>2018</v>
      </c>
      <c r="B2019" s="9" t="s">
        <v>9</v>
      </c>
      <c r="C2019" s="9">
        <v>1926</v>
      </c>
      <c r="D2019" s="10">
        <v>45722</v>
      </c>
      <c r="E2019" s="11" t="str">
        <f>+HYPERLINK("http://trademark.i-assist.jp/data/china/image_1926th/82418010.pdf","82418010")</f>
        <v>82418010</v>
      </c>
      <c r="F2019" s="12" t="s">
        <v>5551</v>
      </c>
      <c r="G2019" s="9" t="s">
        <v>5511</v>
      </c>
      <c r="H2019" s="9" t="s">
        <v>5552</v>
      </c>
      <c r="I2019" s="10">
        <v>45633</v>
      </c>
    </row>
    <row r="2020" spans="1:9" x14ac:dyDescent="0.15">
      <c r="A2020" s="9">
        <v>2019</v>
      </c>
      <c r="B2020" s="9" t="s">
        <v>9</v>
      </c>
      <c r="C2020" s="9">
        <v>1926</v>
      </c>
      <c r="D2020" s="10">
        <v>45722</v>
      </c>
      <c r="E2020" s="11" t="str">
        <f>+HYPERLINK("http://trademark.i-assist.jp/data/china/image_1926th/82418093.pdf","82418093")</f>
        <v>82418093</v>
      </c>
      <c r="F2020" s="9" t="s">
        <v>5553</v>
      </c>
      <c r="G2020" s="9" t="s">
        <v>5554</v>
      </c>
      <c r="H2020" s="9" t="s">
        <v>5555</v>
      </c>
      <c r="I2020" s="10">
        <v>45633</v>
      </c>
    </row>
    <row r="2021" spans="1:9" x14ac:dyDescent="0.15">
      <c r="A2021" s="9">
        <v>2020</v>
      </c>
      <c r="B2021" s="9" t="s">
        <v>9</v>
      </c>
      <c r="C2021" s="9">
        <v>1926</v>
      </c>
      <c r="D2021" s="10">
        <v>45722</v>
      </c>
      <c r="E2021" s="11" t="str">
        <f>+HYPERLINK("http://trademark.i-assist.jp/data/china/image_1926th/82418370.pdf","82418370")</f>
        <v>82418370</v>
      </c>
      <c r="F2021" s="12" t="s">
        <v>5556</v>
      </c>
      <c r="G2021" s="9" t="s">
        <v>5511</v>
      </c>
      <c r="H2021" s="9" t="s">
        <v>5557</v>
      </c>
      <c r="I2021" s="10">
        <v>45633</v>
      </c>
    </row>
    <row r="2022" spans="1:9" x14ac:dyDescent="0.15">
      <c r="A2022" s="9">
        <v>2021</v>
      </c>
      <c r="B2022" s="9" t="s">
        <v>9</v>
      </c>
      <c r="C2022" s="9">
        <v>1926</v>
      </c>
      <c r="D2022" s="10">
        <v>45722</v>
      </c>
      <c r="E2022" s="11" t="str">
        <f>+HYPERLINK("http://trademark.i-assist.jp/data/china/image_1926th/82418758.pdf","82418758")</f>
        <v>82418758</v>
      </c>
      <c r="F2022" s="9" t="s">
        <v>5558</v>
      </c>
      <c r="G2022" s="9" t="s">
        <v>5559</v>
      </c>
      <c r="H2022" s="9" t="s">
        <v>5560</v>
      </c>
      <c r="I2022" s="10">
        <v>45633</v>
      </c>
    </row>
    <row r="2023" spans="1:9" x14ac:dyDescent="0.15">
      <c r="A2023" s="9">
        <v>2022</v>
      </c>
      <c r="B2023" s="9" t="s">
        <v>9</v>
      </c>
      <c r="C2023" s="9">
        <v>1926</v>
      </c>
      <c r="D2023" s="10">
        <v>45722</v>
      </c>
      <c r="E2023" s="11" t="str">
        <f>+HYPERLINK("http://trademark.i-assist.jp/data/china/image_1926th/82418946.pdf","82418946")</f>
        <v>82418946</v>
      </c>
      <c r="F2023" s="9" t="s">
        <v>5561</v>
      </c>
      <c r="G2023" s="12" t="s">
        <v>5562</v>
      </c>
      <c r="H2023" s="9" t="s">
        <v>5563</v>
      </c>
      <c r="I2023" s="10">
        <v>45633</v>
      </c>
    </row>
    <row r="2024" spans="1:9" x14ac:dyDescent="0.15">
      <c r="A2024" s="9">
        <v>2023</v>
      </c>
      <c r="B2024" s="9" t="s">
        <v>9</v>
      </c>
      <c r="C2024" s="9">
        <v>1926</v>
      </c>
      <c r="D2024" s="10">
        <v>45722</v>
      </c>
      <c r="E2024" s="11" t="str">
        <f>+HYPERLINK("http://trademark.i-assist.jp/data/china/image_1926th/82419058.pdf","82419058")</f>
        <v>82419058</v>
      </c>
      <c r="F2024" s="9" t="s">
        <v>5564</v>
      </c>
      <c r="G2024" s="9" t="s">
        <v>5565</v>
      </c>
      <c r="H2024" s="9" t="s">
        <v>5566</v>
      </c>
      <c r="I2024" s="10">
        <v>45633</v>
      </c>
    </row>
    <row r="2025" spans="1:9" x14ac:dyDescent="0.15">
      <c r="A2025" s="9">
        <v>2024</v>
      </c>
      <c r="B2025" s="9" t="s">
        <v>9</v>
      </c>
      <c r="C2025" s="9">
        <v>1926</v>
      </c>
      <c r="D2025" s="10">
        <v>45722</v>
      </c>
      <c r="E2025" s="11" t="str">
        <f>+HYPERLINK("http://trademark.i-assist.jp/data/china/image_1926th/82419272.pdf","82419272")</f>
        <v>82419272</v>
      </c>
      <c r="F2025" s="13" t="s">
        <v>5567</v>
      </c>
      <c r="G2025" s="9" t="s">
        <v>5543</v>
      </c>
      <c r="H2025" s="9" t="s">
        <v>5568</v>
      </c>
      <c r="I2025" s="10">
        <v>45633</v>
      </c>
    </row>
    <row r="2026" spans="1:9" x14ac:dyDescent="0.15">
      <c r="A2026" s="9">
        <v>2025</v>
      </c>
      <c r="B2026" s="9" t="s">
        <v>9</v>
      </c>
      <c r="C2026" s="9">
        <v>1926</v>
      </c>
      <c r="D2026" s="10">
        <v>45722</v>
      </c>
      <c r="E2026" s="11" t="str">
        <f>+HYPERLINK("http://trademark.i-assist.jp/data/china/image_1926th/82419483.pdf","82419483")</f>
        <v>82419483</v>
      </c>
      <c r="F2026" s="9" t="s">
        <v>5569</v>
      </c>
      <c r="G2026" s="9" t="s">
        <v>5570</v>
      </c>
      <c r="H2026" s="9" t="s">
        <v>5571</v>
      </c>
      <c r="I2026" s="10">
        <v>45634</v>
      </c>
    </row>
    <row r="2027" spans="1:9" x14ac:dyDescent="0.15">
      <c r="A2027" s="9">
        <v>2026</v>
      </c>
      <c r="B2027" s="9" t="s">
        <v>9</v>
      </c>
      <c r="C2027" s="9">
        <v>1926</v>
      </c>
      <c r="D2027" s="10">
        <v>45722</v>
      </c>
      <c r="E2027" s="11" t="str">
        <f>+HYPERLINK("http://trademark.i-assist.jp/data/china/image_1926th/82419581.pdf","82419581")</f>
        <v>82419581</v>
      </c>
      <c r="F2027" s="9" t="s">
        <v>5572</v>
      </c>
      <c r="G2027" s="9" t="s">
        <v>5573</v>
      </c>
      <c r="H2027" s="9" t="s">
        <v>5574</v>
      </c>
      <c r="I2027" s="10">
        <v>45634</v>
      </c>
    </row>
    <row r="2028" spans="1:9" x14ac:dyDescent="0.15">
      <c r="A2028" s="9">
        <v>2027</v>
      </c>
      <c r="B2028" s="9" t="s">
        <v>9</v>
      </c>
      <c r="C2028" s="9">
        <v>1926</v>
      </c>
      <c r="D2028" s="10">
        <v>45722</v>
      </c>
      <c r="E2028" s="11" t="str">
        <f>+HYPERLINK("http://trademark.i-assist.jp/data/china/image_1926th/82419695.pdf","82419695")</f>
        <v>82419695</v>
      </c>
      <c r="F2028" s="9" t="s">
        <v>5575</v>
      </c>
      <c r="G2028" s="9" t="s">
        <v>5576</v>
      </c>
      <c r="H2028" s="9" t="s">
        <v>5577</v>
      </c>
      <c r="I2028" s="10">
        <v>45634</v>
      </c>
    </row>
    <row r="2029" spans="1:9" x14ac:dyDescent="0.15">
      <c r="A2029" s="9">
        <v>2028</v>
      </c>
      <c r="B2029" s="9" t="s">
        <v>9</v>
      </c>
      <c r="C2029" s="9">
        <v>1926</v>
      </c>
      <c r="D2029" s="10">
        <v>45722</v>
      </c>
      <c r="E2029" s="11" t="str">
        <f>+HYPERLINK("http://trademark.i-assist.jp/data/china/image_1926th/82419945.pdf","82419945")</f>
        <v>82419945</v>
      </c>
      <c r="F2029" s="9" t="s">
        <v>5578</v>
      </c>
      <c r="G2029" s="9" t="s">
        <v>5579</v>
      </c>
      <c r="H2029" s="12" t="s">
        <v>5580</v>
      </c>
      <c r="I2029" s="10">
        <v>45634</v>
      </c>
    </row>
    <row r="2030" spans="1:9" x14ac:dyDescent="0.15">
      <c r="A2030" s="9">
        <v>2029</v>
      </c>
      <c r="B2030" s="9" t="s">
        <v>9</v>
      </c>
      <c r="C2030" s="9">
        <v>1926</v>
      </c>
      <c r="D2030" s="10">
        <v>45722</v>
      </c>
      <c r="E2030" s="11" t="str">
        <f>+HYPERLINK("http://trademark.i-assist.jp/data/china/image_1926th/82420014.pdf","82420014")</f>
        <v>82420014</v>
      </c>
      <c r="F2030" s="9" t="s">
        <v>5581</v>
      </c>
      <c r="G2030" s="12" t="s">
        <v>5582</v>
      </c>
      <c r="H2030" s="9" t="s">
        <v>5583</v>
      </c>
      <c r="I2030" s="10">
        <v>45634</v>
      </c>
    </row>
    <row r="2031" spans="1:9" x14ac:dyDescent="0.15">
      <c r="A2031" s="9">
        <v>2030</v>
      </c>
      <c r="B2031" s="9" t="s">
        <v>9</v>
      </c>
      <c r="C2031" s="9">
        <v>1926</v>
      </c>
      <c r="D2031" s="10">
        <v>45722</v>
      </c>
      <c r="E2031" s="11" t="str">
        <f>+HYPERLINK("http://trademark.i-assist.jp/data/china/image_1926th/82420394.pdf","82420394")</f>
        <v>82420394</v>
      </c>
      <c r="F2031" s="9" t="s">
        <v>5584</v>
      </c>
      <c r="G2031" s="9" t="s">
        <v>5585</v>
      </c>
      <c r="H2031" s="9" t="s">
        <v>5586</v>
      </c>
      <c r="I2031" s="10">
        <v>45634</v>
      </c>
    </row>
    <row r="2032" spans="1:9" x14ac:dyDescent="0.15">
      <c r="A2032" s="9">
        <v>2031</v>
      </c>
      <c r="B2032" s="9" t="s">
        <v>9</v>
      </c>
      <c r="C2032" s="9">
        <v>1926</v>
      </c>
      <c r="D2032" s="10">
        <v>45722</v>
      </c>
      <c r="E2032" s="11" t="str">
        <f>+HYPERLINK("http://trademark.i-assist.jp/data/china/image_1926th/82420951.pdf","82420951")</f>
        <v>82420951</v>
      </c>
      <c r="F2032" s="9" t="s">
        <v>5587</v>
      </c>
      <c r="G2032" s="12" t="s">
        <v>5588</v>
      </c>
      <c r="H2032" s="9" t="s">
        <v>5589</v>
      </c>
      <c r="I2032" s="10">
        <v>45634</v>
      </c>
    </row>
    <row r="2033" spans="1:9" x14ac:dyDescent="0.15">
      <c r="A2033" s="9">
        <v>2032</v>
      </c>
      <c r="B2033" s="9" t="s">
        <v>9</v>
      </c>
      <c r="C2033" s="9">
        <v>1926</v>
      </c>
      <c r="D2033" s="10">
        <v>45722</v>
      </c>
      <c r="E2033" s="11" t="str">
        <f>+HYPERLINK("http://trademark.i-assist.jp/data/china/image_1926th/82421092.pdf","82421092")</f>
        <v>82421092</v>
      </c>
      <c r="F2033" s="9" t="s">
        <v>5590</v>
      </c>
      <c r="G2033" s="9" t="s">
        <v>5591</v>
      </c>
      <c r="H2033" s="9" t="s">
        <v>5592</v>
      </c>
      <c r="I2033" s="10">
        <v>45634</v>
      </c>
    </row>
    <row r="2034" spans="1:9" x14ac:dyDescent="0.15">
      <c r="A2034" s="9">
        <v>2033</v>
      </c>
      <c r="B2034" s="9" t="s">
        <v>9</v>
      </c>
      <c r="C2034" s="9">
        <v>1926</v>
      </c>
      <c r="D2034" s="10">
        <v>45722</v>
      </c>
      <c r="E2034" s="11" t="str">
        <f>+HYPERLINK("http://trademark.i-assist.jp/data/china/image_1926th/82421318.pdf","82421318")</f>
        <v>82421318</v>
      </c>
      <c r="F2034" s="9" t="s">
        <v>5593</v>
      </c>
      <c r="G2034" s="9" t="s">
        <v>3185</v>
      </c>
      <c r="H2034" s="9" t="s">
        <v>5594</v>
      </c>
      <c r="I2034" s="10">
        <v>45634</v>
      </c>
    </row>
    <row r="2035" spans="1:9" x14ac:dyDescent="0.15">
      <c r="A2035" s="9">
        <v>2034</v>
      </c>
      <c r="B2035" s="9" t="s">
        <v>9</v>
      </c>
      <c r="C2035" s="9">
        <v>1926</v>
      </c>
      <c r="D2035" s="10">
        <v>45722</v>
      </c>
      <c r="E2035" s="11" t="str">
        <f>+HYPERLINK("http://trademark.i-assist.jp/data/china/image_1926th/82421600.pdf","82421600")</f>
        <v>82421600</v>
      </c>
      <c r="F2035" s="9" t="s">
        <v>5595</v>
      </c>
      <c r="G2035" s="12" t="s">
        <v>5596</v>
      </c>
      <c r="H2035" s="9" t="s">
        <v>5597</v>
      </c>
      <c r="I2035" s="10">
        <v>45634</v>
      </c>
    </row>
    <row r="2036" spans="1:9" x14ac:dyDescent="0.15">
      <c r="A2036" s="9">
        <v>2035</v>
      </c>
      <c r="B2036" s="9" t="s">
        <v>9</v>
      </c>
      <c r="C2036" s="9">
        <v>1926</v>
      </c>
      <c r="D2036" s="10">
        <v>45722</v>
      </c>
      <c r="E2036" s="11" t="str">
        <f>+HYPERLINK("http://trademark.i-assist.jp/data/china/image_1926th/82421792.pdf","82421792")</f>
        <v>82421792</v>
      </c>
      <c r="F2036" s="9" t="s">
        <v>5598</v>
      </c>
      <c r="G2036" s="9" t="s">
        <v>5579</v>
      </c>
      <c r="H2036" s="9" t="s">
        <v>5599</v>
      </c>
      <c r="I2036" s="10">
        <v>45634</v>
      </c>
    </row>
    <row r="2037" spans="1:9" x14ac:dyDescent="0.15">
      <c r="A2037" s="9">
        <v>2036</v>
      </c>
      <c r="B2037" s="9" t="s">
        <v>9</v>
      </c>
      <c r="C2037" s="9">
        <v>1926</v>
      </c>
      <c r="D2037" s="10">
        <v>45722</v>
      </c>
      <c r="E2037" s="11" t="str">
        <f>+HYPERLINK("http://trademark.i-assist.jp/data/china/image_1926th/82421829.pdf","82421829")</f>
        <v>82421829</v>
      </c>
      <c r="F2037" s="9" t="s">
        <v>5600</v>
      </c>
      <c r="G2037" s="12" t="s">
        <v>5601</v>
      </c>
      <c r="H2037" s="9" t="s">
        <v>5602</v>
      </c>
      <c r="I2037" s="10">
        <v>45634</v>
      </c>
    </row>
    <row r="2038" spans="1:9" x14ac:dyDescent="0.15">
      <c r="A2038" s="9">
        <v>2037</v>
      </c>
      <c r="B2038" s="9" t="s">
        <v>9</v>
      </c>
      <c r="C2038" s="9">
        <v>1926</v>
      </c>
      <c r="D2038" s="10">
        <v>45722</v>
      </c>
      <c r="E2038" s="11" t="str">
        <f>+HYPERLINK("http://trademark.i-assist.jp/data/china/image_1926th/82422621.pdf","82422621")</f>
        <v>82422621</v>
      </c>
      <c r="F2038" s="9" t="s">
        <v>5603</v>
      </c>
      <c r="G2038" s="9" t="s">
        <v>5604</v>
      </c>
      <c r="H2038" s="9" t="s">
        <v>5605</v>
      </c>
      <c r="I2038" s="10">
        <v>45635</v>
      </c>
    </row>
    <row r="2039" spans="1:9" x14ac:dyDescent="0.15">
      <c r="A2039" s="9">
        <v>2038</v>
      </c>
      <c r="B2039" s="9" t="s">
        <v>9</v>
      </c>
      <c r="C2039" s="9">
        <v>1926</v>
      </c>
      <c r="D2039" s="10">
        <v>45722</v>
      </c>
      <c r="E2039" s="11" t="str">
        <f>+HYPERLINK("http://trademark.i-assist.jp/data/china/image_1926th/82423374.pdf","82423374")</f>
        <v>82423374</v>
      </c>
      <c r="F2039" s="12" t="s">
        <v>5606</v>
      </c>
      <c r="G2039" s="12" t="s">
        <v>196</v>
      </c>
      <c r="H2039" s="9" t="s">
        <v>5607</v>
      </c>
      <c r="I2039" s="10">
        <v>45635</v>
      </c>
    </row>
    <row r="2040" spans="1:9" x14ac:dyDescent="0.15">
      <c r="A2040" s="9">
        <v>2039</v>
      </c>
      <c r="B2040" s="9" t="s">
        <v>9</v>
      </c>
      <c r="C2040" s="9">
        <v>1926</v>
      </c>
      <c r="D2040" s="10">
        <v>45722</v>
      </c>
      <c r="E2040" s="11" t="str">
        <f>+HYPERLINK("http://trademark.i-assist.jp/data/china/image_1926th/82423379.pdf","82423379")</f>
        <v>82423379</v>
      </c>
      <c r="F2040" s="12" t="s">
        <v>5608</v>
      </c>
      <c r="G2040" s="9" t="s">
        <v>194</v>
      </c>
      <c r="H2040" s="9" t="s">
        <v>5609</v>
      </c>
      <c r="I2040" s="10">
        <v>45635</v>
      </c>
    </row>
    <row r="2041" spans="1:9" x14ac:dyDescent="0.15">
      <c r="A2041" s="9">
        <v>2040</v>
      </c>
      <c r="B2041" s="9" t="s">
        <v>9</v>
      </c>
      <c r="C2041" s="9">
        <v>1926</v>
      </c>
      <c r="D2041" s="10">
        <v>45722</v>
      </c>
      <c r="E2041" s="11" t="str">
        <f>+HYPERLINK("http://trademark.i-assist.jp/data/china/image_1926th/82423565.pdf","82423565")</f>
        <v>82423565</v>
      </c>
      <c r="F2041" s="9" t="s">
        <v>5610</v>
      </c>
      <c r="G2041" s="9" t="s">
        <v>5611</v>
      </c>
      <c r="H2041" s="9" t="s">
        <v>5612</v>
      </c>
      <c r="I2041" s="10">
        <v>45635</v>
      </c>
    </row>
    <row r="2042" spans="1:9" x14ac:dyDescent="0.15">
      <c r="A2042" s="9">
        <v>2041</v>
      </c>
      <c r="B2042" s="9" t="s">
        <v>9</v>
      </c>
      <c r="C2042" s="9">
        <v>1926</v>
      </c>
      <c r="D2042" s="10">
        <v>45722</v>
      </c>
      <c r="E2042" s="11" t="str">
        <f>+HYPERLINK("http://trademark.i-assist.jp/data/china/image_1926th/82423974.pdf","82423974")</f>
        <v>82423974</v>
      </c>
      <c r="F2042" s="9" t="s">
        <v>5613</v>
      </c>
      <c r="G2042" s="9" t="s">
        <v>5614</v>
      </c>
      <c r="H2042" s="9" t="s">
        <v>5615</v>
      </c>
      <c r="I2042" s="10">
        <v>45635</v>
      </c>
    </row>
    <row r="2043" spans="1:9" x14ac:dyDescent="0.15">
      <c r="A2043" s="9">
        <v>2042</v>
      </c>
      <c r="B2043" s="9" t="s">
        <v>9</v>
      </c>
      <c r="C2043" s="9">
        <v>1926</v>
      </c>
      <c r="D2043" s="10">
        <v>45722</v>
      </c>
      <c r="E2043" s="11" t="str">
        <f>+HYPERLINK("http://trademark.i-assist.jp/data/china/image_1926th/82424127.pdf","82424127")</f>
        <v>82424127</v>
      </c>
      <c r="F2043" s="9" t="s">
        <v>5616</v>
      </c>
      <c r="G2043" s="9" t="s">
        <v>68</v>
      </c>
      <c r="H2043" s="12" t="s">
        <v>5617</v>
      </c>
      <c r="I2043" s="10">
        <v>45635</v>
      </c>
    </row>
    <row r="2044" spans="1:9" x14ac:dyDescent="0.15">
      <c r="A2044" s="9">
        <v>2043</v>
      </c>
      <c r="B2044" s="9" t="s">
        <v>9</v>
      </c>
      <c r="C2044" s="9">
        <v>1926</v>
      </c>
      <c r="D2044" s="10">
        <v>45722</v>
      </c>
      <c r="E2044" s="11" t="str">
        <f>+HYPERLINK("http://trademark.i-assist.jp/data/china/image_1926th/82424226.pdf","82424226")</f>
        <v>82424226</v>
      </c>
      <c r="F2044" s="9" t="s">
        <v>5618</v>
      </c>
      <c r="G2044" s="12" t="s">
        <v>5619</v>
      </c>
      <c r="H2044" s="9" t="s">
        <v>5620</v>
      </c>
      <c r="I2044" s="10">
        <v>45635</v>
      </c>
    </row>
    <row r="2045" spans="1:9" x14ac:dyDescent="0.15">
      <c r="A2045" s="9">
        <v>2044</v>
      </c>
      <c r="B2045" s="9" t="s">
        <v>9</v>
      </c>
      <c r="C2045" s="9">
        <v>1926</v>
      </c>
      <c r="D2045" s="10">
        <v>45722</v>
      </c>
      <c r="E2045" s="11" t="str">
        <f>+HYPERLINK("http://trademark.i-assist.jp/data/china/image_1926th/82424238.pdf","82424238")</f>
        <v>82424238</v>
      </c>
      <c r="F2045" s="9" t="s">
        <v>5621</v>
      </c>
      <c r="G2045" s="9" t="s">
        <v>5622</v>
      </c>
      <c r="H2045" s="9" t="s">
        <v>5623</v>
      </c>
      <c r="I2045" s="10">
        <v>45635</v>
      </c>
    </row>
    <row r="2046" spans="1:9" x14ac:dyDescent="0.15">
      <c r="A2046" s="9">
        <v>2045</v>
      </c>
      <c r="B2046" s="9" t="s">
        <v>9</v>
      </c>
      <c r="C2046" s="9">
        <v>1926</v>
      </c>
      <c r="D2046" s="10">
        <v>45722</v>
      </c>
      <c r="E2046" s="11" t="str">
        <f>+HYPERLINK("http://trademark.i-assist.jp/data/china/image_1926th/82425026.pdf","82425026")</f>
        <v>82425026</v>
      </c>
      <c r="F2046" s="9" t="s">
        <v>5624</v>
      </c>
      <c r="G2046" s="12" t="s">
        <v>5625</v>
      </c>
      <c r="H2046" s="9" t="s">
        <v>5626</v>
      </c>
      <c r="I2046" s="10">
        <v>45635</v>
      </c>
    </row>
    <row r="2047" spans="1:9" x14ac:dyDescent="0.15">
      <c r="A2047" s="9">
        <v>2046</v>
      </c>
      <c r="B2047" s="9" t="s">
        <v>9</v>
      </c>
      <c r="C2047" s="9">
        <v>1926</v>
      </c>
      <c r="D2047" s="10">
        <v>45722</v>
      </c>
      <c r="E2047" s="11" t="str">
        <f>+HYPERLINK("http://trademark.i-assist.jp/data/china/image_1926th/82425194.pdf","82425194")</f>
        <v>82425194</v>
      </c>
      <c r="F2047" s="9" t="s">
        <v>5627</v>
      </c>
      <c r="G2047" s="9" t="s">
        <v>5628</v>
      </c>
      <c r="H2047" s="9" t="s">
        <v>5629</v>
      </c>
      <c r="I2047" s="10">
        <v>45635</v>
      </c>
    </row>
    <row r="2048" spans="1:9" x14ac:dyDescent="0.15">
      <c r="A2048" s="9">
        <v>2047</v>
      </c>
      <c r="B2048" s="9" t="s">
        <v>9</v>
      </c>
      <c r="C2048" s="9">
        <v>1926</v>
      </c>
      <c r="D2048" s="10">
        <v>45722</v>
      </c>
      <c r="E2048" s="11" t="str">
        <f>+HYPERLINK("http://trademark.i-assist.jp/data/china/image_1926th/82425203.pdf","82425203")</f>
        <v>82425203</v>
      </c>
      <c r="F2048" s="9" t="s">
        <v>5630</v>
      </c>
      <c r="G2048" s="9" t="s">
        <v>5631</v>
      </c>
      <c r="H2048" s="9" t="s">
        <v>5632</v>
      </c>
      <c r="I2048" s="10">
        <v>45635</v>
      </c>
    </row>
    <row r="2049" spans="1:9" x14ac:dyDescent="0.15">
      <c r="A2049" s="9">
        <v>2048</v>
      </c>
      <c r="B2049" s="9" t="s">
        <v>9</v>
      </c>
      <c r="C2049" s="9">
        <v>1926</v>
      </c>
      <c r="D2049" s="10">
        <v>45722</v>
      </c>
      <c r="E2049" s="11" t="str">
        <f>+HYPERLINK("http://trademark.i-assist.jp/data/china/image_1926th/82425268.pdf","82425268")</f>
        <v>82425268</v>
      </c>
      <c r="F2049" s="9" t="s">
        <v>5633</v>
      </c>
      <c r="G2049" s="9" t="s">
        <v>5634</v>
      </c>
      <c r="H2049" s="9" t="s">
        <v>5635</v>
      </c>
      <c r="I2049" s="10">
        <v>45635</v>
      </c>
    </row>
    <row r="2050" spans="1:9" x14ac:dyDescent="0.15">
      <c r="A2050" s="9">
        <v>2049</v>
      </c>
      <c r="B2050" s="9" t="s">
        <v>9</v>
      </c>
      <c r="C2050" s="9">
        <v>1926</v>
      </c>
      <c r="D2050" s="10">
        <v>45722</v>
      </c>
      <c r="E2050" s="11" t="str">
        <f>+HYPERLINK("http://trademark.i-assist.jp/data/china/image_1926th/82425741.pdf","82425741")</f>
        <v>82425741</v>
      </c>
      <c r="F2050" s="12" t="s">
        <v>20</v>
      </c>
      <c r="G2050" s="9" t="s">
        <v>5636</v>
      </c>
      <c r="H2050" s="9" t="s">
        <v>5637</v>
      </c>
      <c r="I2050" s="10">
        <v>45635</v>
      </c>
    </row>
    <row r="2051" spans="1:9" x14ac:dyDescent="0.15">
      <c r="A2051" s="9">
        <v>2050</v>
      </c>
      <c r="B2051" s="9" t="s">
        <v>9</v>
      </c>
      <c r="C2051" s="9">
        <v>1926</v>
      </c>
      <c r="D2051" s="10">
        <v>45722</v>
      </c>
      <c r="E2051" s="11" t="str">
        <f>+HYPERLINK("http://trademark.i-assist.jp/data/china/image_1926th/82426004.pdf","82426004")</f>
        <v>82426004</v>
      </c>
      <c r="F2051" s="9" t="s">
        <v>5638</v>
      </c>
      <c r="G2051" s="9" t="s">
        <v>5639</v>
      </c>
      <c r="H2051" s="9" t="s">
        <v>5640</v>
      </c>
      <c r="I2051" s="10">
        <v>45635</v>
      </c>
    </row>
    <row r="2052" spans="1:9" x14ac:dyDescent="0.15">
      <c r="A2052" s="9">
        <v>2051</v>
      </c>
      <c r="B2052" s="9" t="s">
        <v>9</v>
      </c>
      <c r="C2052" s="9">
        <v>1926</v>
      </c>
      <c r="D2052" s="10">
        <v>45722</v>
      </c>
      <c r="E2052" s="11" t="str">
        <f>+HYPERLINK("http://trademark.i-assist.jp/data/china/image_1926th/82426005.pdf","82426005")</f>
        <v>82426005</v>
      </c>
      <c r="F2052" s="9" t="s">
        <v>5641</v>
      </c>
      <c r="G2052" s="9" t="s">
        <v>5642</v>
      </c>
      <c r="H2052" s="9" t="s">
        <v>5643</v>
      </c>
      <c r="I2052" s="10">
        <v>45635</v>
      </c>
    </row>
    <row r="2053" spans="1:9" x14ac:dyDescent="0.15">
      <c r="A2053" s="9">
        <v>2052</v>
      </c>
      <c r="B2053" s="9" t="s">
        <v>9</v>
      </c>
      <c r="C2053" s="9">
        <v>1926</v>
      </c>
      <c r="D2053" s="10">
        <v>45722</v>
      </c>
      <c r="E2053" s="11" t="str">
        <f>+HYPERLINK("http://trademark.i-assist.jp/data/china/image_1926th/82426186.pdf","82426186")</f>
        <v>82426186</v>
      </c>
      <c r="F2053" s="12" t="s">
        <v>20</v>
      </c>
      <c r="G2053" s="9" t="s">
        <v>5644</v>
      </c>
      <c r="H2053" s="9" t="s">
        <v>5645</v>
      </c>
      <c r="I2053" s="10">
        <v>45635</v>
      </c>
    </row>
    <row r="2054" spans="1:9" x14ac:dyDescent="0.15">
      <c r="A2054" s="9">
        <v>2053</v>
      </c>
      <c r="B2054" s="9" t="s">
        <v>9</v>
      </c>
      <c r="C2054" s="9">
        <v>1926</v>
      </c>
      <c r="D2054" s="10">
        <v>45722</v>
      </c>
      <c r="E2054" s="11" t="str">
        <f>+HYPERLINK("http://trademark.i-assist.jp/data/china/image_1926th/82426299.pdf","82426299")</f>
        <v>82426299</v>
      </c>
      <c r="F2054" s="12" t="s">
        <v>20</v>
      </c>
      <c r="G2054" s="9" t="s">
        <v>5646</v>
      </c>
      <c r="H2054" s="9" t="s">
        <v>5647</v>
      </c>
      <c r="I2054" s="10">
        <v>45635</v>
      </c>
    </row>
    <row r="2055" spans="1:9" x14ac:dyDescent="0.15">
      <c r="A2055" s="9">
        <v>2054</v>
      </c>
      <c r="B2055" s="9" t="s">
        <v>9</v>
      </c>
      <c r="C2055" s="9">
        <v>1926</v>
      </c>
      <c r="D2055" s="10">
        <v>45722</v>
      </c>
      <c r="E2055" s="11" t="str">
        <f>+HYPERLINK("http://trademark.i-assist.jp/data/china/image_1926th/82426331.pdf","82426331")</f>
        <v>82426331</v>
      </c>
      <c r="F2055" s="9" t="s">
        <v>5648</v>
      </c>
      <c r="G2055" s="9" t="s">
        <v>5649</v>
      </c>
      <c r="H2055" s="9" t="s">
        <v>5650</v>
      </c>
      <c r="I2055" s="10">
        <v>45635</v>
      </c>
    </row>
    <row r="2056" spans="1:9" x14ac:dyDescent="0.15">
      <c r="A2056" s="9">
        <v>2055</v>
      </c>
      <c r="B2056" s="9" t="s">
        <v>9</v>
      </c>
      <c r="C2056" s="9">
        <v>1926</v>
      </c>
      <c r="D2056" s="10">
        <v>45722</v>
      </c>
      <c r="E2056" s="11" t="str">
        <f>+HYPERLINK("http://trademark.i-assist.jp/data/china/image_1926th/82426670.pdf","82426670")</f>
        <v>82426670</v>
      </c>
      <c r="F2056" s="9" t="s">
        <v>5651</v>
      </c>
      <c r="G2056" s="9" t="s">
        <v>5652</v>
      </c>
      <c r="H2056" s="9" t="s">
        <v>5653</v>
      </c>
      <c r="I2056" s="10">
        <v>45635</v>
      </c>
    </row>
    <row r="2057" spans="1:9" x14ac:dyDescent="0.15">
      <c r="A2057" s="9">
        <v>2056</v>
      </c>
      <c r="B2057" s="9" t="s">
        <v>9</v>
      </c>
      <c r="C2057" s="9">
        <v>1926</v>
      </c>
      <c r="D2057" s="10">
        <v>45722</v>
      </c>
      <c r="E2057" s="11" t="str">
        <f>+HYPERLINK("http://trademark.i-assist.jp/data/china/image_1926th/82426730.pdf","82426730")</f>
        <v>82426730</v>
      </c>
      <c r="F2057" s="9" t="s">
        <v>5654</v>
      </c>
      <c r="G2057" s="12" t="s">
        <v>5655</v>
      </c>
      <c r="H2057" s="9" t="s">
        <v>5656</v>
      </c>
      <c r="I2057" s="10">
        <v>45635</v>
      </c>
    </row>
    <row r="2058" spans="1:9" x14ac:dyDescent="0.15">
      <c r="A2058" s="9">
        <v>2057</v>
      </c>
      <c r="B2058" s="9" t="s">
        <v>9</v>
      </c>
      <c r="C2058" s="9">
        <v>1926</v>
      </c>
      <c r="D2058" s="10">
        <v>45722</v>
      </c>
      <c r="E2058" s="11" t="str">
        <f>+HYPERLINK("http://trademark.i-assist.jp/data/china/image_1926th/82426732.pdf","82426732")</f>
        <v>82426732</v>
      </c>
      <c r="F2058" s="9" t="s">
        <v>5657</v>
      </c>
      <c r="G2058" s="12" t="s">
        <v>5655</v>
      </c>
      <c r="H2058" s="9" t="s">
        <v>5658</v>
      </c>
      <c r="I2058" s="10">
        <v>45635</v>
      </c>
    </row>
    <row r="2059" spans="1:9" x14ac:dyDescent="0.15">
      <c r="A2059" s="9">
        <v>2058</v>
      </c>
      <c r="B2059" s="9" t="s">
        <v>9</v>
      </c>
      <c r="C2059" s="9">
        <v>1926</v>
      </c>
      <c r="D2059" s="10">
        <v>45722</v>
      </c>
      <c r="E2059" s="11" t="str">
        <f>+HYPERLINK("http://trademark.i-assist.jp/data/china/image_1926th/82426734.pdf","82426734")</f>
        <v>82426734</v>
      </c>
      <c r="F2059" s="9" t="s">
        <v>5659</v>
      </c>
      <c r="G2059" s="12" t="s">
        <v>5655</v>
      </c>
      <c r="H2059" s="9" t="s">
        <v>5660</v>
      </c>
      <c r="I2059" s="10">
        <v>45635</v>
      </c>
    </row>
    <row r="2060" spans="1:9" x14ac:dyDescent="0.15">
      <c r="A2060" s="9">
        <v>2059</v>
      </c>
      <c r="B2060" s="9" t="s">
        <v>9</v>
      </c>
      <c r="C2060" s="9">
        <v>1926</v>
      </c>
      <c r="D2060" s="10">
        <v>45722</v>
      </c>
      <c r="E2060" s="11" t="str">
        <f>+HYPERLINK("http://trademark.i-assist.jp/data/china/image_1926th/82426983.pdf","82426983")</f>
        <v>82426983</v>
      </c>
      <c r="F2060" s="9" t="s">
        <v>5661</v>
      </c>
      <c r="G2060" s="12" t="s">
        <v>5662</v>
      </c>
      <c r="H2060" s="9" t="s">
        <v>5663</v>
      </c>
      <c r="I2060" s="10">
        <v>45635</v>
      </c>
    </row>
    <row r="2061" spans="1:9" x14ac:dyDescent="0.15">
      <c r="A2061" s="9">
        <v>2060</v>
      </c>
      <c r="B2061" s="9" t="s">
        <v>9</v>
      </c>
      <c r="C2061" s="9">
        <v>1926</v>
      </c>
      <c r="D2061" s="10">
        <v>45722</v>
      </c>
      <c r="E2061" s="11" t="str">
        <f>+HYPERLINK("http://trademark.i-assist.jp/data/china/image_1926th/82427368.pdf","82427368")</f>
        <v>82427368</v>
      </c>
      <c r="F2061" s="12" t="s">
        <v>5664</v>
      </c>
      <c r="G2061" s="12" t="s">
        <v>196</v>
      </c>
      <c r="H2061" s="9" t="s">
        <v>5665</v>
      </c>
      <c r="I2061" s="10">
        <v>45635</v>
      </c>
    </row>
    <row r="2062" spans="1:9" x14ac:dyDescent="0.15">
      <c r="A2062" s="9">
        <v>2061</v>
      </c>
      <c r="B2062" s="9" t="s">
        <v>9</v>
      </c>
      <c r="C2062" s="9">
        <v>1926</v>
      </c>
      <c r="D2062" s="10">
        <v>45722</v>
      </c>
      <c r="E2062" s="11" t="str">
        <f>+HYPERLINK("http://trademark.i-assist.jp/data/china/image_1926th/82427682.pdf","82427682")</f>
        <v>82427682</v>
      </c>
      <c r="F2062" s="9" t="s">
        <v>5666</v>
      </c>
      <c r="G2062" s="9" t="s">
        <v>5667</v>
      </c>
      <c r="H2062" s="12" t="s">
        <v>5668</v>
      </c>
      <c r="I2062" s="10">
        <v>45635</v>
      </c>
    </row>
    <row r="2063" spans="1:9" x14ac:dyDescent="0.15">
      <c r="A2063" s="9">
        <v>2062</v>
      </c>
      <c r="B2063" s="9" t="s">
        <v>9</v>
      </c>
      <c r="C2063" s="9">
        <v>1926</v>
      </c>
      <c r="D2063" s="10">
        <v>45722</v>
      </c>
      <c r="E2063" s="11" t="str">
        <f>+HYPERLINK("http://trademark.i-assist.jp/data/china/image_1926th/82427750.pdf","82427750")</f>
        <v>82427750</v>
      </c>
      <c r="F2063" s="12" t="s">
        <v>5669</v>
      </c>
      <c r="G2063" s="9" t="s">
        <v>5670</v>
      </c>
      <c r="H2063" s="9" t="s">
        <v>5671</v>
      </c>
      <c r="I2063" s="10">
        <v>45635</v>
      </c>
    </row>
    <row r="2064" spans="1:9" x14ac:dyDescent="0.15">
      <c r="A2064" s="9">
        <v>2063</v>
      </c>
      <c r="B2064" s="9" t="s">
        <v>9</v>
      </c>
      <c r="C2064" s="9">
        <v>1926</v>
      </c>
      <c r="D2064" s="10">
        <v>45722</v>
      </c>
      <c r="E2064" s="11" t="str">
        <f>+HYPERLINK("http://trademark.i-assist.jp/data/china/image_1926th/82427820.pdf","82427820")</f>
        <v>82427820</v>
      </c>
      <c r="F2064" s="9" t="s">
        <v>5672</v>
      </c>
      <c r="G2064" s="9" t="s">
        <v>5673</v>
      </c>
      <c r="H2064" s="9" t="s">
        <v>5674</v>
      </c>
      <c r="I2064" s="10">
        <v>45635</v>
      </c>
    </row>
    <row r="2065" spans="1:9" x14ac:dyDescent="0.15">
      <c r="A2065" s="9">
        <v>2064</v>
      </c>
      <c r="B2065" s="9" t="s">
        <v>9</v>
      </c>
      <c r="C2065" s="9">
        <v>1926</v>
      </c>
      <c r="D2065" s="10">
        <v>45722</v>
      </c>
      <c r="E2065" s="11" t="str">
        <f>+HYPERLINK("http://trademark.i-assist.jp/data/china/image_1926th/82428445.pdf","82428445")</f>
        <v>82428445</v>
      </c>
      <c r="F2065" s="12" t="s">
        <v>5675</v>
      </c>
      <c r="G2065" s="9" t="s">
        <v>5676</v>
      </c>
      <c r="H2065" s="9" t="s">
        <v>5677</v>
      </c>
      <c r="I2065" s="10">
        <v>45635</v>
      </c>
    </row>
    <row r="2066" spans="1:9" x14ac:dyDescent="0.15">
      <c r="A2066" s="9">
        <v>2065</v>
      </c>
      <c r="B2066" s="9" t="s">
        <v>9</v>
      </c>
      <c r="C2066" s="9">
        <v>1926</v>
      </c>
      <c r="D2066" s="10">
        <v>45722</v>
      </c>
      <c r="E2066" s="11" t="str">
        <f>+HYPERLINK("http://trademark.i-assist.jp/data/china/image_1926th/82428762.pdf","82428762")</f>
        <v>82428762</v>
      </c>
      <c r="F2066" s="9" t="s">
        <v>5678</v>
      </c>
      <c r="G2066" s="9" t="s">
        <v>5679</v>
      </c>
      <c r="H2066" s="12" t="s">
        <v>5680</v>
      </c>
      <c r="I2066" s="10">
        <v>45635</v>
      </c>
    </row>
    <row r="2067" spans="1:9" x14ac:dyDescent="0.15">
      <c r="A2067" s="9">
        <v>2066</v>
      </c>
      <c r="B2067" s="9" t="s">
        <v>9</v>
      </c>
      <c r="C2067" s="9">
        <v>1926</v>
      </c>
      <c r="D2067" s="10">
        <v>45722</v>
      </c>
      <c r="E2067" s="11" t="str">
        <f>+HYPERLINK("http://trademark.i-assist.jp/data/china/image_1926th/82428851.pdf","82428851")</f>
        <v>82428851</v>
      </c>
      <c r="F2067" s="9" t="s">
        <v>5681</v>
      </c>
      <c r="G2067" s="9" t="s">
        <v>5682</v>
      </c>
      <c r="H2067" s="9" t="s">
        <v>5683</v>
      </c>
      <c r="I2067" s="10">
        <v>45635</v>
      </c>
    </row>
    <row r="2068" spans="1:9" x14ac:dyDescent="0.15">
      <c r="A2068" s="9">
        <v>2067</v>
      </c>
      <c r="B2068" s="9" t="s">
        <v>9</v>
      </c>
      <c r="C2068" s="9">
        <v>1926</v>
      </c>
      <c r="D2068" s="10">
        <v>45722</v>
      </c>
      <c r="E2068" s="11" t="str">
        <f>+HYPERLINK("http://trademark.i-assist.jp/data/china/image_1926th/82429004.pdf","82429004")</f>
        <v>82429004</v>
      </c>
      <c r="F2068" s="9" t="s">
        <v>5684</v>
      </c>
      <c r="G2068" s="9" t="s">
        <v>5685</v>
      </c>
      <c r="H2068" s="9" t="s">
        <v>5686</v>
      </c>
      <c r="I2068" s="10">
        <v>45635</v>
      </c>
    </row>
    <row r="2069" spans="1:9" x14ac:dyDescent="0.15">
      <c r="A2069" s="9">
        <v>2068</v>
      </c>
      <c r="B2069" s="9" t="s">
        <v>9</v>
      </c>
      <c r="C2069" s="9">
        <v>1926</v>
      </c>
      <c r="D2069" s="10">
        <v>45722</v>
      </c>
      <c r="E2069" s="11" t="str">
        <f>+HYPERLINK("http://trademark.i-assist.jp/data/china/image_1926th/82429211.pdf","82429211")</f>
        <v>82429211</v>
      </c>
      <c r="F2069" s="13" t="s">
        <v>5687</v>
      </c>
      <c r="G2069" s="9" t="s">
        <v>178</v>
      </c>
      <c r="H2069" s="9" t="s">
        <v>5688</v>
      </c>
      <c r="I2069" s="10">
        <v>45635</v>
      </c>
    </row>
    <row r="2070" spans="1:9" x14ac:dyDescent="0.15">
      <c r="A2070" s="9">
        <v>2069</v>
      </c>
      <c r="B2070" s="9" t="s">
        <v>9</v>
      </c>
      <c r="C2070" s="9">
        <v>1926</v>
      </c>
      <c r="D2070" s="10">
        <v>45722</v>
      </c>
      <c r="E2070" s="11" t="str">
        <f>+HYPERLINK("http://trademark.i-assist.jp/data/china/image_1926th/82429216.pdf","82429216")</f>
        <v>82429216</v>
      </c>
      <c r="F2070" s="9" t="s">
        <v>5689</v>
      </c>
      <c r="G2070" s="9" t="s">
        <v>5690</v>
      </c>
      <c r="H2070" s="9" t="s">
        <v>5691</v>
      </c>
      <c r="I2070" s="10">
        <v>45635</v>
      </c>
    </row>
    <row r="2071" spans="1:9" x14ac:dyDescent="0.15">
      <c r="A2071" s="9">
        <v>2070</v>
      </c>
      <c r="B2071" s="9" t="s">
        <v>9</v>
      </c>
      <c r="C2071" s="9">
        <v>1926</v>
      </c>
      <c r="D2071" s="10">
        <v>45722</v>
      </c>
      <c r="E2071" s="11" t="str">
        <f>+HYPERLINK("http://trademark.i-assist.jp/data/china/image_1926th/82429275.pdf","82429275")</f>
        <v>82429275</v>
      </c>
      <c r="F2071" s="9" t="s">
        <v>5692</v>
      </c>
      <c r="G2071" s="12" t="s">
        <v>5655</v>
      </c>
      <c r="H2071" s="9" t="s">
        <v>5693</v>
      </c>
      <c r="I2071" s="10">
        <v>45635</v>
      </c>
    </row>
    <row r="2072" spans="1:9" x14ac:dyDescent="0.15">
      <c r="A2072" s="9">
        <v>2071</v>
      </c>
      <c r="B2072" s="9" t="s">
        <v>9</v>
      </c>
      <c r="C2072" s="9">
        <v>1926</v>
      </c>
      <c r="D2072" s="10">
        <v>45722</v>
      </c>
      <c r="E2072" s="11" t="str">
        <f>+HYPERLINK("http://trademark.i-assist.jp/data/china/image_1926th/82429404.pdf","82429404")</f>
        <v>82429404</v>
      </c>
      <c r="F2072" s="9" t="s">
        <v>5694</v>
      </c>
      <c r="G2072" s="9" t="s">
        <v>5695</v>
      </c>
      <c r="H2072" s="9" t="s">
        <v>5696</v>
      </c>
      <c r="I2072" s="10">
        <v>45635</v>
      </c>
    </row>
    <row r="2073" spans="1:9" x14ac:dyDescent="0.15">
      <c r="A2073" s="9">
        <v>2072</v>
      </c>
      <c r="B2073" s="9" t="s">
        <v>9</v>
      </c>
      <c r="C2073" s="9">
        <v>1926</v>
      </c>
      <c r="D2073" s="10">
        <v>45722</v>
      </c>
      <c r="E2073" s="11" t="str">
        <f>+HYPERLINK("http://trademark.i-assist.jp/data/china/image_1926th/82429422.pdf","82429422")</f>
        <v>82429422</v>
      </c>
      <c r="F2073" s="9" t="s">
        <v>5697</v>
      </c>
      <c r="G2073" s="9" t="s">
        <v>5698</v>
      </c>
      <c r="H2073" s="9" t="s">
        <v>5699</v>
      </c>
      <c r="I2073" s="10">
        <v>45635</v>
      </c>
    </row>
    <row r="2074" spans="1:9" x14ac:dyDescent="0.15">
      <c r="A2074" s="9">
        <v>2073</v>
      </c>
      <c r="B2074" s="9" t="s">
        <v>9</v>
      </c>
      <c r="C2074" s="9">
        <v>1926</v>
      </c>
      <c r="D2074" s="10">
        <v>45722</v>
      </c>
      <c r="E2074" s="11" t="str">
        <f>+HYPERLINK("http://trademark.i-assist.jp/data/china/image_1926th/82429432.pdf","82429432")</f>
        <v>82429432</v>
      </c>
      <c r="F2074" s="9" t="s">
        <v>5700</v>
      </c>
      <c r="G2074" s="9" t="s">
        <v>5611</v>
      </c>
      <c r="H2074" s="9" t="s">
        <v>5701</v>
      </c>
      <c r="I2074" s="10">
        <v>45635</v>
      </c>
    </row>
    <row r="2075" spans="1:9" x14ac:dyDescent="0.15">
      <c r="A2075" s="9">
        <v>2074</v>
      </c>
      <c r="B2075" s="9" t="s">
        <v>9</v>
      </c>
      <c r="C2075" s="9">
        <v>1926</v>
      </c>
      <c r="D2075" s="10">
        <v>45722</v>
      </c>
      <c r="E2075" s="11" t="str">
        <f>+HYPERLINK("http://trademark.i-assist.jp/data/china/image_1926th/82429617.pdf","82429617")</f>
        <v>82429617</v>
      </c>
      <c r="F2075" s="9" t="s">
        <v>5702</v>
      </c>
      <c r="G2075" s="12" t="s">
        <v>5703</v>
      </c>
      <c r="H2075" s="12" t="s">
        <v>5704</v>
      </c>
      <c r="I2075" s="10">
        <v>45635</v>
      </c>
    </row>
    <row r="2076" spans="1:9" x14ac:dyDescent="0.15">
      <c r="A2076" s="9">
        <v>2075</v>
      </c>
      <c r="B2076" s="9" t="s">
        <v>9</v>
      </c>
      <c r="C2076" s="9">
        <v>1926</v>
      </c>
      <c r="D2076" s="10">
        <v>45722</v>
      </c>
      <c r="E2076" s="11" t="str">
        <f>+HYPERLINK("http://trademark.i-assist.jp/data/china/image_1926th/82429690.pdf","82429690")</f>
        <v>82429690</v>
      </c>
      <c r="F2076" s="9" t="s">
        <v>5705</v>
      </c>
      <c r="G2076" s="12" t="s">
        <v>5706</v>
      </c>
      <c r="H2076" s="12" t="s">
        <v>5707</v>
      </c>
      <c r="I2076" s="10">
        <v>45635</v>
      </c>
    </row>
    <row r="2077" spans="1:9" x14ac:dyDescent="0.15">
      <c r="A2077" s="9">
        <v>2076</v>
      </c>
      <c r="B2077" s="9" t="s">
        <v>9</v>
      </c>
      <c r="C2077" s="9">
        <v>1926</v>
      </c>
      <c r="D2077" s="10">
        <v>45722</v>
      </c>
      <c r="E2077" s="11" t="str">
        <f>+HYPERLINK("http://trademark.i-assist.jp/data/china/image_1926th/82430049.pdf","82430049")</f>
        <v>82430049</v>
      </c>
      <c r="F2077" s="9" t="s">
        <v>5708</v>
      </c>
      <c r="G2077" s="12" t="s">
        <v>5709</v>
      </c>
      <c r="H2077" s="9" t="s">
        <v>5710</v>
      </c>
      <c r="I2077" s="10">
        <v>45635</v>
      </c>
    </row>
    <row r="2078" spans="1:9" x14ac:dyDescent="0.15">
      <c r="A2078" s="9">
        <v>2077</v>
      </c>
      <c r="B2078" s="9" t="s">
        <v>9</v>
      </c>
      <c r="C2078" s="9">
        <v>1926</v>
      </c>
      <c r="D2078" s="10">
        <v>45722</v>
      </c>
      <c r="E2078" s="11" t="str">
        <f>+HYPERLINK("http://trademark.i-assist.jp/data/china/image_1926th/82430050.pdf","82430050")</f>
        <v>82430050</v>
      </c>
      <c r="F2078" s="9" t="s">
        <v>5711</v>
      </c>
      <c r="G2078" s="9" t="s">
        <v>5712</v>
      </c>
      <c r="H2078" s="9" t="s">
        <v>5713</v>
      </c>
      <c r="I2078" s="10">
        <v>45635</v>
      </c>
    </row>
    <row r="2079" spans="1:9" x14ac:dyDescent="0.15">
      <c r="A2079" s="9">
        <v>2078</v>
      </c>
      <c r="B2079" s="9" t="s">
        <v>9</v>
      </c>
      <c r="C2079" s="9">
        <v>1926</v>
      </c>
      <c r="D2079" s="10">
        <v>45722</v>
      </c>
      <c r="E2079" s="11" t="str">
        <f>+HYPERLINK("http://trademark.i-assist.jp/data/china/image_1926th/82430234.pdf","82430234")</f>
        <v>82430234</v>
      </c>
      <c r="F2079" s="9" t="s">
        <v>5714</v>
      </c>
      <c r="G2079" s="12" t="s">
        <v>5715</v>
      </c>
      <c r="H2079" s="9" t="s">
        <v>5716</v>
      </c>
      <c r="I2079" s="10">
        <v>45635</v>
      </c>
    </row>
    <row r="2080" spans="1:9" x14ac:dyDescent="0.15">
      <c r="A2080" s="9">
        <v>2079</v>
      </c>
      <c r="B2080" s="9" t="s">
        <v>9</v>
      </c>
      <c r="C2080" s="9">
        <v>1926</v>
      </c>
      <c r="D2080" s="10">
        <v>45722</v>
      </c>
      <c r="E2080" s="11" t="str">
        <f>+HYPERLINK("http://trademark.i-assist.jp/data/china/image_1926th/82430459.pdf","82430459")</f>
        <v>82430459</v>
      </c>
      <c r="F2080" s="12" t="s">
        <v>20</v>
      </c>
      <c r="G2080" s="12" t="s">
        <v>5717</v>
      </c>
      <c r="H2080" s="9" t="s">
        <v>5718</v>
      </c>
      <c r="I2080" s="10">
        <v>45635</v>
      </c>
    </row>
    <row r="2081" spans="1:9" x14ac:dyDescent="0.15">
      <c r="A2081" s="9">
        <v>2080</v>
      </c>
      <c r="B2081" s="9" t="s">
        <v>9</v>
      </c>
      <c r="C2081" s="9">
        <v>1926</v>
      </c>
      <c r="D2081" s="10">
        <v>45722</v>
      </c>
      <c r="E2081" s="11" t="str">
        <f>+HYPERLINK("http://trademark.i-assist.jp/data/china/image_1926th/82430857.pdf","82430857")</f>
        <v>82430857</v>
      </c>
      <c r="F2081" s="9" t="s">
        <v>5719</v>
      </c>
      <c r="G2081" s="9" t="s">
        <v>5614</v>
      </c>
      <c r="H2081" s="9" t="s">
        <v>5720</v>
      </c>
      <c r="I2081" s="10">
        <v>45635</v>
      </c>
    </row>
    <row r="2082" spans="1:9" x14ac:dyDescent="0.15">
      <c r="A2082" s="9">
        <v>2081</v>
      </c>
      <c r="B2082" s="9" t="s">
        <v>9</v>
      </c>
      <c r="C2082" s="9">
        <v>1926</v>
      </c>
      <c r="D2082" s="10">
        <v>45722</v>
      </c>
      <c r="E2082" s="11" t="str">
        <f>+HYPERLINK("http://trademark.i-assist.jp/data/china/image_1926th/82430900.pdf","82430900")</f>
        <v>82430900</v>
      </c>
      <c r="F2082" s="12" t="s">
        <v>20</v>
      </c>
      <c r="G2082" s="9" t="s">
        <v>5614</v>
      </c>
      <c r="H2082" s="9" t="s">
        <v>5721</v>
      </c>
      <c r="I2082" s="10">
        <v>45635</v>
      </c>
    </row>
    <row r="2083" spans="1:9" x14ac:dyDescent="0.15">
      <c r="A2083" s="9">
        <v>2082</v>
      </c>
      <c r="B2083" s="9" t="s">
        <v>9</v>
      </c>
      <c r="C2083" s="9">
        <v>1926</v>
      </c>
      <c r="D2083" s="10">
        <v>45722</v>
      </c>
      <c r="E2083" s="11" t="str">
        <f>+HYPERLINK("http://trademark.i-assist.jp/data/china/image_1926th/82431300.pdf","82431300")</f>
        <v>82431300</v>
      </c>
      <c r="F2083" s="9" t="s">
        <v>5722</v>
      </c>
      <c r="G2083" s="9" t="s">
        <v>5723</v>
      </c>
      <c r="H2083" s="9" t="s">
        <v>5724</v>
      </c>
      <c r="I2083" s="10">
        <v>45635</v>
      </c>
    </row>
    <row r="2084" spans="1:9" x14ac:dyDescent="0.15">
      <c r="A2084" s="9">
        <v>2083</v>
      </c>
      <c r="B2084" s="9" t="s">
        <v>9</v>
      </c>
      <c r="C2084" s="9">
        <v>1926</v>
      </c>
      <c r="D2084" s="10">
        <v>45722</v>
      </c>
      <c r="E2084" s="11" t="str">
        <f>+HYPERLINK("http://trademark.i-assist.jp/data/china/image_1926th/82431844.pdf","82431844")</f>
        <v>82431844</v>
      </c>
      <c r="F2084" s="9" t="s">
        <v>5725</v>
      </c>
      <c r="G2084" s="9" t="s">
        <v>18</v>
      </c>
      <c r="H2084" s="9" t="s">
        <v>5726</v>
      </c>
      <c r="I2084" s="10">
        <v>45635</v>
      </c>
    </row>
    <row r="2085" spans="1:9" x14ac:dyDescent="0.15">
      <c r="A2085" s="9">
        <v>2084</v>
      </c>
      <c r="B2085" s="9" t="s">
        <v>9</v>
      </c>
      <c r="C2085" s="9">
        <v>1926</v>
      </c>
      <c r="D2085" s="10">
        <v>45722</v>
      </c>
      <c r="E2085" s="11" t="str">
        <f>+HYPERLINK("http://trademark.i-assist.jp/data/china/image_1926th/82431927.pdf","82431927")</f>
        <v>82431927</v>
      </c>
      <c r="F2085" s="12" t="s">
        <v>5727</v>
      </c>
      <c r="G2085" s="9" t="s">
        <v>5728</v>
      </c>
      <c r="H2085" s="9" t="s">
        <v>5729</v>
      </c>
      <c r="I2085" s="10">
        <v>45635</v>
      </c>
    </row>
    <row r="2086" spans="1:9" x14ac:dyDescent="0.15">
      <c r="A2086" s="9">
        <v>2085</v>
      </c>
      <c r="B2086" s="9" t="s">
        <v>9</v>
      </c>
      <c r="C2086" s="9">
        <v>1926</v>
      </c>
      <c r="D2086" s="10">
        <v>45722</v>
      </c>
      <c r="E2086" s="11" t="str">
        <f>+HYPERLINK("http://trademark.i-assist.jp/data/china/image_1926th/82432243.pdf","82432243")</f>
        <v>82432243</v>
      </c>
      <c r="F2086" s="9" t="s">
        <v>5730</v>
      </c>
      <c r="G2086" s="9" t="s">
        <v>5731</v>
      </c>
      <c r="H2086" s="9" t="s">
        <v>5732</v>
      </c>
      <c r="I2086" s="10">
        <v>45635</v>
      </c>
    </row>
    <row r="2087" spans="1:9" x14ac:dyDescent="0.15">
      <c r="A2087" s="9">
        <v>2086</v>
      </c>
      <c r="B2087" s="9" t="s">
        <v>9</v>
      </c>
      <c r="C2087" s="9">
        <v>1926</v>
      </c>
      <c r="D2087" s="10">
        <v>45722</v>
      </c>
      <c r="E2087" s="11" t="str">
        <f>+HYPERLINK("http://trademark.i-assist.jp/data/china/image_1926th/82432289.pdf","82432289")</f>
        <v>82432289</v>
      </c>
      <c r="F2087" s="9" t="s">
        <v>5733</v>
      </c>
      <c r="G2087" s="9" t="s">
        <v>5734</v>
      </c>
      <c r="H2087" s="12" t="s">
        <v>5735</v>
      </c>
      <c r="I2087" s="10">
        <v>45635</v>
      </c>
    </row>
    <row r="2088" spans="1:9" x14ac:dyDescent="0.15">
      <c r="A2088" s="9">
        <v>2087</v>
      </c>
      <c r="B2088" s="9" t="s">
        <v>9</v>
      </c>
      <c r="C2088" s="9">
        <v>1926</v>
      </c>
      <c r="D2088" s="10">
        <v>45722</v>
      </c>
      <c r="E2088" s="11" t="str">
        <f>+HYPERLINK("http://trademark.i-assist.jp/data/china/image_1926th/82432321.pdf","82432321")</f>
        <v>82432321</v>
      </c>
      <c r="F2088" s="9" t="s">
        <v>5736</v>
      </c>
      <c r="G2088" s="9" t="s">
        <v>5611</v>
      </c>
      <c r="H2088" s="9" t="s">
        <v>5737</v>
      </c>
      <c r="I2088" s="10">
        <v>45635</v>
      </c>
    </row>
    <row r="2089" spans="1:9" x14ac:dyDescent="0.15">
      <c r="A2089" s="9">
        <v>2088</v>
      </c>
      <c r="B2089" s="9" t="s">
        <v>9</v>
      </c>
      <c r="C2089" s="9">
        <v>1926</v>
      </c>
      <c r="D2089" s="10">
        <v>45722</v>
      </c>
      <c r="E2089" s="11" t="str">
        <f>+HYPERLINK("http://trademark.i-assist.jp/data/china/image_1926th/82432738.pdf","82432738")</f>
        <v>82432738</v>
      </c>
      <c r="F2089" s="9" t="s">
        <v>5738</v>
      </c>
      <c r="G2089" s="9" t="s">
        <v>5739</v>
      </c>
      <c r="H2089" s="9" t="s">
        <v>5740</v>
      </c>
      <c r="I2089" s="10">
        <v>45635</v>
      </c>
    </row>
    <row r="2090" spans="1:9" x14ac:dyDescent="0.15">
      <c r="A2090" s="9">
        <v>2089</v>
      </c>
      <c r="B2090" s="9" t="s">
        <v>9</v>
      </c>
      <c r="C2090" s="9">
        <v>1926</v>
      </c>
      <c r="D2090" s="10">
        <v>45722</v>
      </c>
      <c r="E2090" s="11" t="str">
        <f>+HYPERLINK("http://trademark.i-assist.jp/data/china/image_1926th/82432981.pdf","82432981")</f>
        <v>82432981</v>
      </c>
      <c r="F2090" s="12" t="s">
        <v>5741</v>
      </c>
      <c r="G2090" s="9" t="s">
        <v>33</v>
      </c>
      <c r="H2090" s="9" t="s">
        <v>5742</v>
      </c>
      <c r="I2090" s="10">
        <v>45635</v>
      </c>
    </row>
    <row r="2091" spans="1:9" x14ac:dyDescent="0.15">
      <c r="A2091" s="9">
        <v>2090</v>
      </c>
      <c r="B2091" s="9" t="s">
        <v>9</v>
      </c>
      <c r="C2091" s="9">
        <v>1926</v>
      </c>
      <c r="D2091" s="10">
        <v>45722</v>
      </c>
      <c r="E2091" s="11" t="str">
        <f>+HYPERLINK("http://trademark.i-assist.jp/data/china/image_1926th/82433203.pdf","82433203")</f>
        <v>82433203</v>
      </c>
      <c r="F2091" s="9" t="s">
        <v>5743</v>
      </c>
      <c r="G2091" s="9" t="s">
        <v>5744</v>
      </c>
      <c r="H2091" s="9" t="s">
        <v>5745</v>
      </c>
      <c r="I2091" s="10">
        <v>45635</v>
      </c>
    </row>
    <row r="2092" spans="1:9" x14ac:dyDescent="0.15">
      <c r="A2092" s="9">
        <v>2091</v>
      </c>
      <c r="B2092" s="9" t="s">
        <v>9</v>
      </c>
      <c r="C2092" s="9">
        <v>1926</v>
      </c>
      <c r="D2092" s="10">
        <v>45722</v>
      </c>
      <c r="E2092" s="11" t="str">
        <f>+HYPERLINK("http://trademark.i-assist.jp/data/china/image_1926th/82433266.pdf","82433266")</f>
        <v>82433266</v>
      </c>
      <c r="F2092" s="12" t="s">
        <v>5746</v>
      </c>
      <c r="G2092" s="9" t="s">
        <v>5747</v>
      </c>
      <c r="H2092" s="9" t="s">
        <v>5748</v>
      </c>
      <c r="I2092" s="10">
        <v>45635</v>
      </c>
    </row>
    <row r="2093" spans="1:9" x14ac:dyDescent="0.15">
      <c r="A2093" s="9">
        <v>2092</v>
      </c>
      <c r="B2093" s="9" t="s">
        <v>9</v>
      </c>
      <c r="C2093" s="9">
        <v>1926</v>
      </c>
      <c r="D2093" s="10">
        <v>45722</v>
      </c>
      <c r="E2093" s="11" t="str">
        <f>+HYPERLINK("http://trademark.i-assist.jp/data/china/image_1926th/82433359.pdf","82433359")</f>
        <v>82433359</v>
      </c>
      <c r="F2093" s="9" t="s">
        <v>5749</v>
      </c>
      <c r="G2093" s="12" t="s">
        <v>5750</v>
      </c>
      <c r="H2093" s="9" t="s">
        <v>5751</v>
      </c>
      <c r="I2093" s="10">
        <v>45635</v>
      </c>
    </row>
    <row r="2094" spans="1:9" x14ac:dyDescent="0.15">
      <c r="A2094" s="9">
        <v>2093</v>
      </c>
      <c r="B2094" s="9" t="s">
        <v>9</v>
      </c>
      <c r="C2094" s="9">
        <v>1926</v>
      </c>
      <c r="D2094" s="10">
        <v>45722</v>
      </c>
      <c r="E2094" s="11" t="str">
        <f>+HYPERLINK("http://trademark.i-assist.jp/data/china/image_1926th/82433517.pdf","82433517")</f>
        <v>82433517</v>
      </c>
      <c r="F2094" s="9" t="s">
        <v>5752</v>
      </c>
      <c r="G2094" s="9" t="s">
        <v>195</v>
      </c>
      <c r="H2094" s="9" t="s">
        <v>5753</v>
      </c>
      <c r="I2094" s="10">
        <v>45635</v>
      </c>
    </row>
    <row r="2095" spans="1:9" x14ac:dyDescent="0.15">
      <c r="A2095" s="9">
        <v>2094</v>
      </c>
      <c r="B2095" s="9" t="s">
        <v>9</v>
      </c>
      <c r="C2095" s="9">
        <v>1926</v>
      </c>
      <c r="D2095" s="10">
        <v>45722</v>
      </c>
      <c r="E2095" s="11" t="str">
        <f>+HYPERLINK("http://trademark.i-assist.jp/data/china/image_1926th/82433561.pdf","82433561")</f>
        <v>82433561</v>
      </c>
      <c r="F2095" s="12" t="s">
        <v>20</v>
      </c>
      <c r="G2095" s="9" t="s">
        <v>5754</v>
      </c>
      <c r="H2095" s="9" t="s">
        <v>5755</v>
      </c>
      <c r="I2095" s="10">
        <v>45635</v>
      </c>
    </row>
    <row r="2096" spans="1:9" x14ac:dyDescent="0.15">
      <c r="A2096" s="9">
        <v>2095</v>
      </c>
      <c r="B2096" s="9" t="s">
        <v>9</v>
      </c>
      <c r="C2096" s="9">
        <v>1926</v>
      </c>
      <c r="D2096" s="10">
        <v>45722</v>
      </c>
      <c r="E2096" s="11" t="str">
        <f>+HYPERLINK("http://trademark.i-assist.jp/data/china/image_1926th/82433684.pdf","82433684")</f>
        <v>82433684</v>
      </c>
      <c r="F2096" s="9" t="s">
        <v>5756</v>
      </c>
      <c r="G2096" s="9" t="s">
        <v>5757</v>
      </c>
      <c r="H2096" s="9" t="s">
        <v>5758</v>
      </c>
      <c r="I2096" s="10">
        <v>45635</v>
      </c>
    </row>
    <row r="2097" spans="1:9" x14ac:dyDescent="0.15">
      <c r="A2097" s="9">
        <v>2096</v>
      </c>
      <c r="B2097" s="9" t="s">
        <v>9</v>
      </c>
      <c r="C2097" s="9">
        <v>1926</v>
      </c>
      <c r="D2097" s="10">
        <v>45722</v>
      </c>
      <c r="E2097" s="11" t="str">
        <f>+HYPERLINK("http://trademark.i-assist.jp/data/china/image_1926th/82433757.pdf","82433757")</f>
        <v>82433757</v>
      </c>
      <c r="F2097" s="12" t="s">
        <v>5759</v>
      </c>
      <c r="G2097" s="9" t="s">
        <v>178</v>
      </c>
      <c r="H2097" s="9" t="s">
        <v>5760</v>
      </c>
      <c r="I2097" s="10">
        <v>45635</v>
      </c>
    </row>
    <row r="2098" spans="1:9" x14ac:dyDescent="0.15">
      <c r="A2098" s="9">
        <v>2097</v>
      </c>
      <c r="B2098" s="9" t="s">
        <v>9</v>
      </c>
      <c r="C2098" s="9">
        <v>1926</v>
      </c>
      <c r="D2098" s="10">
        <v>45722</v>
      </c>
      <c r="E2098" s="11" t="str">
        <f>+HYPERLINK("http://trademark.i-assist.jp/data/china/image_1926th/82434332.pdf","82434332")</f>
        <v>82434332</v>
      </c>
      <c r="F2098" s="9" t="s">
        <v>5761</v>
      </c>
      <c r="G2098" s="12" t="s">
        <v>5762</v>
      </c>
      <c r="H2098" s="9" t="s">
        <v>5763</v>
      </c>
      <c r="I2098" s="10">
        <v>45635</v>
      </c>
    </row>
    <row r="2099" spans="1:9" x14ac:dyDescent="0.15">
      <c r="A2099" s="9">
        <v>2098</v>
      </c>
      <c r="B2099" s="9" t="s">
        <v>9</v>
      </c>
      <c r="C2099" s="9">
        <v>1926</v>
      </c>
      <c r="D2099" s="10">
        <v>45722</v>
      </c>
      <c r="E2099" s="11" t="str">
        <f>+HYPERLINK("http://trademark.i-assist.jp/data/china/image_1926th/82434392.pdf","82434392")</f>
        <v>82434392</v>
      </c>
      <c r="F2099" s="9" t="s">
        <v>5764</v>
      </c>
      <c r="G2099" s="9" t="s">
        <v>33</v>
      </c>
      <c r="H2099" s="9" t="s">
        <v>5765</v>
      </c>
      <c r="I2099" s="10">
        <v>45635</v>
      </c>
    </row>
    <row r="2100" spans="1:9" x14ac:dyDescent="0.15">
      <c r="A2100" s="9">
        <v>2099</v>
      </c>
      <c r="B2100" s="9" t="s">
        <v>9</v>
      </c>
      <c r="C2100" s="9">
        <v>1926</v>
      </c>
      <c r="D2100" s="10">
        <v>45722</v>
      </c>
      <c r="E2100" s="11" t="str">
        <f>+HYPERLINK("http://trademark.i-assist.jp/data/china/image_1926th/82434406.pdf","82434406")</f>
        <v>82434406</v>
      </c>
      <c r="F2100" s="9" t="s">
        <v>5766</v>
      </c>
      <c r="G2100" s="9" t="s">
        <v>5767</v>
      </c>
      <c r="H2100" s="9" t="s">
        <v>5768</v>
      </c>
      <c r="I2100" s="10">
        <v>45635</v>
      </c>
    </row>
    <row r="2101" spans="1:9" x14ac:dyDescent="0.15">
      <c r="A2101" s="9">
        <v>2100</v>
      </c>
      <c r="B2101" s="9" t="s">
        <v>9</v>
      </c>
      <c r="C2101" s="9">
        <v>1926</v>
      </c>
      <c r="D2101" s="10">
        <v>45722</v>
      </c>
      <c r="E2101" s="11" t="str">
        <f>+HYPERLINK("http://trademark.i-assist.jp/data/china/image_1926th/82434860.pdf","82434860")</f>
        <v>82434860</v>
      </c>
      <c r="F2101" s="9" t="s">
        <v>5769</v>
      </c>
      <c r="G2101" s="9" t="s">
        <v>5642</v>
      </c>
      <c r="H2101" s="9" t="s">
        <v>5770</v>
      </c>
      <c r="I2101" s="10">
        <v>45635</v>
      </c>
    </row>
    <row r="2102" spans="1:9" x14ac:dyDescent="0.15">
      <c r="A2102" s="9">
        <v>2101</v>
      </c>
      <c r="B2102" s="9" t="s">
        <v>9</v>
      </c>
      <c r="C2102" s="9">
        <v>1926</v>
      </c>
      <c r="D2102" s="10">
        <v>45722</v>
      </c>
      <c r="E2102" s="11" t="str">
        <f>+HYPERLINK("http://trademark.i-assist.jp/data/china/image_1926th/82435771.pdf","82435771")</f>
        <v>82435771</v>
      </c>
      <c r="F2102" s="9" t="s">
        <v>5771</v>
      </c>
      <c r="G2102" s="9" t="s">
        <v>5772</v>
      </c>
      <c r="H2102" s="12" t="s">
        <v>5773</v>
      </c>
      <c r="I2102" s="10">
        <v>45635</v>
      </c>
    </row>
    <row r="2103" spans="1:9" x14ac:dyDescent="0.15">
      <c r="A2103" s="9">
        <v>2102</v>
      </c>
      <c r="B2103" s="9" t="s">
        <v>9</v>
      </c>
      <c r="C2103" s="9">
        <v>1926</v>
      </c>
      <c r="D2103" s="10">
        <v>45722</v>
      </c>
      <c r="E2103" s="11" t="str">
        <f>+HYPERLINK("http://trademark.i-assist.jp/data/china/image_1926th/82436203.pdf","82436203")</f>
        <v>82436203</v>
      </c>
      <c r="F2103" s="12" t="s">
        <v>20</v>
      </c>
      <c r="G2103" s="9" t="s">
        <v>5774</v>
      </c>
      <c r="H2103" s="9" t="s">
        <v>5775</v>
      </c>
      <c r="I2103" s="10">
        <v>45635</v>
      </c>
    </row>
    <row r="2104" spans="1:9" x14ac:dyDescent="0.15">
      <c r="A2104" s="9">
        <v>2103</v>
      </c>
      <c r="B2104" s="9" t="s">
        <v>9</v>
      </c>
      <c r="C2104" s="9">
        <v>1926</v>
      </c>
      <c r="D2104" s="10">
        <v>45722</v>
      </c>
      <c r="E2104" s="11" t="str">
        <f>+HYPERLINK("http://trademark.i-assist.jp/data/china/image_1926th/82436358.pdf","82436358")</f>
        <v>82436358</v>
      </c>
      <c r="F2104" s="9" t="s">
        <v>5776</v>
      </c>
      <c r="G2104" s="9" t="s">
        <v>198</v>
      </c>
      <c r="H2104" s="9" t="s">
        <v>5777</v>
      </c>
      <c r="I2104" s="10">
        <v>45635</v>
      </c>
    </row>
    <row r="2105" spans="1:9" x14ac:dyDescent="0.15">
      <c r="A2105" s="9">
        <v>2104</v>
      </c>
      <c r="B2105" s="9" t="s">
        <v>9</v>
      </c>
      <c r="C2105" s="9">
        <v>1926</v>
      </c>
      <c r="D2105" s="10">
        <v>45722</v>
      </c>
      <c r="E2105" s="11" t="str">
        <f>+HYPERLINK("http://trademark.i-assist.jp/data/china/image_1926th/82436545.pdf","82436545")</f>
        <v>82436545</v>
      </c>
      <c r="F2105" s="9" t="s">
        <v>5778</v>
      </c>
      <c r="G2105" s="12" t="s">
        <v>5779</v>
      </c>
      <c r="H2105" s="9" t="s">
        <v>5780</v>
      </c>
      <c r="I2105" s="10">
        <v>45635</v>
      </c>
    </row>
    <row r="2106" spans="1:9" x14ac:dyDescent="0.15">
      <c r="A2106" s="9">
        <v>2105</v>
      </c>
      <c r="B2106" s="9" t="s">
        <v>9</v>
      </c>
      <c r="C2106" s="9">
        <v>1926</v>
      </c>
      <c r="D2106" s="10">
        <v>45722</v>
      </c>
      <c r="E2106" s="11" t="str">
        <f>+HYPERLINK("http://trademark.i-assist.jp/data/china/image_1926th/82436667.pdf","82436667")</f>
        <v>82436667</v>
      </c>
      <c r="F2106" s="9" t="s">
        <v>5781</v>
      </c>
      <c r="G2106" s="12" t="s">
        <v>5782</v>
      </c>
      <c r="H2106" s="9" t="s">
        <v>5783</v>
      </c>
      <c r="I2106" s="10">
        <v>45635</v>
      </c>
    </row>
    <row r="2107" spans="1:9" x14ac:dyDescent="0.15">
      <c r="A2107" s="9">
        <v>2106</v>
      </c>
      <c r="B2107" s="9" t="s">
        <v>9</v>
      </c>
      <c r="C2107" s="9">
        <v>1926</v>
      </c>
      <c r="D2107" s="10">
        <v>45722</v>
      </c>
      <c r="E2107" s="11" t="str">
        <f>+HYPERLINK("http://trademark.i-assist.jp/data/china/image_1926th/82436740.pdf","82436740")</f>
        <v>82436740</v>
      </c>
      <c r="F2107" s="9" t="s">
        <v>5784</v>
      </c>
      <c r="G2107" s="9" t="s">
        <v>5785</v>
      </c>
      <c r="H2107" s="9" t="s">
        <v>5786</v>
      </c>
      <c r="I2107" s="10">
        <v>45635</v>
      </c>
    </row>
    <row r="2108" spans="1:9" x14ac:dyDescent="0.15">
      <c r="A2108" s="9">
        <v>2107</v>
      </c>
      <c r="B2108" s="9" t="s">
        <v>9</v>
      </c>
      <c r="C2108" s="9">
        <v>1926</v>
      </c>
      <c r="D2108" s="10">
        <v>45722</v>
      </c>
      <c r="E2108" s="11" t="str">
        <f>+HYPERLINK("http://trademark.i-assist.jp/data/china/image_1926th/82437285.pdf","82437285")</f>
        <v>82437285</v>
      </c>
      <c r="F2108" s="9" t="s">
        <v>5787</v>
      </c>
      <c r="G2108" s="9" t="s">
        <v>5698</v>
      </c>
      <c r="H2108" s="9" t="s">
        <v>5788</v>
      </c>
      <c r="I2108" s="10">
        <v>45635</v>
      </c>
    </row>
    <row r="2109" spans="1:9" x14ac:dyDescent="0.15">
      <c r="A2109" s="9">
        <v>2108</v>
      </c>
      <c r="B2109" s="9" t="s">
        <v>9</v>
      </c>
      <c r="C2109" s="9">
        <v>1926</v>
      </c>
      <c r="D2109" s="10">
        <v>45722</v>
      </c>
      <c r="E2109" s="11" t="str">
        <f>+HYPERLINK("http://trademark.i-assist.jp/data/china/image_1926th/82437716.pdf","82437716")</f>
        <v>82437716</v>
      </c>
      <c r="F2109" s="9" t="s">
        <v>5789</v>
      </c>
      <c r="G2109" s="9" t="s">
        <v>66</v>
      </c>
      <c r="H2109" s="9" t="s">
        <v>5790</v>
      </c>
      <c r="I2109" s="10">
        <v>45635</v>
      </c>
    </row>
    <row r="2110" spans="1:9" x14ac:dyDescent="0.15">
      <c r="A2110" s="9">
        <v>2109</v>
      </c>
      <c r="B2110" s="9" t="s">
        <v>9</v>
      </c>
      <c r="C2110" s="9">
        <v>1926</v>
      </c>
      <c r="D2110" s="10">
        <v>45722</v>
      </c>
      <c r="E2110" s="11" t="str">
        <f>+HYPERLINK("http://trademark.i-assist.jp/data/china/image_1926th/82437892.pdf","82437892")</f>
        <v>82437892</v>
      </c>
      <c r="F2110" s="9" t="s">
        <v>5791</v>
      </c>
      <c r="G2110" s="9" t="s">
        <v>5792</v>
      </c>
      <c r="H2110" s="12" t="s">
        <v>5793</v>
      </c>
      <c r="I2110" s="10">
        <v>45635</v>
      </c>
    </row>
    <row r="2111" spans="1:9" x14ac:dyDescent="0.15">
      <c r="A2111" s="9">
        <v>2110</v>
      </c>
      <c r="B2111" s="9" t="s">
        <v>9</v>
      </c>
      <c r="C2111" s="9">
        <v>1926</v>
      </c>
      <c r="D2111" s="10">
        <v>45722</v>
      </c>
      <c r="E2111" s="11" t="str">
        <f>+HYPERLINK("http://trademark.i-assist.jp/data/china/image_1926th/82437983.pdf","82437983")</f>
        <v>82437983</v>
      </c>
      <c r="F2111" s="9" t="s">
        <v>5794</v>
      </c>
      <c r="G2111" s="12" t="s">
        <v>5795</v>
      </c>
      <c r="H2111" s="9" t="s">
        <v>5796</v>
      </c>
      <c r="I2111" s="10">
        <v>45635</v>
      </c>
    </row>
    <row r="2112" spans="1:9" x14ac:dyDescent="0.15">
      <c r="A2112" s="9">
        <v>2111</v>
      </c>
      <c r="B2112" s="9" t="s">
        <v>9</v>
      </c>
      <c r="C2112" s="9">
        <v>1926</v>
      </c>
      <c r="D2112" s="10">
        <v>45722</v>
      </c>
      <c r="E2112" s="11" t="str">
        <f>+HYPERLINK("http://trademark.i-assist.jp/data/china/image_1926th/82438122.pdf","82438122")</f>
        <v>82438122</v>
      </c>
      <c r="F2112" s="9" t="s">
        <v>5797</v>
      </c>
      <c r="G2112" s="9" t="s">
        <v>5798</v>
      </c>
      <c r="H2112" s="12" t="s">
        <v>5799</v>
      </c>
      <c r="I2112" s="10">
        <v>45635</v>
      </c>
    </row>
    <row r="2113" spans="1:9" x14ac:dyDescent="0.15">
      <c r="A2113" s="9">
        <v>2112</v>
      </c>
      <c r="B2113" s="9" t="s">
        <v>9</v>
      </c>
      <c r="C2113" s="9">
        <v>1926</v>
      </c>
      <c r="D2113" s="10">
        <v>45722</v>
      </c>
      <c r="E2113" s="11" t="str">
        <f>+HYPERLINK("http://trademark.i-assist.jp/data/china/image_1926th/82438222.pdf","82438222")</f>
        <v>82438222</v>
      </c>
      <c r="F2113" s="9" t="s">
        <v>5800</v>
      </c>
      <c r="G2113" s="12" t="s">
        <v>5801</v>
      </c>
      <c r="H2113" s="9" t="s">
        <v>5802</v>
      </c>
      <c r="I2113" s="10">
        <v>45635</v>
      </c>
    </row>
    <row r="2114" spans="1:9" x14ac:dyDescent="0.15">
      <c r="A2114" s="9">
        <v>2113</v>
      </c>
      <c r="B2114" s="9" t="s">
        <v>9</v>
      </c>
      <c r="C2114" s="9">
        <v>1926</v>
      </c>
      <c r="D2114" s="10">
        <v>45722</v>
      </c>
      <c r="E2114" s="11" t="str">
        <f>+HYPERLINK("http://trademark.i-assist.jp/data/china/image_1926th/82438231.pdf","82438231")</f>
        <v>82438231</v>
      </c>
      <c r="F2114" s="9" t="s">
        <v>5803</v>
      </c>
      <c r="G2114" s="12" t="s">
        <v>5801</v>
      </c>
      <c r="H2114" s="9" t="s">
        <v>5804</v>
      </c>
      <c r="I2114" s="10">
        <v>45635</v>
      </c>
    </row>
    <row r="2115" spans="1:9" x14ac:dyDescent="0.15">
      <c r="A2115" s="9">
        <v>2114</v>
      </c>
      <c r="B2115" s="9" t="s">
        <v>9</v>
      </c>
      <c r="C2115" s="9">
        <v>1926</v>
      </c>
      <c r="D2115" s="10">
        <v>45722</v>
      </c>
      <c r="E2115" s="11" t="str">
        <f>+HYPERLINK("http://trademark.i-assist.jp/data/china/image_1926th/82438634.pdf","82438634")</f>
        <v>82438634</v>
      </c>
      <c r="F2115" s="9" t="s">
        <v>5805</v>
      </c>
      <c r="G2115" s="12" t="s">
        <v>5806</v>
      </c>
      <c r="H2115" s="9" t="s">
        <v>5807</v>
      </c>
      <c r="I2115" s="10">
        <v>45635</v>
      </c>
    </row>
    <row r="2116" spans="1:9" x14ac:dyDescent="0.15">
      <c r="A2116" s="9">
        <v>2115</v>
      </c>
      <c r="B2116" s="9" t="s">
        <v>9</v>
      </c>
      <c r="C2116" s="9">
        <v>1926</v>
      </c>
      <c r="D2116" s="10">
        <v>45722</v>
      </c>
      <c r="E2116" s="11" t="str">
        <f>+HYPERLINK("http://trademark.i-assist.jp/data/china/image_1926th/82438842.pdf","82438842")</f>
        <v>82438842</v>
      </c>
      <c r="F2116" s="12" t="s">
        <v>20</v>
      </c>
      <c r="G2116" s="9" t="s">
        <v>5673</v>
      </c>
      <c r="H2116" s="9" t="s">
        <v>5808</v>
      </c>
      <c r="I2116" s="10">
        <v>45635</v>
      </c>
    </row>
    <row r="2117" spans="1:9" x14ac:dyDescent="0.15">
      <c r="A2117" s="9">
        <v>2116</v>
      </c>
      <c r="B2117" s="9" t="s">
        <v>9</v>
      </c>
      <c r="C2117" s="9">
        <v>1926</v>
      </c>
      <c r="D2117" s="10">
        <v>45722</v>
      </c>
      <c r="E2117" s="11" t="str">
        <f>+HYPERLINK("http://trademark.i-assist.jp/data/china/image_1926th/82439112.pdf","82439112")</f>
        <v>82439112</v>
      </c>
      <c r="F2117" s="12" t="s">
        <v>5809</v>
      </c>
      <c r="G2117" s="9" t="s">
        <v>5810</v>
      </c>
      <c r="H2117" s="9" t="s">
        <v>5811</v>
      </c>
      <c r="I2117" s="10">
        <v>45635</v>
      </c>
    </row>
    <row r="2118" spans="1:9" x14ac:dyDescent="0.15">
      <c r="A2118" s="9">
        <v>2117</v>
      </c>
      <c r="B2118" s="9" t="s">
        <v>9</v>
      </c>
      <c r="C2118" s="9">
        <v>1926</v>
      </c>
      <c r="D2118" s="10">
        <v>45722</v>
      </c>
      <c r="E2118" s="11" t="str">
        <f>+HYPERLINK("http://trademark.i-assist.jp/data/china/image_1926th/82439158.pdf","82439158")</f>
        <v>82439158</v>
      </c>
      <c r="F2118" s="12" t="s">
        <v>5812</v>
      </c>
      <c r="G2118" s="9" t="s">
        <v>183</v>
      </c>
      <c r="H2118" s="9" t="s">
        <v>5813</v>
      </c>
      <c r="I2118" s="10">
        <v>45635</v>
      </c>
    </row>
    <row r="2119" spans="1:9" x14ac:dyDescent="0.15">
      <c r="A2119" s="9">
        <v>2118</v>
      </c>
      <c r="B2119" s="9" t="s">
        <v>9</v>
      </c>
      <c r="C2119" s="9">
        <v>1926</v>
      </c>
      <c r="D2119" s="10">
        <v>45722</v>
      </c>
      <c r="E2119" s="11" t="str">
        <f>+HYPERLINK("http://trademark.i-assist.jp/data/china/image_1926th/82439325.pdf","82439325")</f>
        <v>82439325</v>
      </c>
      <c r="F2119" s="9" t="s">
        <v>5814</v>
      </c>
      <c r="G2119" s="9" t="s">
        <v>5815</v>
      </c>
      <c r="H2119" s="9" t="s">
        <v>5816</v>
      </c>
      <c r="I2119" s="10">
        <v>45635</v>
      </c>
    </row>
    <row r="2120" spans="1:9" x14ac:dyDescent="0.15">
      <c r="A2120" s="9">
        <v>2119</v>
      </c>
      <c r="B2120" s="9" t="s">
        <v>9</v>
      </c>
      <c r="C2120" s="9">
        <v>1926</v>
      </c>
      <c r="D2120" s="10">
        <v>45722</v>
      </c>
      <c r="E2120" s="11" t="str">
        <f>+HYPERLINK("http://trademark.i-assist.jp/data/china/image_1926th/82439614.pdf","82439614")</f>
        <v>82439614</v>
      </c>
      <c r="F2120" s="12" t="s">
        <v>5817</v>
      </c>
      <c r="G2120" s="9" t="s">
        <v>5818</v>
      </c>
      <c r="H2120" s="9" t="s">
        <v>5819</v>
      </c>
      <c r="I2120" s="10">
        <v>45635</v>
      </c>
    </row>
    <row r="2121" spans="1:9" x14ac:dyDescent="0.15">
      <c r="A2121" s="9">
        <v>2120</v>
      </c>
      <c r="B2121" s="9" t="s">
        <v>9</v>
      </c>
      <c r="C2121" s="9">
        <v>1926</v>
      </c>
      <c r="D2121" s="10">
        <v>45722</v>
      </c>
      <c r="E2121" s="11" t="str">
        <f>+HYPERLINK("http://trademark.i-assist.jp/data/china/image_1926th/82439718.pdf","82439718")</f>
        <v>82439718</v>
      </c>
      <c r="F2121" s="9" t="s">
        <v>5820</v>
      </c>
      <c r="G2121" s="9" t="s">
        <v>5821</v>
      </c>
      <c r="H2121" s="9" t="s">
        <v>5822</v>
      </c>
      <c r="I2121" s="10">
        <v>45635</v>
      </c>
    </row>
    <row r="2122" spans="1:9" x14ac:dyDescent="0.15">
      <c r="A2122" s="9">
        <v>2121</v>
      </c>
      <c r="B2122" s="9" t="s">
        <v>9</v>
      </c>
      <c r="C2122" s="9">
        <v>1926</v>
      </c>
      <c r="D2122" s="10">
        <v>45722</v>
      </c>
      <c r="E2122" s="11" t="str">
        <f>+HYPERLINK("http://trademark.i-assist.jp/data/china/image_1926th/82439766.pdf","82439766")</f>
        <v>82439766</v>
      </c>
      <c r="F2122" s="12" t="s">
        <v>5823</v>
      </c>
      <c r="G2122" s="9" t="s">
        <v>5824</v>
      </c>
      <c r="H2122" s="9" t="s">
        <v>5825</v>
      </c>
      <c r="I2122" s="10">
        <v>45635</v>
      </c>
    </row>
    <row r="2123" spans="1:9" x14ac:dyDescent="0.15">
      <c r="A2123" s="9">
        <v>2122</v>
      </c>
      <c r="B2123" s="9" t="s">
        <v>9</v>
      </c>
      <c r="C2123" s="9">
        <v>1926</v>
      </c>
      <c r="D2123" s="10">
        <v>45722</v>
      </c>
      <c r="E2123" s="11" t="str">
        <f>+HYPERLINK("http://trademark.i-assist.jp/data/china/image_1926th/82440185.pdf","82440185")</f>
        <v>82440185</v>
      </c>
      <c r="F2123" s="9" t="s">
        <v>5826</v>
      </c>
      <c r="G2123" s="12" t="s">
        <v>5827</v>
      </c>
      <c r="H2123" s="9" t="s">
        <v>5828</v>
      </c>
      <c r="I2123" s="10">
        <v>45635</v>
      </c>
    </row>
    <row r="2124" spans="1:9" x14ac:dyDescent="0.15">
      <c r="A2124" s="9">
        <v>2123</v>
      </c>
      <c r="B2124" s="9" t="s">
        <v>9</v>
      </c>
      <c r="C2124" s="9">
        <v>1926</v>
      </c>
      <c r="D2124" s="10">
        <v>45722</v>
      </c>
      <c r="E2124" s="11" t="str">
        <f>+HYPERLINK("http://trademark.i-assist.jp/data/china/image_1926th/82440790.pdf","82440790")</f>
        <v>82440790</v>
      </c>
      <c r="F2124" s="9" t="s">
        <v>5829</v>
      </c>
      <c r="G2124" s="9" t="s">
        <v>5830</v>
      </c>
      <c r="H2124" s="12" t="s">
        <v>5831</v>
      </c>
      <c r="I2124" s="10">
        <v>45635</v>
      </c>
    </row>
    <row r="2125" spans="1:9" x14ac:dyDescent="0.15">
      <c r="A2125" s="9">
        <v>2124</v>
      </c>
      <c r="B2125" s="9" t="s">
        <v>9</v>
      </c>
      <c r="C2125" s="9">
        <v>1926</v>
      </c>
      <c r="D2125" s="10">
        <v>45722</v>
      </c>
      <c r="E2125" s="11" t="str">
        <f>+HYPERLINK("http://trademark.i-assist.jp/data/china/image_1926th/82440898.pdf","82440898")</f>
        <v>82440898</v>
      </c>
      <c r="F2125" s="9" t="s">
        <v>5832</v>
      </c>
      <c r="G2125" s="9" t="s">
        <v>5833</v>
      </c>
      <c r="H2125" s="9" t="s">
        <v>5834</v>
      </c>
      <c r="I2125" s="10">
        <v>45635</v>
      </c>
    </row>
    <row r="2126" spans="1:9" x14ac:dyDescent="0.15">
      <c r="A2126" s="9">
        <v>2125</v>
      </c>
      <c r="B2126" s="9" t="s">
        <v>9</v>
      </c>
      <c r="C2126" s="9">
        <v>1926</v>
      </c>
      <c r="D2126" s="10">
        <v>45722</v>
      </c>
      <c r="E2126" s="11" t="str">
        <f>+HYPERLINK("http://trademark.i-assist.jp/data/china/image_1926th/82441062.pdf","82441062")</f>
        <v>82441062</v>
      </c>
      <c r="F2126" s="12" t="s">
        <v>5835</v>
      </c>
      <c r="G2126" s="12" t="s">
        <v>5836</v>
      </c>
      <c r="H2126" s="9" t="s">
        <v>5837</v>
      </c>
      <c r="I2126" s="10">
        <v>45635</v>
      </c>
    </row>
    <row r="2127" spans="1:9" x14ac:dyDescent="0.15">
      <c r="A2127" s="9">
        <v>2126</v>
      </c>
      <c r="B2127" s="9" t="s">
        <v>9</v>
      </c>
      <c r="C2127" s="9">
        <v>1926</v>
      </c>
      <c r="D2127" s="10">
        <v>45722</v>
      </c>
      <c r="E2127" s="11" t="str">
        <f>+HYPERLINK("http://trademark.i-assist.jp/data/china/image_1926th/82441298.pdf","82441298")</f>
        <v>82441298</v>
      </c>
      <c r="F2127" s="9" t="s">
        <v>5838</v>
      </c>
      <c r="G2127" s="9" t="s">
        <v>5839</v>
      </c>
      <c r="H2127" s="9" t="s">
        <v>5840</v>
      </c>
      <c r="I2127" s="10">
        <v>45635</v>
      </c>
    </row>
    <row r="2128" spans="1:9" x14ac:dyDescent="0.15">
      <c r="A2128" s="9">
        <v>2127</v>
      </c>
      <c r="B2128" s="9" t="s">
        <v>9</v>
      </c>
      <c r="C2128" s="9">
        <v>1926</v>
      </c>
      <c r="D2128" s="10">
        <v>45722</v>
      </c>
      <c r="E2128" s="11" t="str">
        <f>+HYPERLINK("http://trademark.i-assist.jp/data/china/image_1926th/82441388.pdf","82441388")</f>
        <v>82441388</v>
      </c>
      <c r="F2128" s="9" t="s">
        <v>5841</v>
      </c>
      <c r="G2128" s="9" t="s">
        <v>5842</v>
      </c>
      <c r="H2128" s="9" t="s">
        <v>5843</v>
      </c>
      <c r="I2128" s="10">
        <v>45635</v>
      </c>
    </row>
    <row r="2129" spans="1:9" x14ac:dyDescent="0.15">
      <c r="A2129" s="9">
        <v>2128</v>
      </c>
      <c r="B2129" s="9" t="s">
        <v>9</v>
      </c>
      <c r="C2129" s="9">
        <v>1926</v>
      </c>
      <c r="D2129" s="10">
        <v>45722</v>
      </c>
      <c r="E2129" s="11" t="str">
        <f>+HYPERLINK("http://trademark.i-assist.jp/data/china/image_1926th/82441410.pdf","82441410")</f>
        <v>82441410</v>
      </c>
      <c r="F2129" s="9" t="s">
        <v>5844</v>
      </c>
      <c r="G2129" s="9" t="s">
        <v>5845</v>
      </c>
      <c r="H2129" s="9" t="s">
        <v>5846</v>
      </c>
      <c r="I2129" s="10">
        <v>45635</v>
      </c>
    </row>
    <row r="2130" spans="1:9" x14ac:dyDescent="0.15">
      <c r="A2130" s="9">
        <v>2129</v>
      </c>
      <c r="B2130" s="9" t="s">
        <v>9</v>
      </c>
      <c r="C2130" s="9">
        <v>1926</v>
      </c>
      <c r="D2130" s="10">
        <v>45722</v>
      </c>
      <c r="E2130" s="11" t="str">
        <f>+HYPERLINK("http://trademark.i-assist.jp/data/china/image_1926th/82441685.pdf","82441685")</f>
        <v>82441685</v>
      </c>
      <c r="F2130" s="12" t="s">
        <v>5847</v>
      </c>
      <c r="G2130" s="9" t="s">
        <v>5848</v>
      </c>
      <c r="H2130" s="9" t="s">
        <v>5849</v>
      </c>
      <c r="I2130" s="10">
        <v>45635</v>
      </c>
    </row>
    <row r="2131" spans="1:9" x14ac:dyDescent="0.15">
      <c r="A2131" s="9">
        <v>2130</v>
      </c>
      <c r="B2131" s="9" t="s">
        <v>9</v>
      </c>
      <c r="C2131" s="9">
        <v>1926</v>
      </c>
      <c r="D2131" s="10">
        <v>45722</v>
      </c>
      <c r="E2131" s="11" t="str">
        <f>+HYPERLINK("http://trademark.i-assist.jp/data/china/image_1926th/82442195.pdf","82442195")</f>
        <v>82442195</v>
      </c>
      <c r="F2131" s="9" t="s">
        <v>5850</v>
      </c>
      <c r="G2131" s="12" t="s">
        <v>5851</v>
      </c>
      <c r="H2131" s="9" t="s">
        <v>5852</v>
      </c>
      <c r="I2131" s="10">
        <v>45635</v>
      </c>
    </row>
    <row r="2132" spans="1:9" x14ac:dyDescent="0.15">
      <c r="A2132" s="9">
        <v>2131</v>
      </c>
      <c r="B2132" s="9" t="s">
        <v>9</v>
      </c>
      <c r="C2132" s="9">
        <v>1926</v>
      </c>
      <c r="D2132" s="10">
        <v>45722</v>
      </c>
      <c r="E2132" s="11" t="str">
        <f>+HYPERLINK("http://trademark.i-assist.jp/data/china/image_1926th/82442207.pdf","82442207")</f>
        <v>82442207</v>
      </c>
      <c r="F2132" s="9" t="s">
        <v>5853</v>
      </c>
      <c r="G2132" s="12" t="s">
        <v>5851</v>
      </c>
      <c r="H2132" s="9" t="s">
        <v>5854</v>
      </c>
      <c r="I2132" s="10">
        <v>45635</v>
      </c>
    </row>
    <row r="2133" spans="1:9" x14ac:dyDescent="0.15">
      <c r="A2133" s="9">
        <v>2132</v>
      </c>
      <c r="B2133" s="9" t="s">
        <v>9</v>
      </c>
      <c r="C2133" s="9">
        <v>1926</v>
      </c>
      <c r="D2133" s="10">
        <v>45722</v>
      </c>
      <c r="E2133" s="11" t="str">
        <f>+HYPERLINK("http://trademark.i-assist.jp/data/china/image_1926th/82442213.pdf","82442213")</f>
        <v>82442213</v>
      </c>
      <c r="F2133" s="9" t="s">
        <v>5855</v>
      </c>
      <c r="G2133" s="9" t="s">
        <v>5634</v>
      </c>
      <c r="H2133" s="9" t="s">
        <v>5856</v>
      </c>
      <c r="I2133" s="10">
        <v>45635</v>
      </c>
    </row>
    <row r="2134" spans="1:9" x14ac:dyDescent="0.15">
      <c r="A2134" s="9">
        <v>2133</v>
      </c>
      <c r="B2134" s="9" t="s">
        <v>9</v>
      </c>
      <c r="C2134" s="9">
        <v>1926</v>
      </c>
      <c r="D2134" s="10">
        <v>45722</v>
      </c>
      <c r="E2134" s="11" t="str">
        <f>+HYPERLINK("http://trademark.i-assist.jp/data/china/image_1926th/82442224.pdf","82442224")</f>
        <v>82442224</v>
      </c>
      <c r="F2134" s="9" t="s">
        <v>5857</v>
      </c>
      <c r="G2134" s="9" t="s">
        <v>5858</v>
      </c>
      <c r="H2134" s="9" t="s">
        <v>5859</v>
      </c>
      <c r="I2134" s="10">
        <v>45635</v>
      </c>
    </row>
    <row r="2135" spans="1:9" x14ac:dyDescent="0.15">
      <c r="A2135" s="9">
        <v>2134</v>
      </c>
      <c r="B2135" s="9" t="s">
        <v>9</v>
      </c>
      <c r="C2135" s="9">
        <v>1926</v>
      </c>
      <c r="D2135" s="10">
        <v>45722</v>
      </c>
      <c r="E2135" s="11" t="str">
        <f>+HYPERLINK("http://trademark.i-assist.jp/data/china/image_1926th/82442226.pdf","82442226")</f>
        <v>82442226</v>
      </c>
      <c r="F2135" s="12" t="s">
        <v>20</v>
      </c>
      <c r="G2135" s="9" t="s">
        <v>5860</v>
      </c>
      <c r="H2135" s="9" t="s">
        <v>5861</v>
      </c>
      <c r="I2135" s="10">
        <v>45635</v>
      </c>
    </row>
    <row r="2136" spans="1:9" x14ac:dyDescent="0.15">
      <c r="A2136" s="9">
        <v>2135</v>
      </c>
      <c r="B2136" s="9" t="s">
        <v>9</v>
      </c>
      <c r="C2136" s="9">
        <v>1926</v>
      </c>
      <c r="D2136" s="10">
        <v>45722</v>
      </c>
      <c r="E2136" s="11" t="str">
        <f>+HYPERLINK("http://trademark.i-assist.jp/data/china/image_1926th/82442262.pdf","82442262")</f>
        <v>82442262</v>
      </c>
      <c r="F2136" s="12" t="s">
        <v>5862</v>
      </c>
      <c r="G2136" s="12" t="s">
        <v>5863</v>
      </c>
      <c r="H2136" s="12" t="s">
        <v>5864</v>
      </c>
      <c r="I2136" s="10">
        <v>45635</v>
      </c>
    </row>
    <row r="2137" spans="1:9" x14ac:dyDescent="0.15">
      <c r="A2137" s="9">
        <v>2136</v>
      </c>
      <c r="B2137" s="9" t="s">
        <v>9</v>
      </c>
      <c r="C2137" s="9">
        <v>1926</v>
      </c>
      <c r="D2137" s="10">
        <v>45722</v>
      </c>
      <c r="E2137" s="11" t="str">
        <f>+HYPERLINK("http://trademark.i-assist.jp/data/china/image_1926th/82442606.pdf","82442606")</f>
        <v>82442606</v>
      </c>
      <c r="F2137" s="9" t="s">
        <v>5865</v>
      </c>
      <c r="G2137" s="12" t="s">
        <v>5866</v>
      </c>
      <c r="H2137" s="9" t="s">
        <v>5867</v>
      </c>
      <c r="I2137" s="10">
        <v>45635</v>
      </c>
    </row>
    <row r="2138" spans="1:9" x14ac:dyDescent="0.15">
      <c r="A2138" s="9">
        <v>2137</v>
      </c>
      <c r="B2138" s="9" t="s">
        <v>9</v>
      </c>
      <c r="C2138" s="9">
        <v>1926</v>
      </c>
      <c r="D2138" s="10">
        <v>45722</v>
      </c>
      <c r="E2138" s="11" t="str">
        <f>+HYPERLINK("http://trademark.i-assist.jp/data/china/image_1926th/82442887.pdf","82442887")</f>
        <v>82442887</v>
      </c>
      <c r="F2138" s="9" t="s">
        <v>5868</v>
      </c>
      <c r="G2138" s="9" t="s">
        <v>5869</v>
      </c>
      <c r="H2138" s="12" t="s">
        <v>5870</v>
      </c>
      <c r="I2138" s="10">
        <v>45635</v>
      </c>
    </row>
    <row r="2139" spans="1:9" x14ac:dyDescent="0.15">
      <c r="A2139" s="9">
        <v>2138</v>
      </c>
      <c r="B2139" s="9" t="s">
        <v>9</v>
      </c>
      <c r="C2139" s="9">
        <v>1926</v>
      </c>
      <c r="D2139" s="10">
        <v>45722</v>
      </c>
      <c r="E2139" s="11" t="str">
        <f>+HYPERLINK("http://trademark.i-assist.jp/data/china/image_1926th/82442943.pdf","82442943")</f>
        <v>82442943</v>
      </c>
      <c r="F2139" s="9" t="s">
        <v>5871</v>
      </c>
      <c r="G2139" s="9" t="s">
        <v>5872</v>
      </c>
      <c r="H2139" s="12" t="s">
        <v>5873</v>
      </c>
      <c r="I2139" s="10">
        <v>45635</v>
      </c>
    </row>
    <row r="2140" spans="1:9" x14ac:dyDescent="0.15">
      <c r="A2140" s="9">
        <v>2139</v>
      </c>
      <c r="B2140" s="9" t="s">
        <v>9</v>
      </c>
      <c r="C2140" s="9">
        <v>1926</v>
      </c>
      <c r="D2140" s="10">
        <v>45722</v>
      </c>
      <c r="E2140" s="11" t="str">
        <f>+HYPERLINK("http://trademark.i-assist.jp/data/china/image_1926th/82443503.pdf","82443503")</f>
        <v>82443503</v>
      </c>
      <c r="F2140" s="13" t="s">
        <v>5874</v>
      </c>
      <c r="G2140" s="9" t="s">
        <v>5670</v>
      </c>
      <c r="H2140" s="9" t="s">
        <v>5875</v>
      </c>
      <c r="I2140" s="10">
        <v>45635</v>
      </c>
    </row>
    <row r="2141" spans="1:9" x14ac:dyDescent="0.15">
      <c r="A2141" s="9">
        <v>2140</v>
      </c>
      <c r="B2141" s="9" t="s">
        <v>9</v>
      </c>
      <c r="C2141" s="9">
        <v>1926</v>
      </c>
      <c r="D2141" s="10">
        <v>45722</v>
      </c>
      <c r="E2141" s="11" t="str">
        <f>+HYPERLINK("http://trademark.i-assist.jp/data/china/image_1926th/82443612.pdf","82443612")</f>
        <v>82443612</v>
      </c>
      <c r="F2141" s="12" t="s">
        <v>20</v>
      </c>
      <c r="G2141" s="9" t="s">
        <v>193</v>
      </c>
      <c r="H2141" s="9" t="s">
        <v>5876</v>
      </c>
      <c r="I2141" s="10">
        <v>45635</v>
      </c>
    </row>
    <row r="2142" spans="1:9" x14ac:dyDescent="0.15">
      <c r="A2142" s="9">
        <v>2141</v>
      </c>
      <c r="B2142" s="9" t="s">
        <v>9</v>
      </c>
      <c r="C2142" s="9">
        <v>1926</v>
      </c>
      <c r="D2142" s="10">
        <v>45722</v>
      </c>
      <c r="E2142" s="11" t="str">
        <f>+HYPERLINK("http://trademark.i-assist.jp/data/china/image_1926th/82443722.pdf","82443722")</f>
        <v>82443722</v>
      </c>
      <c r="F2142" s="12" t="s">
        <v>5877</v>
      </c>
      <c r="G2142" s="12" t="s">
        <v>196</v>
      </c>
      <c r="H2142" s="9" t="s">
        <v>5878</v>
      </c>
      <c r="I2142" s="10">
        <v>45635</v>
      </c>
    </row>
    <row r="2143" spans="1:9" x14ac:dyDescent="0.15">
      <c r="A2143" s="9">
        <v>2142</v>
      </c>
      <c r="B2143" s="9" t="s">
        <v>9</v>
      </c>
      <c r="C2143" s="9">
        <v>1926</v>
      </c>
      <c r="D2143" s="10">
        <v>45722</v>
      </c>
      <c r="E2143" s="11" t="str">
        <f>+HYPERLINK("http://trademark.i-assist.jp/data/china/image_1926th/82443881.pdf","82443881")</f>
        <v>82443881</v>
      </c>
      <c r="F2143" s="9" t="s">
        <v>5879</v>
      </c>
      <c r="G2143" s="9" t="s">
        <v>5880</v>
      </c>
      <c r="H2143" s="9" t="s">
        <v>5881</v>
      </c>
      <c r="I2143" s="10">
        <v>45635</v>
      </c>
    </row>
    <row r="2144" spans="1:9" x14ac:dyDescent="0.15">
      <c r="A2144" s="9">
        <v>2143</v>
      </c>
      <c r="B2144" s="9" t="s">
        <v>9</v>
      </c>
      <c r="C2144" s="9">
        <v>1926</v>
      </c>
      <c r="D2144" s="10">
        <v>45722</v>
      </c>
      <c r="E2144" s="11" t="str">
        <f>+HYPERLINK("http://trademark.i-assist.jp/data/china/image_1926th/82444144.pdf","82444144")</f>
        <v>82444144</v>
      </c>
      <c r="F2144" s="9" t="s">
        <v>5882</v>
      </c>
      <c r="G2144" s="9" t="s">
        <v>5883</v>
      </c>
      <c r="H2144" s="9" t="s">
        <v>5884</v>
      </c>
      <c r="I2144" s="10">
        <v>45635</v>
      </c>
    </row>
    <row r="2145" spans="1:9" x14ac:dyDescent="0.15">
      <c r="A2145" s="9">
        <v>2144</v>
      </c>
      <c r="B2145" s="9" t="s">
        <v>9</v>
      </c>
      <c r="C2145" s="9">
        <v>1926</v>
      </c>
      <c r="D2145" s="10">
        <v>45722</v>
      </c>
      <c r="E2145" s="11" t="str">
        <f>+HYPERLINK("http://trademark.i-assist.jp/data/china/image_1926th/82444240.pdf","82444240")</f>
        <v>82444240</v>
      </c>
      <c r="F2145" s="9" t="s">
        <v>5885</v>
      </c>
      <c r="G2145" s="9" t="s">
        <v>5886</v>
      </c>
      <c r="H2145" s="9" t="s">
        <v>5887</v>
      </c>
      <c r="I2145" s="10">
        <v>45635</v>
      </c>
    </row>
    <row r="2146" spans="1:9" x14ac:dyDescent="0.15">
      <c r="A2146" s="9">
        <v>2145</v>
      </c>
      <c r="B2146" s="9" t="s">
        <v>9</v>
      </c>
      <c r="C2146" s="9">
        <v>1926</v>
      </c>
      <c r="D2146" s="10">
        <v>45722</v>
      </c>
      <c r="E2146" s="11" t="str">
        <f>+HYPERLINK("http://trademark.i-assist.jp/data/china/image_1926th/82444339.pdf","82444339")</f>
        <v>82444339</v>
      </c>
      <c r="F2146" s="9" t="s">
        <v>5888</v>
      </c>
      <c r="G2146" s="12" t="s">
        <v>5889</v>
      </c>
      <c r="H2146" s="12" t="s">
        <v>5890</v>
      </c>
      <c r="I2146" s="10">
        <v>45635</v>
      </c>
    </row>
    <row r="2147" spans="1:9" x14ac:dyDescent="0.15">
      <c r="A2147" s="9">
        <v>2146</v>
      </c>
      <c r="B2147" s="9" t="s">
        <v>9</v>
      </c>
      <c r="C2147" s="9">
        <v>1926</v>
      </c>
      <c r="D2147" s="10">
        <v>45722</v>
      </c>
      <c r="E2147" s="11" t="str">
        <f>+HYPERLINK("http://trademark.i-assist.jp/data/china/image_1926th/82444352.pdf","82444352")</f>
        <v>82444352</v>
      </c>
      <c r="F2147" s="9" t="s">
        <v>5891</v>
      </c>
      <c r="G2147" s="9" t="s">
        <v>5892</v>
      </c>
      <c r="H2147" s="9" t="s">
        <v>5893</v>
      </c>
      <c r="I2147" s="10">
        <v>45635</v>
      </c>
    </row>
    <row r="2148" spans="1:9" x14ac:dyDescent="0.15">
      <c r="A2148" s="9">
        <v>2147</v>
      </c>
      <c r="B2148" s="9" t="s">
        <v>9</v>
      </c>
      <c r="C2148" s="9">
        <v>1926</v>
      </c>
      <c r="D2148" s="10">
        <v>45722</v>
      </c>
      <c r="E2148" s="11" t="str">
        <f>+HYPERLINK("http://trademark.i-assist.jp/data/china/image_1926th/82444366.pdf","82444366")</f>
        <v>82444366</v>
      </c>
      <c r="F2148" s="9" t="s">
        <v>5894</v>
      </c>
      <c r="G2148" s="12" t="s">
        <v>5895</v>
      </c>
      <c r="H2148" s="9" t="s">
        <v>5896</v>
      </c>
      <c r="I2148" s="10">
        <v>45635</v>
      </c>
    </row>
    <row r="2149" spans="1:9" x14ac:dyDescent="0.15">
      <c r="A2149" s="9">
        <v>2148</v>
      </c>
      <c r="B2149" s="9" t="s">
        <v>9</v>
      </c>
      <c r="C2149" s="9">
        <v>1926</v>
      </c>
      <c r="D2149" s="10">
        <v>45722</v>
      </c>
      <c r="E2149" s="11" t="str">
        <f>+HYPERLINK("http://trademark.i-assist.jp/data/china/image_1926th/82445009.pdf","82445009")</f>
        <v>82445009</v>
      </c>
      <c r="F2149" s="12" t="s">
        <v>5897</v>
      </c>
      <c r="G2149" s="9" t="s">
        <v>5898</v>
      </c>
      <c r="H2149" s="9" t="s">
        <v>5899</v>
      </c>
      <c r="I2149" s="10">
        <v>45635</v>
      </c>
    </row>
    <row r="2150" spans="1:9" x14ac:dyDescent="0.15">
      <c r="A2150" s="9">
        <v>2149</v>
      </c>
      <c r="B2150" s="9" t="s">
        <v>9</v>
      </c>
      <c r="C2150" s="9">
        <v>1926</v>
      </c>
      <c r="D2150" s="10">
        <v>45722</v>
      </c>
      <c r="E2150" s="11" t="str">
        <f>+HYPERLINK("http://trademark.i-assist.jp/data/china/image_1926th/82445110.pdf","82445110")</f>
        <v>82445110</v>
      </c>
      <c r="F2150" s="9" t="s">
        <v>5900</v>
      </c>
      <c r="G2150" s="12" t="s">
        <v>5795</v>
      </c>
      <c r="H2150" s="9" t="s">
        <v>5901</v>
      </c>
      <c r="I2150" s="10">
        <v>45635</v>
      </c>
    </row>
    <row r="2151" spans="1:9" x14ac:dyDescent="0.15">
      <c r="A2151" s="9">
        <v>2150</v>
      </c>
      <c r="B2151" s="9" t="s">
        <v>9</v>
      </c>
      <c r="C2151" s="9">
        <v>1926</v>
      </c>
      <c r="D2151" s="10">
        <v>45722</v>
      </c>
      <c r="E2151" s="11" t="str">
        <f>+HYPERLINK("http://trademark.i-assist.jp/data/china/image_1926th/82445175.pdf","82445175")</f>
        <v>82445175</v>
      </c>
      <c r="F2151" s="9" t="s">
        <v>5902</v>
      </c>
      <c r="G2151" s="9" t="s">
        <v>5903</v>
      </c>
      <c r="H2151" s="9" t="s">
        <v>5904</v>
      </c>
      <c r="I2151" s="10">
        <v>45635</v>
      </c>
    </row>
    <row r="2152" spans="1:9" x14ac:dyDescent="0.15">
      <c r="A2152" s="9">
        <v>2151</v>
      </c>
      <c r="B2152" s="9" t="s">
        <v>9</v>
      </c>
      <c r="C2152" s="9">
        <v>1926</v>
      </c>
      <c r="D2152" s="10">
        <v>45722</v>
      </c>
      <c r="E2152" s="11" t="str">
        <f>+HYPERLINK("http://trademark.i-assist.jp/data/china/image_1926th/82445334.pdf","82445334")</f>
        <v>82445334</v>
      </c>
      <c r="F2152" s="9" t="s">
        <v>5905</v>
      </c>
      <c r="G2152" s="9" t="s">
        <v>5906</v>
      </c>
      <c r="H2152" s="9" t="s">
        <v>5907</v>
      </c>
      <c r="I2152" s="10">
        <v>45635</v>
      </c>
    </row>
    <row r="2153" spans="1:9" x14ac:dyDescent="0.15">
      <c r="A2153" s="9">
        <v>2152</v>
      </c>
      <c r="B2153" s="9" t="s">
        <v>9</v>
      </c>
      <c r="C2153" s="9">
        <v>1926</v>
      </c>
      <c r="D2153" s="10">
        <v>45722</v>
      </c>
      <c r="E2153" s="11" t="str">
        <f>+HYPERLINK("http://trademark.i-assist.jp/data/china/image_1926th/82445377.pdf","82445377")</f>
        <v>82445377</v>
      </c>
      <c r="F2153" s="9" t="s">
        <v>5908</v>
      </c>
      <c r="G2153" s="12" t="s">
        <v>5909</v>
      </c>
      <c r="H2153" s="9" t="s">
        <v>5910</v>
      </c>
      <c r="I2153" s="10">
        <v>45635</v>
      </c>
    </row>
    <row r="2154" spans="1:9" x14ac:dyDescent="0.15">
      <c r="A2154" s="9">
        <v>2153</v>
      </c>
      <c r="B2154" s="9" t="s">
        <v>9</v>
      </c>
      <c r="C2154" s="9">
        <v>1926</v>
      </c>
      <c r="D2154" s="10">
        <v>45722</v>
      </c>
      <c r="E2154" s="11" t="str">
        <f>+HYPERLINK("http://trademark.i-assist.jp/data/china/image_1926th/82445885.pdf","82445885")</f>
        <v>82445885</v>
      </c>
      <c r="F2154" s="9" t="s">
        <v>5911</v>
      </c>
      <c r="G2154" s="9" t="s">
        <v>5912</v>
      </c>
      <c r="H2154" s="9" t="s">
        <v>5913</v>
      </c>
      <c r="I2154" s="10">
        <v>45635</v>
      </c>
    </row>
    <row r="2155" spans="1:9" x14ac:dyDescent="0.15">
      <c r="A2155" s="9">
        <v>2154</v>
      </c>
      <c r="B2155" s="9" t="s">
        <v>9</v>
      </c>
      <c r="C2155" s="9">
        <v>1926</v>
      </c>
      <c r="D2155" s="10">
        <v>45722</v>
      </c>
      <c r="E2155" s="11" t="str">
        <f>+HYPERLINK("http://trademark.i-assist.jp/data/china/image_1926th/82445896.pdf","82445896")</f>
        <v>82445896</v>
      </c>
      <c r="F2155" s="9" t="s">
        <v>5914</v>
      </c>
      <c r="G2155" s="9" t="s">
        <v>5915</v>
      </c>
      <c r="H2155" s="9" t="s">
        <v>5916</v>
      </c>
      <c r="I2155" s="10">
        <v>45635</v>
      </c>
    </row>
    <row r="2156" spans="1:9" x14ac:dyDescent="0.15">
      <c r="A2156" s="9">
        <v>2155</v>
      </c>
      <c r="B2156" s="9" t="s">
        <v>9</v>
      </c>
      <c r="C2156" s="9">
        <v>1926</v>
      </c>
      <c r="D2156" s="10">
        <v>45722</v>
      </c>
      <c r="E2156" s="11" t="str">
        <f>+HYPERLINK("http://trademark.i-assist.jp/data/china/image_1926th/82446265.pdf","82446265")</f>
        <v>82446265</v>
      </c>
      <c r="F2156" s="9" t="s">
        <v>5917</v>
      </c>
      <c r="G2156" s="9" t="s">
        <v>5918</v>
      </c>
      <c r="H2156" s="9" t="s">
        <v>5919</v>
      </c>
      <c r="I2156" s="10">
        <v>45635</v>
      </c>
    </row>
    <row r="2157" spans="1:9" x14ac:dyDescent="0.15">
      <c r="A2157" s="9">
        <v>2156</v>
      </c>
      <c r="B2157" s="9" t="s">
        <v>9</v>
      </c>
      <c r="C2157" s="9">
        <v>1926</v>
      </c>
      <c r="D2157" s="10">
        <v>45722</v>
      </c>
      <c r="E2157" s="11" t="str">
        <f>+HYPERLINK("http://trademark.i-assist.jp/data/china/image_1926th/82446283.pdf","82446283")</f>
        <v>82446283</v>
      </c>
      <c r="F2157" s="9" t="s">
        <v>5920</v>
      </c>
      <c r="G2157" s="9" t="s">
        <v>5921</v>
      </c>
      <c r="H2157" s="12" t="s">
        <v>5922</v>
      </c>
      <c r="I2157" s="10">
        <v>45635</v>
      </c>
    </row>
    <row r="2158" spans="1:9" x14ac:dyDescent="0.15">
      <c r="A2158" s="9">
        <v>2157</v>
      </c>
      <c r="B2158" s="9" t="s">
        <v>9</v>
      </c>
      <c r="C2158" s="9">
        <v>1926</v>
      </c>
      <c r="D2158" s="10">
        <v>45722</v>
      </c>
      <c r="E2158" s="11" t="str">
        <f>+HYPERLINK("http://trademark.i-assist.jp/data/china/image_1926th/82446316.pdf","82446316")</f>
        <v>82446316</v>
      </c>
      <c r="F2158" s="9" t="s">
        <v>5923</v>
      </c>
      <c r="G2158" s="9" t="s">
        <v>5924</v>
      </c>
      <c r="H2158" s="9" t="s">
        <v>5925</v>
      </c>
      <c r="I2158" s="10">
        <v>45635</v>
      </c>
    </row>
    <row r="2159" spans="1:9" x14ac:dyDescent="0.15">
      <c r="A2159" s="9">
        <v>2158</v>
      </c>
      <c r="B2159" s="9" t="s">
        <v>9</v>
      </c>
      <c r="C2159" s="9">
        <v>1926</v>
      </c>
      <c r="D2159" s="10">
        <v>45722</v>
      </c>
      <c r="E2159" s="11" t="str">
        <f>+HYPERLINK("http://trademark.i-assist.jp/data/china/image_1926th/82446360.pdf","82446360")</f>
        <v>82446360</v>
      </c>
      <c r="F2159" s="12" t="s">
        <v>5926</v>
      </c>
      <c r="G2159" s="12" t="s">
        <v>5655</v>
      </c>
      <c r="H2159" s="9" t="s">
        <v>5927</v>
      </c>
      <c r="I2159" s="10">
        <v>45635</v>
      </c>
    </row>
    <row r="2160" spans="1:9" x14ac:dyDescent="0.15">
      <c r="A2160" s="9">
        <v>2159</v>
      </c>
      <c r="B2160" s="9" t="s">
        <v>9</v>
      </c>
      <c r="C2160" s="9">
        <v>1926</v>
      </c>
      <c r="D2160" s="10">
        <v>45722</v>
      </c>
      <c r="E2160" s="11" t="str">
        <f>+HYPERLINK("http://trademark.i-assist.jp/data/china/image_1926th/82446715.pdf","82446715")</f>
        <v>82446715</v>
      </c>
      <c r="F2160" s="9" t="s">
        <v>5928</v>
      </c>
      <c r="G2160" s="9" t="s">
        <v>5929</v>
      </c>
      <c r="H2160" s="9" t="s">
        <v>5930</v>
      </c>
      <c r="I2160" s="10">
        <v>45635</v>
      </c>
    </row>
    <row r="2161" spans="1:9" x14ac:dyDescent="0.15">
      <c r="A2161" s="9">
        <v>2160</v>
      </c>
      <c r="B2161" s="9" t="s">
        <v>9</v>
      </c>
      <c r="C2161" s="9">
        <v>1926</v>
      </c>
      <c r="D2161" s="10">
        <v>45722</v>
      </c>
      <c r="E2161" s="11" t="str">
        <f>+HYPERLINK("http://trademark.i-assist.jp/data/china/image_1926th/82446790.pdf","82446790")</f>
        <v>82446790</v>
      </c>
      <c r="F2161" s="9" t="s">
        <v>5931</v>
      </c>
      <c r="G2161" s="9" t="s">
        <v>5932</v>
      </c>
      <c r="H2161" s="9" t="s">
        <v>5933</v>
      </c>
      <c r="I2161" s="10">
        <v>45635</v>
      </c>
    </row>
    <row r="2162" spans="1:9" x14ac:dyDescent="0.15">
      <c r="A2162" s="9">
        <v>2161</v>
      </c>
      <c r="B2162" s="9" t="s">
        <v>9</v>
      </c>
      <c r="C2162" s="9">
        <v>1926</v>
      </c>
      <c r="D2162" s="10">
        <v>45722</v>
      </c>
      <c r="E2162" s="11" t="str">
        <f>+HYPERLINK("http://trademark.i-assist.jp/data/china/image_1926th/82446923.pdf","82446923")</f>
        <v>82446923</v>
      </c>
      <c r="F2162" s="9" t="s">
        <v>5934</v>
      </c>
      <c r="G2162" s="12" t="s">
        <v>5935</v>
      </c>
      <c r="H2162" s="9" t="s">
        <v>5936</v>
      </c>
      <c r="I2162" s="10">
        <v>45635</v>
      </c>
    </row>
    <row r="2163" spans="1:9" x14ac:dyDescent="0.15">
      <c r="A2163" s="9">
        <v>2162</v>
      </c>
      <c r="B2163" s="9" t="s">
        <v>9</v>
      </c>
      <c r="C2163" s="9">
        <v>1926</v>
      </c>
      <c r="D2163" s="10">
        <v>45722</v>
      </c>
      <c r="E2163" s="11" t="str">
        <f>+HYPERLINK("http://trademark.i-assist.jp/data/china/image_1926th/82446992.pdf","82446992")</f>
        <v>82446992</v>
      </c>
      <c r="F2163" s="9" t="s">
        <v>5937</v>
      </c>
      <c r="G2163" s="9" t="s">
        <v>5938</v>
      </c>
      <c r="H2163" s="9" t="s">
        <v>5939</v>
      </c>
      <c r="I2163" s="10">
        <v>45635</v>
      </c>
    </row>
    <row r="2164" spans="1:9" x14ac:dyDescent="0.15">
      <c r="A2164" s="9">
        <v>2163</v>
      </c>
      <c r="B2164" s="9" t="s">
        <v>9</v>
      </c>
      <c r="C2164" s="9">
        <v>1926</v>
      </c>
      <c r="D2164" s="10">
        <v>45722</v>
      </c>
      <c r="E2164" s="11" t="str">
        <f>+HYPERLINK("http://trademark.i-assist.jp/data/china/image_1926th/82447176.pdf","82447176")</f>
        <v>82447176</v>
      </c>
      <c r="F2164" s="9" t="s">
        <v>5940</v>
      </c>
      <c r="G2164" s="9" t="s">
        <v>5941</v>
      </c>
      <c r="H2164" s="9" t="s">
        <v>5942</v>
      </c>
      <c r="I2164" s="10">
        <v>45635</v>
      </c>
    </row>
    <row r="2165" spans="1:9" x14ac:dyDescent="0.15">
      <c r="A2165" s="9">
        <v>2164</v>
      </c>
      <c r="B2165" s="9" t="s">
        <v>9</v>
      </c>
      <c r="C2165" s="9">
        <v>1926</v>
      </c>
      <c r="D2165" s="10">
        <v>45722</v>
      </c>
      <c r="E2165" s="11" t="str">
        <f>+HYPERLINK("http://trademark.i-assist.jp/data/china/image_1926th/82447250.pdf","82447250")</f>
        <v>82447250</v>
      </c>
      <c r="F2165" s="9" t="s">
        <v>5943</v>
      </c>
      <c r="G2165" s="9" t="s">
        <v>5845</v>
      </c>
      <c r="H2165" s="9" t="s">
        <v>5944</v>
      </c>
      <c r="I2165" s="10">
        <v>45635</v>
      </c>
    </row>
    <row r="2166" spans="1:9" x14ac:dyDescent="0.15">
      <c r="A2166" s="9">
        <v>2165</v>
      </c>
      <c r="B2166" s="9" t="s">
        <v>9</v>
      </c>
      <c r="C2166" s="9">
        <v>1926</v>
      </c>
      <c r="D2166" s="10">
        <v>45722</v>
      </c>
      <c r="E2166" s="11" t="str">
        <f>+HYPERLINK("http://trademark.i-assist.jp/data/china/image_1926th/82447296.pdf","82447296")</f>
        <v>82447296</v>
      </c>
      <c r="F2166" s="9" t="s">
        <v>5945</v>
      </c>
      <c r="G2166" s="9" t="s">
        <v>33</v>
      </c>
      <c r="H2166" s="9" t="s">
        <v>5946</v>
      </c>
      <c r="I2166" s="10">
        <v>45635</v>
      </c>
    </row>
    <row r="2167" spans="1:9" x14ac:dyDescent="0.15">
      <c r="A2167" s="9">
        <v>2166</v>
      </c>
      <c r="B2167" s="9" t="s">
        <v>9</v>
      </c>
      <c r="C2167" s="9">
        <v>1926</v>
      </c>
      <c r="D2167" s="10">
        <v>45722</v>
      </c>
      <c r="E2167" s="11" t="str">
        <f>+HYPERLINK("http://trademark.i-assist.jp/data/china/image_1926th/82447341.pdf","82447341")</f>
        <v>82447341</v>
      </c>
      <c r="F2167" s="9" t="s">
        <v>5947</v>
      </c>
      <c r="G2167" s="12" t="s">
        <v>5948</v>
      </c>
      <c r="H2167" s="9" t="s">
        <v>5949</v>
      </c>
      <c r="I2167" s="10">
        <v>45635</v>
      </c>
    </row>
    <row r="2168" spans="1:9" x14ac:dyDescent="0.15">
      <c r="A2168" s="9">
        <v>2167</v>
      </c>
      <c r="B2168" s="9" t="s">
        <v>9</v>
      </c>
      <c r="C2168" s="9">
        <v>1926</v>
      </c>
      <c r="D2168" s="10">
        <v>45722</v>
      </c>
      <c r="E2168" s="11" t="str">
        <f>+HYPERLINK("http://trademark.i-assist.jp/data/china/image_1926th/82447397.pdf","82447397")</f>
        <v>82447397</v>
      </c>
      <c r="F2168" s="9" t="s">
        <v>5950</v>
      </c>
      <c r="G2168" s="9" t="s">
        <v>5951</v>
      </c>
      <c r="H2168" s="9" t="s">
        <v>5952</v>
      </c>
      <c r="I2168" s="10">
        <v>45635</v>
      </c>
    </row>
    <row r="2169" spans="1:9" x14ac:dyDescent="0.15">
      <c r="A2169" s="9">
        <v>2168</v>
      </c>
      <c r="B2169" s="9" t="s">
        <v>9</v>
      </c>
      <c r="C2169" s="9">
        <v>1926</v>
      </c>
      <c r="D2169" s="10">
        <v>45722</v>
      </c>
      <c r="E2169" s="11" t="str">
        <f>+HYPERLINK("http://trademark.i-assist.jp/data/china/image_1926th/82447477.pdf","82447477")</f>
        <v>82447477</v>
      </c>
      <c r="F2169" s="9" t="s">
        <v>5953</v>
      </c>
      <c r="G2169" s="9" t="s">
        <v>5954</v>
      </c>
      <c r="H2169" s="9" t="s">
        <v>5955</v>
      </c>
      <c r="I2169" s="10">
        <v>45635</v>
      </c>
    </row>
    <row r="2170" spans="1:9" x14ac:dyDescent="0.15">
      <c r="A2170" s="9">
        <v>2169</v>
      </c>
      <c r="B2170" s="9" t="s">
        <v>9</v>
      </c>
      <c r="C2170" s="9">
        <v>1926</v>
      </c>
      <c r="D2170" s="10">
        <v>45722</v>
      </c>
      <c r="E2170" s="11" t="str">
        <f>+HYPERLINK("http://trademark.i-assist.jp/data/china/image_1926th/82447618.pdf","82447618")</f>
        <v>82447618</v>
      </c>
      <c r="F2170" s="9" t="s">
        <v>5956</v>
      </c>
      <c r="G2170" s="9" t="s">
        <v>5957</v>
      </c>
      <c r="H2170" s="9" t="s">
        <v>5958</v>
      </c>
      <c r="I2170" s="10">
        <v>45635</v>
      </c>
    </row>
    <row r="2171" spans="1:9" x14ac:dyDescent="0.15">
      <c r="A2171" s="9">
        <v>2170</v>
      </c>
      <c r="B2171" s="9" t="s">
        <v>9</v>
      </c>
      <c r="C2171" s="9">
        <v>1926</v>
      </c>
      <c r="D2171" s="10">
        <v>45722</v>
      </c>
      <c r="E2171" s="11" t="str">
        <f>+HYPERLINK("http://trademark.i-assist.jp/data/china/image_1926th/82447868.pdf","82447868")</f>
        <v>82447868</v>
      </c>
      <c r="F2171" s="9" t="s">
        <v>5959</v>
      </c>
      <c r="G2171" s="9" t="s">
        <v>5960</v>
      </c>
      <c r="H2171" s="9" t="s">
        <v>5961</v>
      </c>
      <c r="I2171" s="10">
        <v>45635</v>
      </c>
    </row>
    <row r="2172" spans="1:9" x14ac:dyDescent="0.15">
      <c r="A2172" s="9">
        <v>2171</v>
      </c>
      <c r="B2172" s="9" t="s">
        <v>9</v>
      </c>
      <c r="C2172" s="9">
        <v>1926</v>
      </c>
      <c r="D2172" s="10">
        <v>45722</v>
      </c>
      <c r="E2172" s="11" t="str">
        <f>+HYPERLINK("http://trademark.i-assist.jp/data/china/image_1926th/82448147.pdf","82448147")</f>
        <v>82448147</v>
      </c>
      <c r="F2172" s="9" t="s">
        <v>5962</v>
      </c>
      <c r="G2172" s="9" t="s">
        <v>5963</v>
      </c>
      <c r="H2172" s="9" t="s">
        <v>5964</v>
      </c>
      <c r="I2172" s="10">
        <v>45635</v>
      </c>
    </row>
    <row r="2173" spans="1:9" x14ac:dyDescent="0.15">
      <c r="A2173" s="9">
        <v>2172</v>
      </c>
      <c r="B2173" s="9" t="s">
        <v>9</v>
      </c>
      <c r="C2173" s="9">
        <v>1926</v>
      </c>
      <c r="D2173" s="10">
        <v>45722</v>
      </c>
      <c r="E2173" s="11" t="str">
        <f>+HYPERLINK("http://trademark.i-assist.jp/data/china/image_1926th/82448295.pdf","82448295")</f>
        <v>82448295</v>
      </c>
      <c r="F2173" s="9" t="s">
        <v>5965</v>
      </c>
      <c r="G2173" s="9" t="s">
        <v>119</v>
      </c>
      <c r="H2173" s="9" t="s">
        <v>5966</v>
      </c>
      <c r="I2173" s="10">
        <v>45636</v>
      </c>
    </row>
    <row r="2174" spans="1:9" x14ac:dyDescent="0.15">
      <c r="A2174" s="9">
        <v>2173</v>
      </c>
      <c r="B2174" s="9" t="s">
        <v>9</v>
      </c>
      <c r="C2174" s="9">
        <v>1926</v>
      </c>
      <c r="D2174" s="10">
        <v>45722</v>
      </c>
      <c r="E2174" s="11" t="str">
        <f>+HYPERLINK("http://trademark.i-assist.jp/data/china/image_1926th/82448427.pdf","82448427")</f>
        <v>82448427</v>
      </c>
      <c r="F2174" s="9" t="s">
        <v>5967</v>
      </c>
      <c r="G2174" s="12" t="s">
        <v>5968</v>
      </c>
      <c r="H2174" s="9" t="s">
        <v>5969</v>
      </c>
      <c r="I2174" s="10">
        <v>45636</v>
      </c>
    </row>
    <row r="2175" spans="1:9" x14ac:dyDescent="0.15">
      <c r="A2175" s="9">
        <v>2174</v>
      </c>
      <c r="B2175" s="9" t="s">
        <v>9</v>
      </c>
      <c r="C2175" s="9">
        <v>1926</v>
      </c>
      <c r="D2175" s="10">
        <v>45722</v>
      </c>
      <c r="E2175" s="11" t="str">
        <f>+HYPERLINK("http://trademark.i-assist.jp/data/china/image_1926th/82448451.pdf","82448451")</f>
        <v>82448451</v>
      </c>
      <c r="F2175" s="9" t="s">
        <v>5970</v>
      </c>
      <c r="G2175" s="9" t="s">
        <v>5971</v>
      </c>
      <c r="H2175" s="12" t="s">
        <v>5972</v>
      </c>
      <c r="I2175" s="10">
        <v>45636</v>
      </c>
    </row>
    <row r="2176" spans="1:9" x14ac:dyDescent="0.15">
      <c r="A2176" s="9">
        <v>2175</v>
      </c>
      <c r="B2176" s="9" t="s">
        <v>9</v>
      </c>
      <c r="C2176" s="9">
        <v>1926</v>
      </c>
      <c r="D2176" s="10">
        <v>45722</v>
      </c>
      <c r="E2176" s="11" t="str">
        <f>+HYPERLINK("http://trademark.i-assist.jp/data/china/image_1926th/82448470.pdf","82448470")</f>
        <v>82448470</v>
      </c>
      <c r="F2176" s="12" t="s">
        <v>5973</v>
      </c>
      <c r="G2176" s="9" t="s">
        <v>5974</v>
      </c>
      <c r="H2176" s="9" t="s">
        <v>5975</v>
      </c>
      <c r="I2176" s="10">
        <v>45636</v>
      </c>
    </row>
    <row r="2177" spans="1:9" x14ac:dyDescent="0.15">
      <c r="A2177" s="9">
        <v>2176</v>
      </c>
      <c r="B2177" s="9" t="s">
        <v>9</v>
      </c>
      <c r="C2177" s="9">
        <v>1926</v>
      </c>
      <c r="D2177" s="10">
        <v>45722</v>
      </c>
      <c r="E2177" s="11" t="str">
        <f>+HYPERLINK("http://trademark.i-assist.jp/data/china/image_1926th/82448496.pdf","82448496")</f>
        <v>82448496</v>
      </c>
      <c r="F2177" s="12" t="s">
        <v>5976</v>
      </c>
      <c r="G2177" s="12" t="s">
        <v>5977</v>
      </c>
      <c r="H2177" s="9" t="s">
        <v>5978</v>
      </c>
      <c r="I2177" s="10">
        <v>45636</v>
      </c>
    </row>
    <row r="2178" spans="1:9" x14ac:dyDescent="0.15">
      <c r="A2178" s="9">
        <v>2177</v>
      </c>
      <c r="B2178" s="9" t="s">
        <v>9</v>
      </c>
      <c r="C2178" s="9">
        <v>1926</v>
      </c>
      <c r="D2178" s="10">
        <v>45722</v>
      </c>
      <c r="E2178" s="11" t="str">
        <f>+HYPERLINK("http://trademark.i-assist.jp/data/china/image_1926th/82449079.pdf","82449079")</f>
        <v>82449079</v>
      </c>
      <c r="F2178" s="9" t="s">
        <v>5979</v>
      </c>
      <c r="G2178" s="9" t="s">
        <v>5980</v>
      </c>
      <c r="H2178" s="12" t="s">
        <v>5981</v>
      </c>
      <c r="I2178" s="10">
        <v>45636</v>
      </c>
    </row>
    <row r="2179" spans="1:9" x14ac:dyDescent="0.15">
      <c r="A2179" s="9">
        <v>2178</v>
      </c>
      <c r="B2179" s="9" t="s">
        <v>9</v>
      </c>
      <c r="C2179" s="9">
        <v>1926</v>
      </c>
      <c r="D2179" s="10">
        <v>45722</v>
      </c>
      <c r="E2179" s="11" t="str">
        <f>+HYPERLINK("http://trademark.i-assist.jp/data/china/image_1926th/82449081.pdf","82449081")</f>
        <v>82449081</v>
      </c>
      <c r="F2179" s="9" t="s">
        <v>5982</v>
      </c>
      <c r="G2179" s="9" t="s">
        <v>3399</v>
      </c>
      <c r="H2179" s="9" t="s">
        <v>5983</v>
      </c>
      <c r="I2179" s="10">
        <v>45636</v>
      </c>
    </row>
    <row r="2180" spans="1:9" x14ac:dyDescent="0.15">
      <c r="A2180" s="9">
        <v>2179</v>
      </c>
      <c r="B2180" s="9" t="s">
        <v>9</v>
      </c>
      <c r="C2180" s="9">
        <v>1926</v>
      </c>
      <c r="D2180" s="10">
        <v>45722</v>
      </c>
      <c r="E2180" s="11" t="str">
        <f>+HYPERLINK("http://trademark.i-assist.jp/data/china/image_1926th/82449274.pdf","82449274")</f>
        <v>82449274</v>
      </c>
      <c r="F2180" s="12" t="s">
        <v>5984</v>
      </c>
      <c r="G2180" s="12" t="s">
        <v>5985</v>
      </c>
      <c r="H2180" s="9" t="s">
        <v>5986</v>
      </c>
      <c r="I2180" s="10">
        <v>45636</v>
      </c>
    </row>
    <row r="2181" spans="1:9" x14ac:dyDescent="0.15">
      <c r="A2181" s="9">
        <v>2180</v>
      </c>
      <c r="B2181" s="9" t="s">
        <v>9</v>
      </c>
      <c r="C2181" s="9">
        <v>1926</v>
      </c>
      <c r="D2181" s="10">
        <v>45722</v>
      </c>
      <c r="E2181" s="11" t="str">
        <f>+HYPERLINK("http://trademark.i-assist.jp/data/china/image_1926th/82449768.pdf","82449768")</f>
        <v>82449768</v>
      </c>
      <c r="F2181" s="9" t="s">
        <v>5987</v>
      </c>
      <c r="G2181" s="9" t="s">
        <v>5988</v>
      </c>
      <c r="H2181" s="9" t="s">
        <v>5989</v>
      </c>
      <c r="I2181" s="10">
        <v>45636</v>
      </c>
    </row>
    <row r="2182" spans="1:9" x14ac:dyDescent="0.15">
      <c r="A2182" s="9">
        <v>2181</v>
      </c>
      <c r="B2182" s="9" t="s">
        <v>9</v>
      </c>
      <c r="C2182" s="9">
        <v>1926</v>
      </c>
      <c r="D2182" s="10">
        <v>45722</v>
      </c>
      <c r="E2182" s="11" t="str">
        <f>+HYPERLINK("http://trademark.i-assist.jp/data/china/image_1926th/82449814.pdf","82449814")</f>
        <v>82449814</v>
      </c>
      <c r="F2182" s="9" t="s">
        <v>5990</v>
      </c>
      <c r="G2182" s="9" t="s">
        <v>100</v>
      </c>
      <c r="H2182" s="9" t="s">
        <v>5991</v>
      </c>
      <c r="I2182" s="10">
        <v>45636</v>
      </c>
    </row>
    <row r="2183" spans="1:9" x14ac:dyDescent="0.15">
      <c r="A2183" s="9">
        <v>2182</v>
      </c>
      <c r="B2183" s="9" t="s">
        <v>9</v>
      </c>
      <c r="C2183" s="9">
        <v>1926</v>
      </c>
      <c r="D2183" s="10">
        <v>45722</v>
      </c>
      <c r="E2183" s="11" t="str">
        <f>+HYPERLINK("http://trademark.i-assist.jp/data/china/image_1926th/82449846.pdf","82449846")</f>
        <v>82449846</v>
      </c>
      <c r="F2183" s="13" t="s">
        <v>5992</v>
      </c>
      <c r="G2183" s="9" t="s">
        <v>3915</v>
      </c>
      <c r="H2183" s="9" t="s">
        <v>5993</v>
      </c>
      <c r="I2183" s="10">
        <v>45636</v>
      </c>
    </row>
    <row r="2184" spans="1:9" x14ac:dyDescent="0.15">
      <c r="A2184" s="9">
        <v>2183</v>
      </c>
      <c r="B2184" s="9" t="s">
        <v>9</v>
      </c>
      <c r="C2184" s="9">
        <v>1926</v>
      </c>
      <c r="D2184" s="10">
        <v>45722</v>
      </c>
      <c r="E2184" s="11" t="str">
        <f>+HYPERLINK("http://trademark.i-assist.jp/data/china/image_1926th/82449916.pdf","82449916")</f>
        <v>82449916</v>
      </c>
      <c r="F2184" s="12" t="s">
        <v>5994</v>
      </c>
      <c r="G2184" s="9" t="s">
        <v>5995</v>
      </c>
      <c r="H2184" s="9" t="s">
        <v>5996</v>
      </c>
      <c r="I2184" s="10">
        <v>45636</v>
      </c>
    </row>
    <row r="2185" spans="1:9" x14ac:dyDescent="0.15">
      <c r="A2185" s="9">
        <v>2184</v>
      </c>
      <c r="B2185" s="9" t="s">
        <v>9</v>
      </c>
      <c r="C2185" s="9">
        <v>1926</v>
      </c>
      <c r="D2185" s="10">
        <v>45722</v>
      </c>
      <c r="E2185" s="11" t="str">
        <f>+HYPERLINK("http://trademark.i-assist.jp/data/china/image_1926th/82449980.pdf","82449980")</f>
        <v>82449980</v>
      </c>
      <c r="F2185" s="9" t="s">
        <v>5997</v>
      </c>
      <c r="G2185" s="12" t="s">
        <v>5998</v>
      </c>
      <c r="H2185" s="9" t="s">
        <v>5999</v>
      </c>
      <c r="I2185" s="10">
        <v>45636</v>
      </c>
    </row>
    <row r="2186" spans="1:9" x14ac:dyDescent="0.15">
      <c r="A2186" s="9">
        <v>2185</v>
      </c>
      <c r="B2186" s="9" t="s">
        <v>9</v>
      </c>
      <c r="C2186" s="9">
        <v>1926</v>
      </c>
      <c r="D2186" s="10">
        <v>45722</v>
      </c>
      <c r="E2186" s="11" t="str">
        <f>+HYPERLINK("http://trademark.i-assist.jp/data/china/image_1926th/82450062.pdf","82450062")</f>
        <v>82450062</v>
      </c>
      <c r="F2186" s="12" t="s">
        <v>20</v>
      </c>
      <c r="G2186" s="9" t="s">
        <v>6000</v>
      </c>
      <c r="H2186" s="12" t="s">
        <v>6001</v>
      </c>
      <c r="I2186" s="10">
        <v>45636</v>
      </c>
    </row>
    <row r="2187" spans="1:9" x14ac:dyDescent="0.15">
      <c r="A2187" s="9">
        <v>2186</v>
      </c>
      <c r="B2187" s="9" t="s">
        <v>9</v>
      </c>
      <c r="C2187" s="9">
        <v>1926</v>
      </c>
      <c r="D2187" s="10">
        <v>45722</v>
      </c>
      <c r="E2187" s="11" t="str">
        <f>+HYPERLINK("http://trademark.i-assist.jp/data/china/image_1926th/82450077.pdf","82450077")</f>
        <v>82450077</v>
      </c>
      <c r="F2187" s="9" t="s">
        <v>6002</v>
      </c>
      <c r="G2187" s="9" t="s">
        <v>204</v>
      </c>
      <c r="H2187" s="9" t="s">
        <v>6003</v>
      </c>
      <c r="I2187" s="10">
        <v>45636</v>
      </c>
    </row>
    <row r="2188" spans="1:9" x14ac:dyDescent="0.15">
      <c r="A2188" s="9">
        <v>2187</v>
      </c>
      <c r="B2188" s="9" t="s">
        <v>9</v>
      </c>
      <c r="C2188" s="9">
        <v>1926</v>
      </c>
      <c r="D2188" s="10">
        <v>45722</v>
      </c>
      <c r="E2188" s="11" t="str">
        <f>+HYPERLINK("http://trademark.i-assist.jp/data/china/image_1926th/82450118.pdf","82450118")</f>
        <v>82450118</v>
      </c>
      <c r="F2188" s="9" t="s">
        <v>6004</v>
      </c>
      <c r="G2188" s="9" t="s">
        <v>119</v>
      </c>
      <c r="H2188" s="9" t="s">
        <v>6005</v>
      </c>
      <c r="I2188" s="10">
        <v>45636</v>
      </c>
    </row>
    <row r="2189" spans="1:9" x14ac:dyDescent="0.15">
      <c r="A2189" s="9">
        <v>2188</v>
      </c>
      <c r="B2189" s="9" t="s">
        <v>9</v>
      </c>
      <c r="C2189" s="9">
        <v>1926</v>
      </c>
      <c r="D2189" s="10">
        <v>45722</v>
      </c>
      <c r="E2189" s="11" t="str">
        <f>+HYPERLINK("http://trademark.i-assist.jp/data/china/image_1926th/82450297.pdf","82450297")</f>
        <v>82450297</v>
      </c>
      <c r="F2189" s="9" t="s">
        <v>6006</v>
      </c>
      <c r="G2189" s="9" t="s">
        <v>6007</v>
      </c>
      <c r="H2189" s="9" t="s">
        <v>6008</v>
      </c>
      <c r="I2189" s="10">
        <v>45636</v>
      </c>
    </row>
    <row r="2190" spans="1:9" x14ac:dyDescent="0.15">
      <c r="A2190" s="9">
        <v>2189</v>
      </c>
      <c r="B2190" s="9" t="s">
        <v>9</v>
      </c>
      <c r="C2190" s="9">
        <v>1926</v>
      </c>
      <c r="D2190" s="10">
        <v>45722</v>
      </c>
      <c r="E2190" s="11" t="str">
        <f>+HYPERLINK("http://trademark.i-assist.jp/data/china/image_1926th/82450506.pdf","82450506")</f>
        <v>82450506</v>
      </c>
      <c r="F2190" s="9" t="s">
        <v>6009</v>
      </c>
      <c r="G2190" s="9" t="s">
        <v>6010</v>
      </c>
      <c r="H2190" s="9" t="s">
        <v>6011</v>
      </c>
      <c r="I2190" s="10">
        <v>45636</v>
      </c>
    </row>
    <row r="2191" spans="1:9" x14ac:dyDescent="0.15">
      <c r="A2191" s="9">
        <v>2190</v>
      </c>
      <c r="B2191" s="9" t="s">
        <v>9</v>
      </c>
      <c r="C2191" s="9">
        <v>1926</v>
      </c>
      <c r="D2191" s="10">
        <v>45722</v>
      </c>
      <c r="E2191" s="11" t="str">
        <f>+HYPERLINK("http://trademark.i-assist.jp/data/china/image_1926th/82450684.pdf","82450684")</f>
        <v>82450684</v>
      </c>
      <c r="F2191" s="9" t="s">
        <v>6012</v>
      </c>
      <c r="G2191" s="9" t="s">
        <v>6013</v>
      </c>
      <c r="H2191" s="9" t="s">
        <v>6014</v>
      </c>
      <c r="I2191" s="10">
        <v>45636</v>
      </c>
    </row>
    <row r="2192" spans="1:9" x14ac:dyDescent="0.15">
      <c r="A2192" s="9">
        <v>2191</v>
      </c>
      <c r="B2192" s="9" t="s">
        <v>9</v>
      </c>
      <c r="C2192" s="9">
        <v>1926</v>
      </c>
      <c r="D2192" s="10">
        <v>45722</v>
      </c>
      <c r="E2192" s="11" t="str">
        <f>+HYPERLINK("http://trademark.i-assist.jp/data/china/image_1926th/82450817.pdf","82450817")</f>
        <v>82450817</v>
      </c>
      <c r="F2192" s="9" t="s">
        <v>6015</v>
      </c>
      <c r="G2192" s="9" t="s">
        <v>189</v>
      </c>
      <c r="H2192" s="9" t="s">
        <v>6016</v>
      </c>
      <c r="I2192" s="10">
        <v>45636</v>
      </c>
    </row>
    <row r="2193" spans="1:9" x14ac:dyDescent="0.15">
      <c r="A2193" s="9">
        <v>2192</v>
      </c>
      <c r="B2193" s="9" t="s">
        <v>9</v>
      </c>
      <c r="C2193" s="9">
        <v>1926</v>
      </c>
      <c r="D2193" s="10">
        <v>45722</v>
      </c>
      <c r="E2193" s="11" t="str">
        <f>+HYPERLINK("http://trademark.i-assist.jp/data/china/image_1926th/82450924.pdf","82450924")</f>
        <v>82450924</v>
      </c>
      <c r="F2193" s="12" t="s">
        <v>6017</v>
      </c>
      <c r="G2193" s="9" t="s">
        <v>6018</v>
      </c>
      <c r="H2193" s="9" t="s">
        <v>6019</v>
      </c>
      <c r="I2193" s="10">
        <v>45636</v>
      </c>
    </row>
    <row r="2194" spans="1:9" x14ac:dyDescent="0.15">
      <c r="A2194" s="9">
        <v>2193</v>
      </c>
      <c r="B2194" s="9" t="s">
        <v>9</v>
      </c>
      <c r="C2194" s="9">
        <v>1926</v>
      </c>
      <c r="D2194" s="10">
        <v>45722</v>
      </c>
      <c r="E2194" s="11" t="str">
        <f>+HYPERLINK("http://trademark.i-assist.jp/data/china/image_1926th/82451034.pdf","82451034")</f>
        <v>82451034</v>
      </c>
      <c r="F2194" s="9" t="s">
        <v>6020</v>
      </c>
      <c r="G2194" s="9" t="s">
        <v>6021</v>
      </c>
      <c r="H2194" s="9" t="s">
        <v>6022</v>
      </c>
      <c r="I2194" s="10">
        <v>45636</v>
      </c>
    </row>
    <row r="2195" spans="1:9" x14ac:dyDescent="0.15">
      <c r="A2195" s="9">
        <v>2194</v>
      </c>
      <c r="B2195" s="9" t="s">
        <v>9</v>
      </c>
      <c r="C2195" s="9">
        <v>1926</v>
      </c>
      <c r="D2195" s="10">
        <v>45722</v>
      </c>
      <c r="E2195" s="11" t="str">
        <f>+HYPERLINK("http://trademark.i-assist.jp/data/china/image_1926th/82451074.pdf","82451074")</f>
        <v>82451074</v>
      </c>
      <c r="F2195" s="9" t="s">
        <v>6023</v>
      </c>
      <c r="G2195" s="12" t="s">
        <v>6024</v>
      </c>
      <c r="H2195" s="9" t="s">
        <v>6025</v>
      </c>
      <c r="I2195" s="10">
        <v>45636</v>
      </c>
    </row>
    <row r="2196" spans="1:9" x14ac:dyDescent="0.15">
      <c r="A2196" s="9">
        <v>2195</v>
      </c>
      <c r="B2196" s="9" t="s">
        <v>9</v>
      </c>
      <c r="C2196" s="9">
        <v>1926</v>
      </c>
      <c r="D2196" s="10">
        <v>45722</v>
      </c>
      <c r="E2196" s="11" t="str">
        <f>+HYPERLINK("http://trademark.i-assist.jp/data/china/image_1926th/82451390.pdf","82451390")</f>
        <v>82451390</v>
      </c>
      <c r="F2196" s="9" t="s">
        <v>6026</v>
      </c>
      <c r="G2196" s="9" t="s">
        <v>6027</v>
      </c>
      <c r="H2196" s="9" t="s">
        <v>6028</v>
      </c>
      <c r="I2196" s="10">
        <v>45636</v>
      </c>
    </row>
    <row r="2197" spans="1:9" x14ac:dyDescent="0.15">
      <c r="A2197" s="9">
        <v>2196</v>
      </c>
      <c r="B2197" s="9" t="s">
        <v>9</v>
      </c>
      <c r="C2197" s="9">
        <v>1926</v>
      </c>
      <c r="D2197" s="10">
        <v>45722</v>
      </c>
      <c r="E2197" s="11" t="str">
        <f>+HYPERLINK("http://trademark.i-assist.jp/data/china/image_1926th/82452184.pdf","82452184")</f>
        <v>82452184</v>
      </c>
      <c r="F2197" s="9" t="s">
        <v>6029</v>
      </c>
      <c r="G2197" s="12" t="s">
        <v>6030</v>
      </c>
      <c r="H2197" s="9" t="s">
        <v>6031</v>
      </c>
      <c r="I2197" s="10">
        <v>45636</v>
      </c>
    </row>
    <row r="2198" spans="1:9" x14ac:dyDescent="0.15">
      <c r="A2198" s="9">
        <v>2197</v>
      </c>
      <c r="B2198" s="9" t="s">
        <v>9</v>
      </c>
      <c r="C2198" s="9">
        <v>1926</v>
      </c>
      <c r="D2198" s="10">
        <v>45722</v>
      </c>
      <c r="E2198" s="11" t="str">
        <f>+HYPERLINK("http://trademark.i-assist.jp/data/china/image_1926th/82452377.pdf","82452377")</f>
        <v>82452377</v>
      </c>
      <c r="F2198" s="9" t="s">
        <v>6032</v>
      </c>
      <c r="G2198" s="9" t="s">
        <v>6033</v>
      </c>
      <c r="H2198" s="9" t="s">
        <v>6034</v>
      </c>
      <c r="I2198" s="10">
        <v>45636</v>
      </c>
    </row>
    <row r="2199" spans="1:9" x14ac:dyDescent="0.15">
      <c r="A2199" s="9">
        <v>2198</v>
      </c>
      <c r="B2199" s="9" t="s">
        <v>9</v>
      </c>
      <c r="C2199" s="9">
        <v>1926</v>
      </c>
      <c r="D2199" s="10">
        <v>45722</v>
      </c>
      <c r="E2199" s="11" t="str">
        <f>+HYPERLINK("http://trademark.i-assist.jp/data/china/image_1926th/82452637.pdf","82452637")</f>
        <v>82452637</v>
      </c>
      <c r="F2199" s="12" t="s">
        <v>6035</v>
      </c>
      <c r="G2199" s="9" t="s">
        <v>6036</v>
      </c>
      <c r="H2199" s="9" t="s">
        <v>6037</v>
      </c>
      <c r="I2199" s="10">
        <v>45636</v>
      </c>
    </row>
    <row r="2200" spans="1:9" x14ac:dyDescent="0.15">
      <c r="A2200" s="9">
        <v>2199</v>
      </c>
      <c r="B2200" s="9" t="s">
        <v>9</v>
      </c>
      <c r="C2200" s="9">
        <v>1926</v>
      </c>
      <c r="D2200" s="10">
        <v>45722</v>
      </c>
      <c r="E2200" s="11" t="str">
        <f>+HYPERLINK("http://trademark.i-assist.jp/data/china/image_1926th/82452726.pdf","82452726")</f>
        <v>82452726</v>
      </c>
      <c r="F2200" s="9" t="s">
        <v>6038</v>
      </c>
      <c r="G2200" s="12" t="s">
        <v>197</v>
      </c>
      <c r="H2200" s="9" t="s">
        <v>6039</v>
      </c>
      <c r="I2200" s="10">
        <v>45636</v>
      </c>
    </row>
    <row r="2201" spans="1:9" x14ac:dyDescent="0.15">
      <c r="A2201" s="9">
        <v>2200</v>
      </c>
      <c r="B2201" s="9" t="s">
        <v>9</v>
      </c>
      <c r="C2201" s="9">
        <v>1926</v>
      </c>
      <c r="D2201" s="10">
        <v>45722</v>
      </c>
      <c r="E2201" s="11" t="str">
        <f>+HYPERLINK("http://trademark.i-assist.jp/data/china/image_1926th/82452788.pdf","82452788")</f>
        <v>82452788</v>
      </c>
      <c r="F2201" s="9" t="s">
        <v>6040</v>
      </c>
      <c r="G2201" s="9" t="s">
        <v>6041</v>
      </c>
      <c r="H2201" s="12" t="s">
        <v>6042</v>
      </c>
      <c r="I2201" s="10">
        <v>45636</v>
      </c>
    </row>
    <row r="2202" spans="1:9" x14ac:dyDescent="0.15">
      <c r="A2202" s="9">
        <v>2201</v>
      </c>
      <c r="B2202" s="9" t="s">
        <v>9</v>
      </c>
      <c r="C2202" s="9">
        <v>1926</v>
      </c>
      <c r="D2202" s="10">
        <v>45722</v>
      </c>
      <c r="E2202" s="11" t="str">
        <f>+HYPERLINK("http://trademark.i-assist.jp/data/china/image_1926th/82453122.pdf","82453122")</f>
        <v>82453122</v>
      </c>
      <c r="F2202" s="9" t="s">
        <v>6043</v>
      </c>
      <c r="G2202" s="12" t="s">
        <v>6044</v>
      </c>
      <c r="H2202" s="12" t="s">
        <v>6045</v>
      </c>
      <c r="I2202" s="10">
        <v>45636</v>
      </c>
    </row>
    <row r="2203" spans="1:9" x14ac:dyDescent="0.15">
      <c r="A2203" s="9">
        <v>2202</v>
      </c>
      <c r="B2203" s="9" t="s">
        <v>9</v>
      </c>
      <c r="C2203" s="9">
        <v>1926</v>
      </c>
      <c r="D2203" s="10">
        <v>45722</v>
      </c>
      <c r="E2203" s="11" t="str">
        <f>+HYPERLINK("http://trademark.i-assist.jp/data/china/image_1926th/82453142.pdf","82453142")</f>
        <v>82453142</v>
      </c>
      <c r="F2203" s="9" t="s">
        <v>6046</v>
      </c>
      <c r="G2203" s="12" t="s">
        <v>6047</v>
      </c>
      <c r="H2203" s="9" t="s">
        <v>6048</v>
      </c>
      <c r="I2203" s="10">
        <v>45636</v>
      </c>
    </row>
    <row r="2204" spans="1:9" x14ac:dyDescent="0.15">
      <c r="A2204" s="9">
        <v>2203</v>
      </c>
      <c r="B2204" s="9" t="s">
        <v>9</v>
      </c>
      <c r="C2204" s="9">
        <v>1926</v>
      </c>
      <c r="D2204" s="10">
        <v>45722</v>
      </c>
      <c r="E2204" s="11" t="str">
        <f>+HYPERLINK("http://trademark.i-assist.jp/data/china/image_1926th/82453570.pdf","82453570")</f>
        <v>82453570</v>
      </c>
      <c r="F2204" s="9" t="s">
        <v>6049</v>
      </c>
      <c r="G2204" s="12" t="s">
        <v>6050</v>
      </c>
      <c r="H2204" s="9" t="s">
        <v>6051</v>
      </c>
      <c r="I2204" s="10">
        <v>45636</v>
      </c>
    </row>
    <row r="2205" spans="1:9" x14ac:dyDescent="0.15">
      <c r="A2205" s="9">
        <v>2204</v>
      </c>
      <c r="B2205" s="9" t="s">
        <v>9</v>
      </c>
      <c r="C2205" s="9">
        <v>1926</v>
      </c>
      <c r="D2205" s="10">
        <v>45722</v>
      </c>
      <c r="E2205" s="11" t="str">
        <f>+HYPERLINK("http://trademark.i-assist.jp/data/china/image_1926th/82453909.pdf","82453909")</f>
        <v>82453909</v>
      </c>
      <c r="F2205" s="9" t="s">
        <v>6052</v>
      </c>
      <c r="G2205" s="9" t="s">
        <v>6053</v>
      </c>
      <c r="H2205" s="9" t="s">
        <v>6054</v>
      </c>
      <c r="I2205" s="10">
        <v>45636</v>
      </c>
    </row>
    <row r="2206" spans="1:9" x14ac:dyDescent="0.15">
      <c r="A2206" s="9">
        <v>2205</v>
      </c>
      <c r="B2206" s="9" t="s">
        <v>9</v>
      </c>
      <c r="C2206" s="9">
        <v>1926</v>
      </c>
      <c r="D2206" s="10">
        <v>45722</v>
      </c>
      <c r="E2206" s="11" t="str">
        <f>+HYPERLINK("http://trademark.i-assist.jp/data/china/image_1926th/82453964.pdf","82453964")</f>
        <v>82453964</v>
      </c>
      <c r="F2206" s="9" t="s">
        <v>6055</v>
      </c>
      <c r="G2206" s="9" t="s">
        <v>6056</v>
      </c>
      <c r="H2206" s="9" t="s">
        <v>6057</v>
      </c>
      <c r="I2206" s="10">
        <v>45636</v>
      </c>
    </row>
    <row r="2207" spans="1:9" x14ac:dyDescent="0.15">
      <c r="A2207" s="9">
        <v>2206</v>
      </c>
      <c r="B2207" s="9" t="s">
        <v>9</v>
      </c>
      <c r="C2207" s="9">
        <v>1926</v>
      </c>
      <c r="D2207" s="10">
        <v>45722</v>
      </c>
      <c r="E2207" s="11" t="str">
        <f>+HYPERLINK("http://trademark.i-assist.jp/data/china/image_1926th/82454236.pdf","82454236")</f>
        <v>82454236</v>
      </c>
      <c r="F2207" s="12" t="s">
        <v>6058</v>
      </c>
      <c r="G2207" s="12" t="s">
        <v>6059</v>
      </c>
      <c r="H2207" s="9" t="s">
        <v>6060</v>
      </c>
      <c r="I2207" s="10">
        <v>45636</v>
      </c>
    </row>
    <row r="2208" spans="1:9" x14ac:dyDescent="0.15">
      <c r="A2208" s="9">
        <v>2207</v>
      </c>
      <c r="B2208" s="9" t="s">
        <v>9</v>
      </c>
      <c r="C2208" s="9">
        <v>1926</v>
      </c>
      <c r="D2208" s="10">
        <v>45722</v>
      </c>
      <c r="E2208" s="11" t="str">
        <f>+HYPERLINK("http://trademark.i-assist.jp/data/china/image_1926th/82454281.pdf","82454281")</f>
        <v>82454281</v>
      </c>
      <c r="F2208" s="12" t="s">
        <v>6061</v>
      </c>
      <c r="G2208" s="9" t="s">
        <v>119</v>
      </c>
      <c r="H2208" s="9" t="s">
        <v>6062</v>
      </c>
      <c r="I2208" s="10">
        <v>45636</v>
      </c>
    </row>
    <row r="2209" spans="1:9" x14ac:dyDescent="0.15">
      <c r="A2209" s="9">
        <v>2208</v>
      </c>
      <c r="B2209" s="9" t="s">
        <v>9</v>
      </c>
      <c r="C2209" s="9">
        <v>1926</v>
      </c>
      <c r="D2209" s="10">
        <v>45722</v>
      </c>
      <c r="E2209" s="11" t="str">
        <f>+HYPERLINK("http://trademark.i-assist.jp/data/china/image_1926th/82454311.pdf","82454311")</f>
        <v>82454311</v>
      </c>
      <c r="F2209" s="9" t="s">
        <v>6063</v>
      </c>
      <c r="G2209" s="9" t="s">
        <v>6064</v>
      </c>
      <c r="H2209" s="9" t="s">
        <v>6065</v>
      </c>
      <c r="I2209" s="10">
        <v>45636</v>
      </c>
    </row>
    <row r="2210" spans="1:9" x14ac:dyDescent="0.15">
      <c r="A2210" s="9">
        <v>2209</v>
      </c>
      <c r="B2210" s="9" t="s">
        <v>9</v>
      </c>
      <c r="C2210" s="9">
        <v>1926</v>
      </c>
      <c r="D2210" s="10">
        <v>45722</v>
      </c>
      <c r="E2210" s="11" t="str">
        <f>+HYPERLINK("http://trademark.i-assist.jp/data/china/image_1926th/82454315.pdf","82454315")</f>
        <v>82454315</v>
      </c>
      <c r="F2210" s="9" t="s">
        <v>6066</v>
      </c>
      <c r="G2210" s="9" t="s">
        <v>6067</v>
      </c>
      <c r="H2210" s="9" t="s">
        <v>6068</v>
      </c>
      <c r="I2210" s="10">
        <v>45636</v>
      </c>
    </row>
    <row r="2211" spans="1:9" x14ac:dyDescent="0.15">
      <c r="A2211" s="9">
        <v>2210</v>
      </c>
      <c r="B2211" s="9" t="s">
        <v>9</v>
      </c>
      <c r="C2211" s="9">
        <v>1926</v>
      </c>
      <c r="D2211" s="10">
        <v>45722</v>
      </c>
      <c r="E2211" s="11" t="str">
        <f>+HYPERLINK("http://trademark.i-assist.jp/data/china/image_1926th/82454317.pdf","82454317")</f>
        <v>82454317</v>
      </c>
      <c r="F2211" s="9" t="s">
        <v>6069</v>
      </c>
      <c r="G2211" s="9" t="s">
        <v>6070</v>
      </c>
      <c r="H2211" s="9" t="s">
        <v>6071</v>
      </c>
      <c r="I2211" s="10">
        <v>45636</v>
      </c>
    </row>
    <row r="2212" spans="1:9" x14ac:dyDescent="0.15">
      <c r="A2212" s="9">
        <v>2211</v>
      </c>
      <c r="B2212" s="9" t="s">
        <v>9</v>
      </c>
      <c r="C2212" s="9">
        <v>1926</v>
      </c>
      <c r="D2212" s="10">
        <v>45722</v>
      </c>
      <c r="E2212" s="11" t="str">
        <f>+HYPERLINK("http://trademark.i-assist.jp/data/china/image_1926th/82454454.pdf","82454454")</f>
        <v>82454454</v>
      </c>
      <c r="F2212" s="9" t="s">
        <v>6072</v>
      </c>
      <c r="G2212" s="9" t="s">
        <v>6073</v>
      </c>
      <c r="H2212" s="12" t="s">
        <v>6074</v>
      </c>
      <c r="I2212" s="10">
        <v>45636</v>
      </c>
    </row>
    <row r="2213" spans="1:9" x14ac:dyDescent="0.15">
      <c r="A2213" s="9">
        <v>2212</v>
      </c>
      <c r="B2213" s="9" t="s">
        <v>9</v>
      </c>
      <c r="C2213" s="9">
        <v>1926</v>
      </c>
      <c r="D2213" s="10">
        <v>45722</v>
      </c>
      <c r="E2213" s="11" t="str">
        <f>+HYPERLINK("http://trademark.i-assist.jp/data/china/image_1926th/82454478.pdf","82454478")</f>
        <v>82454478</v>
      </c>
      <c r="F2213" s="9" t="s">
        <v>6075</v>
      </c>
      <c r="G2213" s="9" t="s">
        <v>6076</v>
      </c>
      <c r="H2213" s="9" t="s">
        <v>6077</v>
      </c>
      <c r="I2213" s="10">
        <v>45636</v>
      </c>
    </row>
    <row r="2214" spans="1:9" x14ac:dyDescent="0.15">
      <c r="A2214" s="9">
        <v>2213</v>
      </c>
      <c r="B2214" s="9" t="s">
        <v>9</v>
      </c>
      <c r="C2214" s="9">
        <v>1926</v>
      </c>
      <c r="D2214" s="10">
        <v>45722</v>
      </c>
      <c r="E2214" s="11" t="str">
        <f>+HYPERLINK("http://trademark.i-assist.jp/data/china/image_1926th/82454489.pdf","82454489")</f>
        <v>82454489</v>
      </c>
      <c r="F2214" s="9" t="s">
        <v>6078</v>
      </c>
      <c r="G2214" s="9" t="s">
        <v>6079</v>
      </c>
      <c r="H2214" s="9" t="s">
        <v>6080</v>
      </c>
      <c r="I2214" s="10">
        <v>45636</v>
      </c>
    </row>
    <row r="2215" spans="1:9" x14ac:dyDescent="0.15">
      <c r="A2215" s="9">
        <v>2214</v>
      </c>
      <c r="B2215" s="9" t="s">
        <v>9</v>
      </c>
      <c r="C2215" s="9">
        <v>1926</v>
      </c>
      <c r="D2215" s="10">
        <v>45722</v>
      </c>
      <c r="E2215" s="11" t="str">
        <f>+HYPERLINK("http://trademark.i-assist.jp/data/china/image_1926th/82454526.pdf","82454526")</f>
        <v>82454526</v>
      </c>
      <c r="F2215" s="9" t="s">
        <v>6081</v>
      </c>
      <c r="G2215" s="9" t="s">
        <v>6082</v>
      </c>
      <c r="H2215" s="9" t="s">
        <v>6083</v>
      </c>
      <c r="I2215" s="10">
        <v>45636</v>
      </c>
    </row>
    <row r="2216" spans="1:9" x14ac:dyDescent="0.15">
      <c r="A2216" s="9">
        <v>2215</v>
      </c>
      <c r="B2216" s="9" t="s">
        <v>9</v>
      </c>
      <c r="C2216" s="9">
        <v>1926</v>
      </c>
      <c r="D2216" s="10">
        <v>45722</v>
      </c>
      <c r="E2216" s="11" t="str">
        <f>+HYPERLINK("http://trademark.i-assist.jp/data/china/image_1926th/82454568.pdf","82454568")</f>
        <v>82454568</v>
      </c>
      <c r="F2216" s="9" t="s">
        <v>6084</v>
      </c>
      <c r="G2216" s="12" t="s">
        <v>6085</v>
      </c>
      <c r="H2216" s="9" t="s">
        <v>6086</v>
      </c>
      <c r="I2216" s="10">
        <v>45636</v>
      </c>
    </row>
    <row r="2217" spans="1:9" x14ac:dyDescent="0.15">
      <c r="A2217" s="9">
        <v>2216</v>
      </c>
      <c r="B2217" s="9" t="s">
        <v>9</v>
      </c>
      <c r="C2217" s="9">
        <v>1926</v>
      </c>
      <c r="D2217" s="10">
        <v>45722</v>
      </c>
      <c r="E2217" s="11" t="str">
        <f>+HYPERLINK("http://trademark.i-assist.jp/data/china/image_1926th/82454667.pdf","82454667")</f>
        <v>82454667</v>
      </c>
      <c r="F2217" s="9" t="s">
        <v>6087</v>
      </c>
      <c r="G2217" s="9" t="s">
        <v>6088</v>
      </c>
      <c r="H2217" s="9" t="s">
        <v>6089</v>
      </c>
      <c r="I2217" s="10">
        <v>45636</v>
      </c>
    </row>
    <row r="2218" spans="1:9" x14ac:dyDescent="0.15">
      <c r="A2218" s="9">
        <v>2217</v>
      </c>
      <c r="B2218" s="9" t="s">
        <v>9</v>
      </c>
      <c r="C2218" s="9">
        <v>1926</v>
      </c>
      <c r="D2218" s="10">
        <v>45722</v>
      </c>
      <c r="E2218" s="11" t="str">
        <f>+HYPERLINK("http://trademark.i-assist.jp/data/china/image_1926th/82454853.pdf","82454853")</f>
        <v>82454853</v>
      </c>
      <c r="F2218" s="9" t="s">
        <v>6090</v>
      </c>
      <c r="G2218" s="9" t="s">
        <v>6091</v>
      </c>
      <c r="H2218" s="9" t="s">
        <v>6092</v>
      </c>
      <c r="I2218" s="10">
        <v>45636</v>
      </c>
    </row>
    <row r="2219" spans="1:9" x14ac:dyDescent="0.15">
      <c r="A2219" s="9">
        <v>2218</v>
      </c>
      <c r="B2219" s="9" t="s">
        <v>9</v>
      </c>
      <c r="C2219" s="9">
        <v>1926</v>
      </c>
      <c r="D2219" s="10">
        <v>45722</v>
      </c>
      <c r="E2219" s="11" t="str">
        <f>+HYPERLINK("http://trademark.i-assist.jp/data/china/image_1926th/82454963.pdf","82454963")</f>
        <v>82454963</v>
      </c>
      <c r="F2219" s="9" t="s">
        <v>6093</v>
      </c>
      <c r="G2219" s="9" t="s">
        <v>6094</v>
      </c>
      <c r="H2219" s="9" t="s">
        <v>6095</v>
      </c>
      <c r="I2219" s="10">
        <v>45636</v>
      </c>
    </row>
    <row r="2220" spans="1:9" x14ac:dyDescent="0.15">
      <c r="A2220" s="9">
        <v>2219</v>
      </c>
      <c r="B2220" s="9" t="s">
        <v>9</v>
      </c>
      <c r="C2220" s="9">
        <v>1926</v>
      </c>
      <c r="D2220" s="10">
        <v>45722</v>
      </c>
      <c r="E2220" s="11" t="str">
        <f>+HYPERLINK("http://trademark.i-assist.jp/data/china/image_1926th/82455019.pdf","82455019")</f>
        <v>82455019</v>
      </c>
      <c r="F2220" s="9" t="s">
        <v>6096</v>
      </c>
      <c r="G2220" s="9" t="s">
        <v>6053</v>
      </c>
      <c r="H2220" s="12" t="s">
        <v>6097</v>
      </c>
      <c r="I2220" s="10">
        <v>45636</v>
      </c>
    </row>
    <row r="2221" spans="1:9" x14ac:dyDescent="0.15">
      <c r="A2221" s="9">
        <v>2220</v>
      </c>
      <c r="B2221" s="9" t="s">
        <v>9</v>
      </c>
      <c r="C2221" s="9">
        <v>1926</v>
      </c>
      <c r="D2221" s="10">
        <v>45722</v>
      </c>
      <c r="E2221" s="11" t="str">
        <f>+HYPERLINK("http://trademark.i-assist.jp/data/china/image_1926th/82455057.pdf","82455057")</f>
        <v>82455057</v>
      </c>
      <c r="F2221" s="9" t="s">
        <v>6098</v>
      </c>
      <c r="G2221" s="9" t="s">
        <v>6099</v>
      </c>
      <c r="H2221" s="9" t="s">
        <v>6100</v>
      </c>
      <c r="I2221" s="10">
        <v>45636</v>
      </c>
    </row>
    <row r="2222" spans="1:9" x14ac:dyDescent="0.15">
      <c r="A2222" s="9">
        <v>2221</v>
      </c>
      <c r="B2222" s="9" t="s">
        <v>9</v>
      </c>
      <c r="C2222" s="9">
        <v>1926</v>
      </c>
      <c r="D2222" s="10">
        <v>45722</v>
      </c>
      <c r="E2222" s="11" t="str">
        <f>+HYPERLINK("http://trademark.i-assist.jp/data/china/image_1926th/82455168.pdf","82455168")</f>
        <v>82455168</v>
      </c>
      <c r="F2222" s="9" t="s">
        <v>6101</v>
      </c>
      <c r="G2222" s="12" t="s">
        <v>6102</v>
      </c>
      <c r="H2222" s="9" t="s">
        <v>6103</v>
      </c>
      <c r="I2222" s="10">
        <v>45636</v>
      </c>
    </row>
    <row r="2223" spans="1:9" x14ac:dyDescent="0.15">
      <c r="A2223" s="9">
        <v>2222</v>
      </c>
      <c r="B2223" s="9" t="s">
        <v>9</v>
      </c>
      <c r="C2223" s="9">
        <v>1926</v>
      </c>
      <c r="D2223" s="10">
        <v>45722</v>
      </c>
      <c r="E2223" s="11" t="str">
        <f>+HYPERLINK("http://trademark.i-assist.jp/data/china/image_1926th/82455203.pdf","82455203")</f>
        <v>82455203</v>
      </c>
      <c r="F2223" s="9" t="s">
        <v>6104</v>
      </c>
      <c r="G2223" s="9" t="s">
        <v>6056</v>
      </c>
      <c r="H2223" s="9" t="s">
        <v>6105</v>
      </c>
      <c r="I2223" s="10">
        <v>45636</v>
      </c>
    </row>
    <row r="2224" spans="1:9" x14ac:dyDescent="0.15">
      <c r="A2224" s="9">
        <v>2223</v>
      </c>
      <c r="B2224" s="9" t="s">
        <v>9</v>
      </c>
      <c r="C2224" s="9">
        <v>1926</v>
      </c>
      <c r="D2224" s="10">
        <v>45722</v>
      </c>
      <c r="E2224" s="11" t="str">
        <f>+HYPERLINK("http://trademark.i-assist.jp/data/china/image_1926th/82455574.pdf","82455574")</f>
        <v>82455574</v>
      </c>
      <c r="F2224" s="9" t="s">
        <v>6106</v>
      </c>
      <c r="G2224" s="9" t="s">
        <v>6107</v>
      </c>
      <c r="H2224" s="9" t="s">
        <v>6108</v>
      </c>
      <c r="I2224" s="10">
        <v>45636</v>
      </c>
    </row>
    <row r="2225" spans="1:9" x14ac:dyDescent="0.15">
      <c r="A2225" s="9">
        <v>2224</v>
      </c>
      <c r="B2225" s="9" t="s">
        <v>9</v>
      </c>
      <c r="C2225" s="9">
        <v>1926</v>
      </c>
      <c r="D2225" s="10">
        <v>45722</v>
      </c>
      <c r="E2225" s="11" t="str">
        <f>+HYPERLINK("http://trademark.i-assist.jp/data/china/image_1926th/82455603.pdf","82455603")</f>
        <v>82455603</v>
      </c>
      <c r="F2225" s="9" t="s">
        <v>6109</v>
      </c>
      <c r="G2225" s="12" t="s">
        <v>6110</v>
      </c>
      <c r="H2225" s="12" t="s">
        <v>6111</v>
      </c>
      <c r="I2225" s="10">
        <v>45636</v>
      </c>
    </row>
    <row r="2226" spans="1:9" x14ac:dyDescent="0.15">
      <c r="A2226" s="9">
        <v>2225</v>
      </c>
      <c r="B2226" s="9" t="s">
        <v>9</v>
      </c>
      <c r="C2226" s="9">
        <v>1926</v>
      </c>
      <c r="D2226" s="10">
        <v>45722</v>
      </c>
      <c r="E2226" s="11" t="str">
        <f>+HYPERLINK("http://trademark.i-assist.jp/data/china/image_1926th/82455638.pdf","82455638")</f>
        <v>82455638</v>
      </c>
      <c r="F2226" s="9" t="s">
        <v>6112</v>
      </c>
      <c r="G2226" s="12" t="s">
        <v>6113</v>
      </c>
      <c r="H2226" s="12" t="s">
        <v>6114</v>
      </c>
      <c r="I2226" s="10">
        <v>45636</v>
      </c>
    </row>
    <row r="2227" spans="1:9" x14ac:dyDescent="0.15">
      <c r="A2227" s="9">
        <v>2226</v>
      </c>
      <c r="B2227" s="9" t="s">
        <v>9</v>
      </c>
      <c r="C2227" s="9">
        <v>1926</v>
      </c>
      <c r="D2227" s="10">
        <v>45722</v>
      </c>
      <c r="E2227" s="11" t="str">
        <f>+HYPERLINK("http://trademark.i-assist.jp/data/china/image_1926th/82455656.pdf","82455656")</f>
        <v>82455656</v>
      </c>
      <c r="F2227" s="9" t="s">
        <v>6115</v>
      </c>
      <c r="G2227" s="9" t="s">
        <v>6116</v>
      </c>
      <c r="H2227" s="9" t="s">
        <v>6117</v>
      </c>
      <c r="I2227" s="10">
        <v>45636</v>
      </c>
    </row>
    <row r="2228" spans="1:9" x14ac:dyDescent="0.15">
      <c r="A2228" s="9">
        <v>2227</v>
      </c>
      <c r="B2228" s="9" t="s">
        <v>9</v>
      </c>
      <c r="C2228" s="9">
        <v>1926</v>
      </c>
      <c r="D2228" s="10">
        <v>45722</v>
      </c>
      <c r="E2228" s="11" t="str">
        <f>+HYPERLINK("http://trademark.i-assist.jp/data/china/image_1926th/82455659.pdf","82455659")</f>
        <v>82455659</v>
      </c>
      <c r="F2228" s="12" t="s">
        <v>6118</v>
      </c>
      <c r="G2228" s="9" t="s">
        <v>6116</v>
      </c>
      <c r="H2228" s="12" t="s">
        <v>6119</v>
      </c>
      <c r="I2228" s="10">
        <v>45636</v>
      </c>
    </row>
    <row r="2229" spans="1:9" x14ac:dyDescent="0.15">
      <c r="A2229" s="9">
        <v>2228</v>
      </c>
      <c r="B2229" s="9" t="s">
        <v>9</v>
      </c>
      <c r="C2229" s="9">
        <v>1926</v>
      </c>
      <c r="D2229" s="10">
        <v>45722</v>
      </c>
      <c r="E2229" s="11" t="str">
        <f>+HYPERLINK("http://trademark.i-assist.jp/data/china/image_1926th/82455975.pdf","82455975")</f>
        <v>82455975</v>
      </c>
      <c r="F2229" s="9" t="s">
        <v>6120</v>
      </c>
      <c r="G2229" s="12" t="s">
        <v>6121</v>
      </c>
      <c r="H2229" s="12" t="s">
        <v>6122</v>
      </c>
      <c r="I2229" s="10">
        <v>45636</v>
      </c>
    </row>
    <row r="2230" spans="1:9" x14ac:dyDescent="0.15">
      <c r="A2230" s="9">
        <v>2229</v>
      </c>
      <c r="B2230" s="9" t="s">
        <v>9</v>
      </c>
      <c r="C2230" s="9">
        <v>1926</v>
      </c>
      <c r="D2230" s="10">
        <v>45722</v>
      </c>
      <c r="E2230" s="11" t="str">
        <f>+HYPERLINK("http://trademark.i-assist.jp/data/china/image_1926th/82456239.pdf","82456239")</f>
        <v>82456239</v>
      </c>
      <c r="F2230" s="9" t="s">
        <v>6123</v>
      </c>
      <c r="G2230" s="9" t="s">
        <v>140</v>
      </c>
      <c r="H2230" s="9" t="s">
        <v>6124</v>
      </c>
      <c r="I2230" s="10">
        <v>45636</v>
      </c>
    </row>
    <row r="2231" spans="1:9" x14ac:dyDescent="0.15">
      <c r="A2231" s="9">
        <v>2230</v>
      </c>
      <c r="B2231" s="9" t="s">
        <v>9</v>
      </c>
      <c r="C2231" s="9">
        <v>1926</v>
      </c>
      <c r="D2231" s="10">
        <v>45722</v>
      </c>
      <c r="E2231" s="11" t="str">
        <f>+HYPERLINK("http://trademark.i-assist.jp/data/china/image_1926th/82456412.pdf","82456412")</f>
        <v>82456412</v>
      </c>
      <c r="F2231" s="9" t="s">
        <v>6125</v>
      </c>
      <c r="G2231" s="12" t="s">
        <v>6126</v>
      </c>
      <c r="H2231" s="9" t="s">
        <v>6127</v>
      </c>
      <c r="I2231" s="10">
        <v>45636</v>
      </c>
    </row>
    <row r="2232" spans="1:9" x14ac:dyDescent="0.15">
      <c r="A2232" s="9">
        <v>2231</v>
      </c>
      <c r="B2232" s="9" t="s">
        <v>9</v>
      </c>
      <c r="C2232" s="9">
        <v>1926</v>
      </c>
      <c r="D2232" s="10">
        <v>45722</v>
      </c>
      <c r="E2232" s="11" t="str">
        <f>+HYPERLINK("http://trademark.i-assist.jp/data/china/image_1926th/82456448.pdf","82456448")</f>
        <v>82456448</v>
      </c>
      <c r="F2232" s="9" t="s">
        <v>6128</v>
      </c>
      <c r="G2232" s="9" t="s">
        <v>6129</v>
      </c>
      <c r="H2232" s="12" t="s">
        <v>6130</v>
      </c>
      <c r="I2232" s="10">
        <v>45636</v>
      </c>
    </row>
    <row r="2233" spans="1:9" x14ac:dyDescent="0.15">
      <c r="A2233" s="9">
        <v>2232</v>
      </c>
      <c r="B2233" s="9" t="s">
        <v>9</v>
      </c>
      <c r="C2233" s="9">
        <v>1926</v>
      </c>
      <c r="D2233" s="10">
        <v>45722</v>
      </c>
      <c r="E2233" s="11" t="str">
        <f>+HYPERLINK("http://trademark.i-assist.jp/data/china/image_1926th/82456849.pdf","82456849")</f>
        <v>82456849</v>
      </c>
      <c r="F2233" s="9" t="s">
        <v>6131</v>
      </c>
      <c r="G2233" s="9" t="s">
        <v>6116</v>
      </c>
      <c r="H2233" s="9" t="s">
        <v>6132</v>
      </c>
      <c r="I2233" s="10">
        <v>45636</v>
      </c>
    </row>
    <row r="2234" spans="1:9" x14ac:dyDescent="0.15">
      <c r="A2234" s="9">
        <v>2233</v>
      </c>
      <c r="B2234" s="9" t="s">
        <v>9</v>
      </c>
      <c r="C2234" s="9">
        <v>1926</v>
      </c>
      <c r="D2234" s="10">
        <v>45722</v>
      </c>
      <c r="E2234" s="11" t="str">
        <f>+HYPERLINK("http://trademark.i-assist.jp/data/china/image_1926th/82456915.pdf","82456915")</f>
        <v>82456915</v>
      </c>
      <c r="F2234" s="9" t="s">
        <v>6133</v>
      </c>
      <c r="G2234" s="9" t="s">
        <v>6134</v>
      </c>
      <c r="H2234" s="9" t="s">
        <v>6135</v>
      </c>
      <c r="I2234" s="10">
        <v>45636</v>
      </c>
    </row>
    <row r="2235" spans="1:9" x14ac:dyDescent="0.15">
      <c r="A2235" s="9">
        <v>2234</v>
      </c>
      <c r="B2235" s="9" t="s">
        <v>9</v>
      </c>
      <c r="C2235" s="9">
        <v>1926</v>
      </c>
      <c r="D2235" s="10">
        <v>45722</v>
      </c>
      <c r="E2235" s="11" t="str">
        <f>+HYPERLINK("http://trademark.i-assist.jp/data/china/image_1926th/82457297.pdf","82457297")</f>
        <v>82457297</v>
      </c>
      <c r="F2235" s="9" t="s">
        <v>6136</v>
      </c>
      <c r="G2235" s="12" t="s">
        <v>6113</v>
      </c>
      <c r="H2235" s="12" t="s">
        <v>6137</v>
      </c>
      <c r="I2235" s="10">
        <v>45636</v>
      </c>
    </row>
    <row r="2236" spans="1:9" x14ac:dyDescent="0.15">
      <c r="A2236" s="9">
        <v>2235</v>
      </c>
      <c r="B2236" s="9" t="s">
        <v>9</v>
      </c>
      <c r="C2236" s="9">
        <v>1926</v>
      </c>
      <c r="D2236" s="10">
        <v>45722</v>
      </c>
      <c r="E2236" s="11" t="str">
        <f>+HYPERLINK("http://trademark.i-assist.jp/data/china/image_1926th/82457560.pdf","82457560")</f>
        <v>82457560</v>
      </c>
      <c r="F2236" s="12" t="s">
        <v>6138</v>
      </c>
      <c r="G2236" s="9" t="s">
        <v>6139</v>
      </c>
      <c r="H2236" s="9" t="s">
        <v>6140</v>
      </c>
      <c r="I2236" s="10">
        <v>45636</v>
      </c>
    </row>
    <row r="2237" spans="1:9" x14ac:dyDescent="0.15">
      <c r="A2237" s="9">
        <v>2236</v>
      </c>
      <c r="B2237" s="9" t="s">
        <v>9</v>
      </c>
      <c r="C2237" s="9">
        <v>1926</v>
      </c>
      <c r="D2237" s="10">
        <v>45722</v>
      </c>
      <c r="E2237" s="11" t="str">
        <f>+HYPERLINK("http://trademark.i-assist.jp/data/china/image_1926th/82458019.pdf","82458019")</f>
        <v>82458019</v>
      </c>
      <c r="F2237" s="9" t="s">
        <v>6141</v>
      </c>
      <c r="G2237" s="9" t="s">
        <v>6142</v>
      </c>
      <c r="H2237" s="12" t="s">
        <v>6143</v>
      </c>
      <c r="I2237" s="10">
        <v>45636</v>
      </c>
    </row>
    <row r="2238" spans="1:9" x14ac:dyDescent="0.15">
      <c r="A2238" s="9">
        <v>2237</v>
      </c>
      <c r="B2238" s="9" t="s">
        <v>9</v>
      </c>
      <c r="C2238" s="9">
        <v>1926</v>
      </c>
      <c r="D2238" s="10">
        <v>45722</v>
      </c>
      <c r="E2238" s="11" t="str">
        <f>+HYPERLINK("http://trademark.i-assist.jp/data/china/image_1926th/82458119.pdf","82458119")</f>
        <v>82458119</v>
      </c>
      <c r="F2238" s="9" t="s">
        <v>6144</v>
      </c>
      <c r="G2238" s="9" t="s">
        <v>178</v>
      </c>
      <c r="H2238" s="9" t="s">
        <v>6145</v>
      </c>
      <c r="I2238" s="10">
        <v>45636</v>
      </c>
    </row>
    <row r="2239" spans="1:9" x14ac:dyDescent="0.15">
      <c r="A2239" s="9">
        <v>2238</v>
      </c>
      <c r="B2239" s="9" t="s">
        <v>9</v>
      </c>
      <c r="C2239" s="9">
        <v>1926</v>
      </c>
      <c r="D2239" s="10">
        <v>45722</v>
      </c>
      <c r="E2239" s="11" t="str">
        <f>+HYPERLINK("http://trademark.i-assist.jp/data/china/image_1926th/82458313.pdf","82458313")</f>
        <v>82458313</v>
      </c>
      <c r="F2239" s="12" t="s">
        <v>6146</v>
      </c>
      <c r="G2239" s="9" t="s">
        <v>6147</v>
      </c>
      <c r="H2239" s="9" t="s">
        <v>6148</v>
      </c>
      <c r="I2239" s="10">
        <v>45636</v>
      </c>
    </row>
    <row r="2240" spans="1:9" x14ac:dyDescent="0.15">
      <c r="A2240" s="9">
        <v>2239</v>
      </c>
      <c r="B2240" s="9" t="s">
        <v>9</v>
      </c>
      <c r="C2240" s="9">
        <v>1926</v>
      </c>
      <c r="D2240" s="10">
        <v>45722</v>
      </c>
      <c r="E2240" s="11" t="str">
        <f>+HYPERLINK("http://trademark.i-assist.jp/data/china/image_1926th/82458548.pdf","82458548")</f>
        <v>82458548</v>
      </c>
      <c r="F2240" s="12" t="s">
        <v>6149</v>
      </c>
      <c r="G2240" s="9" t="s">
        <v>6150</v>
      </c>
      <c r="H2240" s="9" t="s">
        <v>6151</v>
      </c>
      <c r="I2240" s="10">
        <v>45636</v>
      </c>
    </row>
    <row r="2241" spans="1:9" x14ac:dyDescent="0.15">
      <c r="A2241" s="9">
        <v>2240</v>
      </c>
      <c r="B2241" s="9" t="s">
        <v>9</v>
      </c>
      <c r="C2241" s="9">
        <v>1926</v>
      </c>
      <c r="D2241" s="10">
        <v>45722</v>
      </c>
      <c r="E2241" s="11" t="str">
        <f>+HYPERLINK("http://trademark.i-assist.jp/data/china/image_1926th/82458984.pdf","82458984")</f>
        <v>82458984</v>
      </c>
      <c r="F2241" s="9" t="s">
        <v>6152</v>
      </c>
      <c r="G2241" s="9" t="s">
        <v>6153</v>
      </c>
      <c r="H2241" s="9" t="s">
        <v>6154</v>
      </c>
      <c r="I2241" s="10">
        <v>45636</v>
      </c>
    </row>
    <row r="2242" spans="1:9" x14ac:dyDescent="0.15">
      <c r="A2242" s="9">
        <v>2241</v>
      </c>
      <c r="B2242" s="9" t="s">
        <v>9</v>
      </c>
      <c r="C2242" s="9">
        <v>1926</v>
      </c>
      <c r="D2242" s="10">
        <v>45722</v>
      </c>
      <c r="E2242" s="11" t="str">
        <f>+HYPERLINK("http://trademark.i-assist.jp/data/china/image_1926th/82459170.pdf","82459170")</f>
        <v>82459170</v>
      </c>
      <c r="F2242" s="9" t="s">
        <v>6155</v>
      </c>
      <c r="G2242" s="12" t="s">
        <v>6156</v>
      </c>
      <c r="H2242" s="9" t="s">
        <v>6157</v>
      </c>
      <c r="I2242" s="10">
        <v>45636</v>
      </c>
    </row>
    <row r="2243" spans="1:9" x14ac:dyDescent="0.15">
      <c r="A2243" s="9">
        <v>2242</v>
      </c>
      <c r="B2243" s="9" t="s">
        <v>9</v>
      </c>
      <c r="C2243" s="9">
        <v>1926</v>
      </c>
      <c r="D2243" s="10">
        <v>45722</v>
      </c>
      <c r="E2243" s="11" t="str">
        <f>+HYPERLINK("http://trademark.i-assist.jp/data/china/image_1926th/82459193.pdf","82459193")</f>
        <v>82459193</v>
      </c>
      <c r="F2243" s="9" t="s">
        <v>6158</v>
      </c>
      <c r="G2243" s="9" t="s">
        <v>6159</v>
      </c>
      <c r="H2243" s="9" t="s">
        <v>6160</v>
      </c>
      <c r="I2243" s="10">
        <v>45636</v>
      </c>
    </row>
    <row r="2244" spans="1:9" x14ac:dyDescent="0.15">
      <c r="A2244" s="9">
        <v>2243</v>
      </c>
      <c r="B2244" s="9" t="s">
        <v>9</v>
      </c>
      <c r="C2244" s="9">
        <v>1926</v>
      </c>
      <c r="D2244" s="10">
        <v>45722</v>
      </c>
      <c r="E2244" s="11" t="str">
        <f>+HYPERLINK("http://trademark.i-assist.jp/data/china/image_1926th/82459290.pdf","82459290")</f>
        <v>82459290</v>
      </c>
      <c r="F2244" s="9" t="s">
        <v>6161</v>
      </c>
      <c r="G2244" s="9" t="s">
        <v>6162</v>
      </c>
      <c r="H2244" s="9" t="s">
        <v>6163</v>
      </c>
      <c r="I2244" s="10">
        <v>45636</v>
      </c>
    </row>
    <row r="2245" spans="1:9" x14ac:dyDescent="0.15">
      <c r="A2245" s="9">
        <v>2244</v>
      </c>
      <c r="B2245" s="9" t="s">
        <v>9</v>
      </c>
      <c r="C2245" s="9">
        <v>1926</v>
      </c>
      <c r="D2245" s="10">
        <v>45722</v>
      </c>
      <c r="E2245" s="11" t="str">
        <f>+HYPERLINK("http://trademark.i-assist.jp/data/china/image_1926th/82459427.pdf","82459427")</f>
        <v>82459427</v>
      </c>
      <c r="F2245" s="12" t="s">
        <v>6164</v>
      </c>
      <c r="G2245" s="12" t="s">
        <v>6165</v>
      </c>
      <c r="H2245" s="9" t="s">
        <v>6166</v>
      </c>
      <c r="I2245" s="10">
        <v>45636</v>
      </c>
    </row>
    <row r="2246" spans="1:9" x14ac:dyDescent="0.15">
      <c r="A2246" s="9">
        <v>2245</v>
      </c>
      <c r="B2246" s="9" t="s">
        <v>9</v>
      </c>
      <c r="C2246" s="9">
        <v>1926</v>
      </c>
      <c r="D2246" s="10">
        <v>45722</v>
      </c>
      <c r="E2246" s="11" t="str">
        <f>+HYPERLINK("http://trademark.i-assist.jp/data/china/image_1926th/82459904.pdf","82459904")</f>
        <v>82459904</v>
      </c>
      <c r="F2246" s="9" t="s">
        <v>6167</v>
      </c>
      <c r="G2246" s="9" t="s">
        <v>199</v>
      </c>
      <c r="H2246" s="12" t="s">
        <v>6168</v>
      </c>
      <c r="I2246" s="10">
        <v>45636</v>
      </c>
    </row>
    <row r="2247" spans="1:9" x14ac:dyDescent="0.15">
      <c r="A2247" s="9">
        <v>2246</v>
      </c>
      <c r="B2247" s="9" t="s">
        <v>9</v>
      </c>
      <c r="C2247" s="9">
        <v>1926</v>
      </c>
      <c r="D2247" s="10">
        <v>45722</v>
      </c>
      <c r="E2247" s="11" t="str">
        <f>+HYPERLINK("http://trademark.i-assist.jp/data/china/image_1926th/82460020.pdf","82460020")</f>
        <v>82460020</v>
      </c>
      <c r="F2247" s="9" t="s">
        <v>6169</v>
      </c>
      <c r="G2247" s="9" t="s">
        <v>6170</v>
      </c>
      <c r="H2247" s="9" t="s">
        <v>6171</v>
      </c>
      <c r="I2247" s="10">
        <v>45636</v>
      </c>
    </row>
    <row r="2248" spans="1:9" x14ac:dyDescent="0.15">
      <c r="A2248" s="9">
        <v>2247</v>
      </c>
      <c r="B2248" s="9" t="s">
        <v>9</v>
      </c>
      <c r="C2248" s="9">
        <v>1926</v>
      </c>
      <c r="D2248" s="10">
        <v>45722</v>
      </c>
      <c r="E2248" s="11" t="str">
        <f>+HYPERLINK("http://trademark.i-assist.jp/data/china/image_1926th/82460711.pdf","82460711")</f>
        <v>82460711</v>
      </c>
      <c r="F2248" s="9" t="s">
        <v>6172</v>
      </c>
      <c r="G2248" s="9" t="s">
        <v>6173</v>
      </c>
      <c r="H2248" s="9" t="s">
        <v>6174</v>
      </c>
      <c r="I2248" s="10">
        <v>45636</v>
      </c>
    </row>
    <row r="2249" spans="1:9" x14ac:dyDescent="0.15">
      <c r="A2249" s="9">
        <v>2248</v>
      </c>
      <c r="B2249" s="9" t="s">
        <v>9</v>
      </c>
      <c r="C2249" s="9">
        <v>1926</v>
      </c>
      <c r="D2249" s="10">
        <v>45722</v>
      </c>
      <c r="E2249" s="11" t="str">
        <f>+HYPERLINK("http://trademark.i-assist.jp/data/china/image_1926th/82461105.pdf","82461105")</f>
        <v>82461105</v>
      </c>
      <c r="F2249" s="12" t="s">
        <v>6175</v>
      </c>
      <c r="G2249" s="9" t="s">
        <v>6176</v>
      </c>
      <c r="H2249" s="12" t="s">
        <v>6177</v>
      </c>
      <c r="I2249" s="10">
        <v>45636</v>
      </c>
    </row>
    <row r="2250" spans="1:9" x14ac:dyDescent="0.15">
      <c r="A2250" s="9">
        <v>2249</v>
      </c>
      <c r="B2250" s="9" t="s">
        <v>9</v>
      </c>
      <c r="C2250" s="9">
        <v>1926</v>
      </c>
      <c r="D2250" s="10">
        <v>45722</v>
      </c>
      <c r="E2250" s="11" t="str">
        <f>+HYPERLINK("http://trademark.i-assist.jp/data/china/image_1926th/82461242.pdf","82461242")</f>
        <v>82461242</v>
      </c>
      <c r="F2250" s="12" t="s">
        <v>6178</v>
      </c>
      <c r="G2250" s="12" t="s">
        <v>6113</v>
      </c>
      <c r="H2250" s="9" t="s">
        <v>6179</v>
      </c>
      <c r="I2250" s="10">
        <v>45636</v>
      </c>
    </row>
    <row r="2251" spans="1:9" x14ac:dyDescent="0.15">
      <c r="A2251" s="9">
        <v>2250</v>
      </c>
      <c r="B2251" s="9" t="s">
        <v>9</v>
      </c>
      <c r="C2251" s="9">
        <v>1926</v>
      </c>
      <c r="D2251" s="10">
        <v>45722</v>
      </c>
      <c r="E2251" s="11" t="str">
        <f>+HYPERLINK("http://trademark.i-assist.jp/data/china/image_1926th/82461297.pdf","82461297")</f>
        <v>82461297</v>
      </c>
      <c r="F2251" s="9" t="s">
        <v>6180</v>
      </c>
      <c r="G2251" s="9" t="s">
        <v>6181</v>
      </c>
      <c r="H2251" s="9" t="s">
        <v>6182</v>
      </c>
      <c r="I2251" s="10">
        <v>45636</v>
      </c>
    </row>
    <row r="2252" spans="1:9" x14ac:dyDescent="0.15">
      <c r="A2252" s="9">
        <v>2251</v>
      </c>
      <c r="B2252" s="9" t="s">
        <v>9</v>
      </c>
      <c r="C2252" s="9">
        <v>1926</v>
      </c>
      <c r="D2252" s="10">
        <v>45722</v>
      </c>
      <c r="E2252" s="11" t="str">
        <f>+HYPERLINK("http://trademark.i-assist.jp/data/china/image_1926th/82461349.pdf","82461349")</f>
        <v>82461349</v>
      </c>
      <c r="F2252" s="12" t="s">
        <v>6183</v>
      </c>
      <c r="G2252" s="9" t="s">
        <v>6184</v>
      </c>
      <c r="H2252" s="12" t="s">
        <v>6185</v>
      </c>
      <c r="I2252" s="10">
        <v>45636</v>
      </c>
    </row>
    <row r="2253" spans="1:9" x14ac:dyDescent="0.15">
      <c r="A2253" s="9">
        <v>2252</v>
      </c>
      <c r="B2253" s="9" t="s">
        <v>9</v>
      </c>
      <c r="C2253" s="9">
        <v>1926</v>
      </c>
      <c r="D2253" s="10">
        <v>45722</v>
      </c>
      <c r="E2253" s="11" t="str">
        <f>+HYPERLINK("http://trademark.i-assist.jp/data/china/image_1926th/82461356.pdf","82461356")</f>
        <v>82461356</v>
      </c>
      <c r="F2253" s="9" t="s">
        <v>6186</v>
      </c>
      <c r="G2253" s="9" t="s">
        <v>6181</v>
      </c>
      <c r="H2253" s="9" t="s">
        <v>6187</v>
      </c>
      <c r="I2253" s="10">
        <v>45636</v>
      </c>
    </row>
    <row r="2254" spans="1:9" x14ac:dyDescent="0.15">
      <c r="A2254" s="9">
        <v>2253</v>
      </c>
      <c r="B2254" s="9" t="s">
        <v>9</v>
      </c>
      <c r="C2254" s="9">
        <v>1926</v>
      </c>
      <c r="D2254" s="10">
        <v>45722</v>
      </c>
      <c r="E2254" s="11" t="str">
        <f>+HYPERLINK("http://trademark.i-assist.jp/data/china/image_1926th/82461753.pdf","82461753")</f>
        <v>82461753</v>
      </c>
      <c r="F2254" s="9" t="s">
        <v>6188</v>
      </c>
      <c r="G2254" s="9" t="s">
        <v>6189</v>
      </c>
      <c r="H2254" s="9" t="s">
        <v>6190</v>
      </c>
      <c r="I2254" s="10">
        <v>45636</v>
      </c>
    </row>
    <row r="2255" spans="1:9" x14ac:dyDescent="0.15">
      <c r="A2255" s="9">
        <v>2254</v>
      </c>
      <c r="B2255" s="9" t="s">
        <v>9</v>
      </c>
      <c r="C2255" s="9">
        <v>1926</v>
      </c>
      <c r="D2255" s="10">
        <v>45722</v>
      </c>
      <c r="E2255" s="11" t="str">
        <f>+HYPERLINK("http://trademark.i-assist.jp/data/china/image_1926th/82462375.pdf","82462375")</f>
        <v>82462375</v>
      </c>
      <c r="F2255" s="9" t="s">
        <v>6191</v>
      </c>
      <c r="G2255" s="12" t="s">
        <v>6024</v>
      </c>
      <c r="H2255" s="9" t="s">
        <v>6192</v>
      </c>
      <c r="I2255" s="10">
        <v>45636</v>
      </c>
    </row>
    <row r="2256" spans="1:9" x14ac:dyDescent="0.15">
      <c r="A2256" s="9">
        <v>2255</v>
      </c>
      <c r="B2256" s="9" t="s">
        <v>9</v>
      </c>
      <c r="C2256" s="9">
        <v>1926</v>
      </c>
      <c r="D2256" s="10">
        <v>45722</v>
      </c>
      <c r="E2256" s="11" t="str">
        <f>+HYPERLINK("http://trademark.i-assist.jp/data/china/image_1926th/82462470.pdf","82462470")</f>
        <v>82462470</v>
      </c>
      <c r="F2256" s="13" t="s">
        <v>6193</v>
      </c>
      <c r="G2256" s="9" t="s">
        <v>6181</v>
      </c>
      <c r="H2256" s="9" t="s">
        <v>6194</v>
      </c>
      <c r="I2256" s="10">
        <v>45636</v>
      </c>
    </row>
    <row r="2257" spans="1:9" x14ac:dyDescent="0.15">
      <c r="A2257" s="9">
        <v>2256</v>
      </c>
      <c r="B2257" s="9" t="s">
        <v>9</v>
      </c>
      <c r="C2257" s="9">
        <v>1926</v>
      </c>
      <c r="D2257" s="10">
        <v>45722</v>
      </c>
      <c r="E2257" s="11" t="str">
        <f>+HYPERLINK("http://trademark.i-assist.jp/data/china/image_1926th/82462652.pdf","82462652")</f>
        <v>82462652</v>
      </c>
      <c r="F2257" s="9" t="s">
        <v>6195</v>
      </c>
      <c r="G2257" s="9" t="s">
        <v>6196</v>
      </c>
      <c r="H2257" s="9" t="s">
        <v>6197</v>
      </c>
      <c r="I2257" s="10">
        <v>45636</v>
      </c>
    </row>
    <row r="2258" spans="1:9" x14ac:dyDescent="0.15">
      <c r="A2258" s="9">
        <v>2257</v>
      </c>
      <c r="B2258" s="9" t="s">
        <v>9</v>
      </c>
      <c r="C2258" s="9">
        <v>1926</v>
      </c>
      <c r="D2258" s="10">
        <v>45722</v>
      </c>
      <c r="E2258" s="11" t="str">
        <f>+HYPERLINK("http://trademark.i-assist.jp/data/china/image_1926th/82462677.pdf","82462677")</f>
        <v>82462677</v>
      </c>
      <c r="F2258" s="9" t="s">
        <v>6198</v>
      </c>
      <c r="G2258" s="9" t="s">
        <v>6153</v>
      </c>
      <c r="H2258" s="9" t="s">
        <v>6199</v>
      </c>
      <c r="I2258" s="10">
        <v>45636</v>
      </c>
    </row>
    <row r="2259" spans="1:9" x14ac:dyDescent="0.15">
      <c r="A2259" s="9">
        <v>2258</v>
      </c>
      <c r="B2259" s="9" t="s">
        <v>9</v>
      </c>
      <c r="C2259" s="9">
        <v>1926</v>
      </c>
      <c r="D2259" s="10">
        <v>45722</v>
      </c>
      <c r="E2259" s="11" t="str">
        <f>+HYPERLINK("http://trademark.i-assist.jp/data/china/image_1926th/82463022.pdf","82463022")</f>
        <v>82463022</v>
      </c>
      <c r="F2259" s="9" t="s">
        <v>6200</v>
      </c>
      <c r="G2259" s="9" t="s">
        <v>6201</v>
      </c>
      <c r="H2259" s="12" t="s">
        <v>6202</v>
      </c>
      <c r="I2259" s="10">
        <v>45636</v>
      </c>
    </row>
    <row r="2260" spans="1:9" x14ac:dyDescent="0.15">
      <c r="A2260" s="9">
        <v>2259</v>
      </c>
      <c r="B2260" s="9" t="s">
        <v>9</v>
      </c>
      <c r="C2260" s="9">
        <v>1926</v>
      </c>
      <c r="D2260" s="10">
        <v>45722</v>
      </c>
      <c r="E2260" s="11" t="str">
        <f>+HYPERLINK("http://trademark.i-assist.jp/data/china/image_1926th/82463108.pdf","82463108")</f>
        <v>82463108</v>
      </c>
      <c r="F2260" s="9" t="s">
        <v>6203</v>
      </c>
      <c r="G2260" s="9" t="s">
        <v>6116</v>
      </c>
      <c r="H2260" s="9" t="s">
        <v>6204</v>
      </c>
      <c r="I2260" s="10">
        <v>45636</v>
      </c>
    </row>
    <row r="2261" spans="1:9" x14ac:dyDescent="0.15">
      <c r="A2261" s="9">
        <v>2260</v>
      </c>
      <c r="B2261" s="9" t="s">
        <v>9</v>
      </c>
      <c r="C2261" s="9">
        <v>1926</v>
      </c>
      <c r="D2261" s="10">
        <v>45722</v>
      </c>
      <c r="E2261" s="11" t="str">
        <f>+HYPERLINK("http://trademark.i-assist.jp/data/china/image_1926th/82463379.pdf","82463379")</f>
        <v>82463379</v>
      </c>
      <c r="F2261" s="9" t="s">
        <v>6205</v>
      </c>
      <c r="G2261" s="12" t="s">
        <v>6206</v>
      </c>
      <c r="H2261" s="9" t="s">
        <v>6207</v>
      </c>
      <c r="I2261" s="10">
        <v>45636</v>
      </c>
    </row>
    <row r="2262" spans="1:9" x14ac:dyDescent="0.15">
      <c r="A2262" s="9">
        <v>2261</v>
      </c>
      <c r="B2262" s="9" t="s">
        <v>9</v>
      </c>
      <c r="C2262" s="9">
        <v>1926</v>
      </c>
      <c r="D2262" s="10">
        <v>45722</v>
      </c>
      <c r="E2262" s="11" t="str">
        <f>+HYPERLINK("http://trademark.i-assist.jp/data/china/image_1926th/82463621.pdf","82463621")</f>
        <v>82463621</v>
      </c>
      <c r="F2262" s="12" t="s">
        <v>6208</v>
      </c>
      <c r="G2262" s="9" t="s">
        <v>6209</v>
      </c>
      <c r="H2262" s="9" t="s">
        <v>6210</v>
      </c>
      <c r="I2262" s="10">
        <v>45636</v>
      </c>
    </row>
    <row r="2263" spans="1:9" x14ac:dyDescent="0.15">
      <c r="A2263" s="9">
        <v>2262</v>
      </c>
      <c r="B2263" s="9" t="s">
        <v>9</v>
      </c>
      <c r="C2263" s="9">
        <v>1926</v>
      </c>
      <c r="D2263" s="10">
        <v>45722</v>
      </c>
      <c r="E2263" s="11" t="str">
        <f>+HYPERLINK("http://trademark.i-assist.jp/data/china/image_1926th/82463633.pdf","82463633")</f>
        <v>82463633</v>
      </c>
      <c r="F2263" s="9" t="s">
        <v>6211</v>
      </c>
      <c r="G2263" s="12" t="s">
        <v>6212</v>
      </c>
      <c r="H2263" s="9" t="s">
        <v>6213</v>
      </c>
      <c r="I2263" s="10">
        <v>45636</v>
      </c>
    </row>
    <row r="2264" spans="1:9" x14ac:dyDescent="0.15">
      <c r="A2264" s="9">
        <v>2263</v>
      </c>
      <c r="B2264" s="9" t="s">
        <v>9</v>
      </c>
      <c r="C2264" s="9">
        <v>1926</v>
      </c>
      <c r="D2264" s="10">
        <v>45722</v>
      </c>
      <c r="E2264" s="11" t="str">
        <f>+HYPERLINK("http://trademark.i-assist.jp/data/china/image_1926th/82463688.pdf","82463688")</f>
        <v>82463688</v>
      </c>
      <c r="F2264" s="9" t="s">
        <v>6214</v>
      </c>
      <c r="G2264" s="12" t="s">
        <v>197</v>
      </c>
      <c r="H2264" s="9" t="s">
        <v>6215</v>
      </c>
      <c r="I2264" s="10">
        <v>45636</v>
      </c>
    </row>
    <row r="2265" spans="1:9" x14ac:dyDescent="0.15">
      <c r="A2265" s="9">
        <v>2264</v>
      </c>
      <c r="B2265" s="9" t="s">
        <v>9</v>
      </c>
      <c r="C2265" s="9">
        <v>1926</v>
      </c>
      <c r="D2265" s="10">
        <v>45722</v>
      </c>
      <c r="E2265" s="11" t="str">
        <f>+HYPERLINK("http://trademark.i-assist.jp/data/china/image_1926th/82463746.pdf","82463746")</f>
        <v>82463746</v>
      </c>
      <c r="F2265" s="9" t="s">
        <v>6216</v>
      </c>
      <c r="G2265" s="9" t="s">
        <v>6217</v>
      </c>
      <c r="H2265" s="9" t="s">
        <v>6218</v>
      </c>
      <c r="I2265" s="10">
        <v>45636</v>
      </c>
    </row>
    <row r="2266" spans="1:9" x14ac:dyDescent="0.15">
      <c r="A2266" s="9">
        <v>2265</v>
      </c>
      <c r="B2266" s="9" t="s">
        <v>9</v>
      </c>
      <c r="C2266" s="9">
        <v>1926</v>
      </c>
      <c r="D2266" s="10">
        <v>45722</v>
      </c>
      <c r="E2266" s="11" t="str">
        <f>+HYPERLINK("http://trademark.i-assist.jp/data/china/image_1926th/82463794.pdf","82463794")</f>
        <v>82463794</v>
      </c>
      <c r="F2266" s="9" t="s">
        <v>6219</v>
      </c>
      <c r="G2266" s="12" t="s">
        <v>6220</v>
      </c>
      <c r="H2266" s="9" t="s">
        <v>6221</v>
      </c>
      <c r="I2266" s="10">
        <v>45636</v>
      </c>
    </row>
    <row r="2267" spans="1:9" x14ac:dyDescent="0.15">
      <c r="A2267" s="9">
        <v>2266</v>
      </c>
      <c r="B2267" s="9" t="s">
        <v>9</v>
      </c>
      <c r="C2267" s="9">
        <v>1926</v>
      </c>
      <c r="D2267" s="10">
        <v>45722</v>
      </c>
      <c r="E2267" s="11" t="str">
        <f>+HYPERLINK("http://trademark.i-assist.jp/data/china/image_1926th/82464185.pdf","82464185")</f>
        <v>82464185</v>
      </c>
      <c r="F2267" s="9" t="s">
        <v>6222</v>
      </c>
      <c r="G2267" s="12" t="s">
        <v>6223</v>
      </c>
      <c r="H2267" s="9" t="s">
        <v>6224</v>
      </c>
      <c r="I2267" s="10">
        <v>45636</v>
      </c>
    </row>
    <row r="2268" spans="1:9" x14ac:dyDescent="0.15">
      <c r="A2268" s="9">
        <v>2267</v>
      </c>
      <c r="B2268" s="9" t="s">
        <v>9</v>
      </c>
      <c r="C2268" s="9">
        <v>1926</v>
      </c>
      <c r="D2268" s="10">
        <v>45722</v>
      </c>
      <c r="E2268" s="11" t="str">
        <f>+HYPERLINK("http://trademark.i-assist.jp/data/china/image_1926th/82464580.pdf","82464580")</f>
        <v>82464580</v>
      </c>
      <c r="F2268" s="9" t="s">
        <v>6225</v>
      </c>
      <c r="G2268" s="12" t="s">
        <v>6226</v>
      </c>
      <c r="H2268" s="12" t="s">
        <v>6227</v>
      </c>
      <c r="I2268" s="10">
        <v>45636</v>
      </c>
    </row>
    <row r="2269" spans="1:9" x14ac:dyDescent="0.15">
      <c r="A2269" s="9">
        <v>2268</v>
      </c>
      <c r="B2269" s="9" t="s">
        <v>9</v>
      </c>
      <c r="C2269" s="9">
        <v>1926</v>
      </c>
      <c r="D2269" s="10">
        <v>45722</v>
      </c>
      <c r="E2269" s="11" t="str">
        <f>+HYPERLINK("http://trademark.i-assist.jp/data/china/image_1926th/82464823.pdf","82464823")</f>
        <v>82464823</v>
      </c>
      <c r="F2269" s="12" t="s">
        <v>6228</v>
      </c>
      <c r="G2269" s="9" t="s">
        <v>6229</v>
      </c>
      <c r="H2269" s="9" t="s">
        <v>6230</v>
      </c>
      <c r="I2269" s="10">
        <v>45636</v>
      </c>
    </row>
    <row r="2270" spans="1:9" x14ac:dyDescent="0.15">
      <c r="A2270" s="9">
        <v>2269</v>
      </c>
      <c r="B2270" s="9" t="s">
        <v>9</v>
      </c>
      <c r="C2270" s="9">
        <v>1926</v>
      </c>
      <c r="D2270" s="10">
        <v>45722</v>
      </c>
      <c r="E2270" s="11" t="str">
        <f>+HYPERLINK("http://trademark.i-assist.jp/data/china/image_1926th/82465122.pdf","82465122")</f>
        <v>82465122</v>
      </c>
      <c r="F2270" s="9" t="s">
        <v>6231</v>
      </c>
      <c r="G2270" s="9" t="s">
        <v>6056</v>
      </c>
      <c r="H2270" s="9" t="s">
        <v>6232</v>
      </c>
      <c r="I2270" s="10">
        <v>45636</v>
      </c>
    </row>
    <row r="2271" spans="1:9" x14ac:dyDescent="0.15">
      <c r="A2271" s="9">
        <v>2270</v>
      </c>
      <c r="B2271" s="9" t="s">
        <v>9</v>
      </c>
      <c r="C2271" s="9">
        <v>1926</v>
      </c>
      <c r="D2271" s="10">
        <v>45722</v>
      </c>
      <c r="E2271" s="11" t="str">
        <f>+HYPERLINK("http://trademark.i-assist.jp/data/china/image_1926th/82465152.pdf","82465152")</f>
        <v>82465152</v>
      </c>
      <c r="F2271" s="9" t="s">
        <v>6233</v>
      </c>
      <c r="G2271" s="9" t="s">
        <v>6056</v>
      </c>
      <c r="H2271" s="9" t="s">
        <v>6234</v>
      </c>
      <c r="I2271" s="10">
        <v>45636</v>
      </c>
    </row>
    <row r="2272" spans="1:9" x14ac:dyDescent="0.15">
      <c r="A2272" s="9">
        <v>2271</v>
      </c>
      <c r="B2272" s="9" t="s">
        <v>9</v>
      </c>
      <c r="C2272" s="9">
        <v>1926</v>
      </c>
      <c r="D2272" s="10">
        <v>45722</v>
      </c>
      <c r="E2272" s="11" t="str">
        <f>+HYPERLINK("http://trademark.i-assist.jp/data/china/image_1926th/82465549.pdf","82465549")</f>
        <v>82465549</v>
      </c>
      <c r="F2272" s="9" t="s">
        <v>6235</v>
      </c>
      <c r="G2272" s="9" t="s">
        <v>6236</v>
      </c>
      <c r="H2272" s="9" t="s">
        <v>6237</v>
      </c>
      <c r="I2272" s="10">
        <v>45636</v>
      </c>
    </row>
    <row r="2273" spans="1:9" x14ac:dyDescent="0.15">
      <c r="A2273" s="9">
        <v>2272</v>
      </c>
      <c r="B2273" s="9" t="s">
        <v>9</v>
      </c>
      <c r="C2273" s="9">
        <v>1926</v>
      </c>
      <c r="D2273" s="10">
        <v>45722</v>
      </c>
      <c r="E2273" s="11" t="str">
        <f>+HYPERLINK("http://trademark.i-assist.jp/data/china/image_1926th/82465558.pdf","82465558")</f>
        <v>82465558</v>
      </c>
      <c r="F2273" s="12" t="s">
        <v>6238</v>
      </c>
      <c r="G2273" s="9" t="s">
        <v>6239</v>
      </c>
      <c r="H2273" s="9" t="s">
        <v>6240</v>
      </c>
      <c r="I2273" s="10">
        <v>45636</v>
      </c>
    </row>
    <row r="2274" spans="1:9" x14ac:dyDescent="0.15">
      <c r="A2274" s="9">
        <v>2273</v>
      </c>
      <c r="B2274" s="9" t="s">
        <v>9</v>
      </c>
      <c r="C2274" s="9">
        <v>1926</v>
      </c>
      <c r="D2274" s="10">
        <v>45722</v>
      </c>
      <c r="E2274" s="11" t="str">
        <f>+HYPERLINK("http://trademark.i-assist.jp/data/china/image_1926th/82465662.pdf","82465662")</f>
        <v>82465662</v>
      </c>
      <c r="F2274" s="9" t="s">
        <v>6241</v>
      </c>
      <c r="G2274" s="12" t="s">
        <v>6242</v>
      </c>
      <c r="H2274" s="9" t="s">
        <v>6243</v>
      </c>
      <c r="I2274" s="10">
        <v>45636</v>
      </c>
    </row>
    <row r="2275" spans="1:9" x14ac:dyDescent="0.15">
      <c r="A2275" s="9">
        <v>2274</v>
      </c>
      <c r="B2275" s="9" t="s">
        <v>9</v>
      </c>
      <c r="C2275" s="9">
        <v>1926</v>
      </c>
      <c r="D2275" s="10">
        <v>45722</v>
      </c>
      <c r="E2275" s="11" t="str">
        <f>+HYPERLINK("http://trademark.i-assist.jp/data/china/image_1926th/82466009.pdf","82466009")</f>
        <v>82466009</v>
      </c>
      <c r="F2275" s="9" t="s">
        <v>6244</v>
      </c>
      <c r="G2275" s="9" t="s">
        <v>119</v>
      </c>
      <c r="H2275" s="12" t="s">
        <v>6245</v>
      </c>
      <c r="I2275" s="10">
        <v>45636</v>
      </c>
    </row>
    <row r="2276" spans="1:9" x14ac:dyDescent="0.15">
      <c r="A2276" s="9">
        <v>2275</v>
      </c>
      <c r="B2276" s="9" t="s">
        <v>9</v>
      </c>
      <c r="C2276" s="9">
        <v>1926</v>
      </c>
      <c r="D2276" s="10">
        <v>45722</v>
      </c>
      <c r="E2276" s="11" t="str">
        <f>+HYPERLINK("http://trademark.i-assist.jp/data/china/image_1926th/82466239.pdf","82466239")</f>
        <v>82466239</v>
      </c>
      <c r="F2276" s="9" t="s">
        <v>6246</v>
      </c>
      <c r="G2276" s="9" t="s">
        <v>6247</v>
      </c>
      <c r="H2276" s="12" t="s">
        <v>6248</v>
      </c>
      <c r="I2276" s="10">
        <v>45636</v>
      </c>
    </row>
    <row r="2277" spans="1:9" x14ac:dyDescent="0.15">
      <c r="A2277" s="9">
        <v>2276</v>
      </c>
      <c r="B2277" s="9" t="s">
        <v>9</v>
      </c>
      <c r="C2277" s="9">
        <v>1926</v>
      </c>
      <c r="D2277" s="10">
        <v>45722</v>
      </c>
      <c r="E2277" s="11" t="str">
        <f>+HYPERLINK("http://trademark.i-assist.jp/data/china/image_1926th/82466814.pdf","82466814")</f>
        <v>82466814</v>
      </c>
      <c r="F2277" s="12" t="s">
        <v>20</v>
      </c>
      <c r="G2277" s="9" t="s">
        <v>6249</v>
      </c>
      <c r="H2277" s="9" t="s">
        <v>10</v>
      </c>
      <c r="I2277" s="10">
        <v>45636</v>
      </c>
    </row>
    <row r="2278" spans="1:9" x14ac:dyDescent="0.15">
      <c r="A2278" s="9">
        <v>2277</v>
      </c>
      <c r="B2278" s="9" t="s">
        <v>9</v>
      </c>
      <c r="C2278" s="9">
        <v>1926</v>
      </c>
      <c r="D2278" s="10">
        <v>45722</v>
      </c>
      <c r="E2278" s="11" t="str">
        <f>+HYPERLINK("http://trademark.i-assist.jp/data/china/image_1926th/82466859.pdf","82466859")</f>
        <v>82466859</v>
      </c>
      <c r="F2278" s="9" t="s">
        <v>6250</v>
      </c>
      <c r="G2278" s="9" t="s">
        <v>140</v>
      </c>
      <c r="H2278" s="9" t="s">
        <v>6251</v>
      </c>
      <c r="I2278" s="10">
        <v>45636</v>
      </c>
    </row>
    <row r="2279" spans="1:9" x14ac:dyDescent="0.15">
      <c r="A2279" s="9">
        <v>2278</v>
      </c>
      <c r="B2279" s="9" t="s">
        <v>9</v>
      </c>
      <c r="C2279" s="9">
        <v>1926</v>
      </c>
      <c r="D2279" s="10">
        <v>45722</v>
      </c>
      <c r="E2279" s="11" t="str">
        <f>+HYPERLINK("http://trademark.i-assist.jp/data/china/image_1926th/82466869.pdf","82466869")</f>
        <v>82466869</v>
      </c>
      <c r="F2279" s="9" t="s">
        <v>6252</v>
      </c>
      <c r="G2279" s="12" t="s">
        <v>6253</v>
      </c>
      <c r="H2279" s="9" t="s">
        <v>6254</v>
      </c>
      <c r="I2279" s="10">
        <v>45636</v>
      </c>
    </row>
    <row r="2280" spans="1:9" x14ac:dyDescent="0.15">
      <c r="A2280" s="9">
        <v>2279</v>
      </c>
      <c r="B2280" s="9" t="s">
        <v>9</v>
      </c>
      <c r="C2280" s="9">
        <v>1926</v>
      </c>
      <c r="D2280" s="10">
        <v>45722</v>
      </c>
      <c r="E2280" s="11" t="str">
        <f>+HYPERLINK("http://trademark.i-assist.jp/data/china/image_1926th/82467064.pdf","82467064")</f>
        <v>82467064</v>
      </c>
      <c r="F2280" s="9" t="s">
        <v>6255</v>
      </c>
      <c r="G2280" s="9" t="s">
        <v>6256</v>
      </c>
      <c r="H2280" s="9" t="s">
        <v>6257</v>
      </c>
      <c r="I2280" s="10">
        <v>45636</v>
      </c>
    </row>
    <row r="2281" spans="1:9" x14ac:dyDescent="0.15">
      <c r="A2281" s="9">
        <v>2280</v>
      </c>
      <c r="B2281" s="9" t="s">
        <v>9</v>
      </c>
      <c r="C2281" s="9">
        <v>1926</v>
      </c>
      <c r="D2281" s="10">
        <v>45722</v>
      </c>
      <c r="E2281" s="11" t="str">
        <f>+HYPERLINK("http://trademark.i-assist.jp/data/china/image_1926th/82467066.pdf","82467066")</f>
        <v>82467066</v>
      </c>
      <c r="F2281" s="9" t="s">
        <v>6258</v>
      </c>
      <c r="G2281" s="9" t="s">
        <v>6259</v>
      </c>
      <c r="H2281" s="9" t="s">
        <v>6260</v>
      </c>
      <c r="I2281" s="10">
        <v>45636</v>
      </c>
    </row>
    <row r="2282" spans="1:9" x14ac:dyDescent="0.15">
      <c r="A2282" s="9">
        <v>2281</v>
      </c>
      <c r="B2282" s="9" t="s">
        <v>9</v>
      </c>
      <c r="C2282" s="9">
        <v>1926</v>
      </c>
      <c r="D2282" s="10">
        <v>45722</v>
      </c>
      <c r="E2282" s="11" t="str">
        <f>+HYPERLINK("http://trademark.i-assist.jp/data/china/image_1926th/82467353.pdf","82467353")</f>
        <v>82467353</v>
      </c>
      <c r="F2282" s="12" t="s">
        <v>6261</v>
      </c>
      <c r="G2282" s="12" t="s">
        <v>6262</v>
      </c>
      <c r="H2282" s="9" t="s">
        <v>6263</v>
      </c>
      <c r="I2282" s="10">
        <v>45636</v>
      </c>
    </row>
    <row r="2283" spans="1:9" x14ac:dyDescent="0.15">
      <c r="A2283" s="9">
        <v>2282</v>
      </c>
      <c r="B2283" s="9" t="s">
        <v>9</v>
      </c>
      <c r="C2283" s="9">
        <v>1926</v>
      </c>
      <c r="D2283" s="10">
        <v>45722</v>
      </c>
      <c r="E2283" s="11" t="str">
        <f>+HYPERLINK("http://trademark.i-assist.jp/data/china/image_1926th/82467408.pdf","82467408")</f>
        <v>82467408</v>
      </c>
      <c r="F2283" s="9" t="s">
        <v>6264</v>
      </c>
      <c r="G2283" s="12" t="s">
        <v>6265</v>
      </c>
      <c r="H2283" s="9" t="s">
        <v>6266</v>
      </c>
      <c r="I2283" s="10">
        <v>45636</v>
      </c>
    </row>
    <row r="2284" spans="1:9" x14ac:dyDescent="0.15">
      <c r="A2284" s="9">
        <v>2283</v>
      </c>
      <c r="B2284" s="9" t="s">
        <v>9</v>
      </c>
      <c r="C2284" s="9">
        <v>1926</v>
      </c>
      <c r="D2284" s="10">
        <v>45722</v>
      </c>
      <c r="E2284" s="11" t="str">
        <f>+HYPERLINK("http://trademark.i-assist.jp/data/china/image_1926th/82467778.pdf","82467778")</f>
        <v>82467778</v>
      </c>
      <c r="F2284" s="9" t="s">
        <v>6267</v>
      </c>
      <c r="G2284" s="9" t="s">
        <v>169</v>
      </c>
      <c r="H2284" s="9" t="s">
        <v>6268</v>
      </c>
      <c r="I2284" s="10">
        <v>45636</v>
      </c>
    </row>
    <row r="2285" spans="1:9" x14ac:dyDescent="0.15">
      <c r="A2285" s="9">
        <v>2284</v>
      </c>
      <c r="B2285" s="9" t="s">
        <v>9</v>
      </c>
      <c r="C2285" s="9">
        <v>1926</v>
      </c>
      <c r="D2285" s="10">
        <v>45722</v>
      </c>
      <c r="E2285" s="11" t="str">
        <f>+HYPERLINK("http://trademark.i-assist.jp/data/china/image_1926th/82467785.pdf","82467785")</f>
        <v>82467785</v>
      </c>
      <c r="F2285" s="9" t="s">
        <v>6269</v>
      </c>
      <c r="G2285" s="12" t="s">
        <v>203</v>
      </c>
      <c r="H2285" s="9" t="s">
        <v>6270</v>
      </c>
      <c r="I2285" s="10">
        <v>45636</v>
      </c>
    </row>
    <row r="2286" spans="1:9" x14ac:dyDescent="0.15">
      <c r="A2286" s="9">
        <v>2285</v>
      </c>
      <c r="B2286" s="9" t="s">
        <v>9</v>
      </c>
      <c r="C2286" s="9">
        <v>1926</v>
      </c>
      <c r="D2286" s="10">
        <v>45722</v>
      </c>
      <c r="E2286" s="11" t="str">
        <f>+HYPERLINK("http://trademark.i-assist.jp/data/china/image_1926th/82467792.pdf","82467792")</f>
        <v>82467792</v>
      </c>
      <c r="F2286" s="9" t="s">
        <v>6271</v>
      </c>
      <c r="G2286" s="9" t="s">
        <v>6272</v>
      </c>
      <c r="H2286" s="9" t="s">
        <v>6273</v>
      </c>
      <c r="I2286" s="10">
        <v>45636</v>
      </c>
    </row>
    <row r="2287" spans="1:9" x14ac:dyDescent="0.15">
      <c r="A2287" s="9">
        <v>2286</v>
      </c>
      <c r="B2287" s="9" t="s">
        <v>9</v>
      </c>
      <c r="C2287" s="9">
        <v>1926</v>
      </c>
      <c r="D2287" s="10">
        <v>45722</v>
      </c>
      <c r="E2287" s="11" t="str">
        <f>+HYPERLINK("http://trademark.i-assist.jp/data/china/image_1926th/82468099.pdf","82468099")</f>
        <v>82468099</v>
      </c>
      <c r="F2287" s="9" t="s">
        <v>6274</v>
      </c>
      <c r="G2287" s="9" t="s">
        <v>6173</v>
      </c>
      <c r="H2287" s="9" t="s">
        <v>6275</v>
      </c>
      <c r="I2287" s="10">
        <v>45636</v>
      </c>
    </row>
    <row r="2288" spans="1:9" x14ac:dyDescent="0.15">
      <c r="A2288" s="9">
        <v>2287</v>
      </c>
      <c r="B2288" s="9" t="s">
        <v>9</v>
      </c>
      <c r="C2288" s="9">
        <v>1926</v>
      </c>
      <c r="D2288" s="10">
        <v>45722</v>
      </c>
      <c r="E2288" s="11" t="str">
        <f>+HYPERLINK("http://trademark.i-assist.jp/data/china/image_1926th/82468111.pdf","82468111")</f>
        <v>82468111</v>
      </c>
      <c r="F2288" s="12" t="s">
        <v>6276</v>
      </c>
      <c r="G2288" s="9" t="s">
        <v>6277</v>
      </c>
      <c r="H2288" s="9" t="s">
        <v>6278</v>
      </c>
      <c r="I2288" s="10">
        <v>45636</v>
      </c>
    </row>
    <row r="2289" spans="1:9" x14ac:dyDescent="0.15">
      <c r="A2289" s="9">
        <v>2288</v>
      </c>
      <c r="B2289" s="9" t="s">
        <v>9</v>
      </c>
      <c r="C2289" s="9">
        <v>1926</v>
      </c>
      <c r="D2289" s="10">
        <v>45722</v>
      </c>
      <c r="E2289" s="11" t="str">
        <f>+HYPERLINK("http://trademark.i-assist.jp/data/china/image_1926th/82468297.pdf","82468297")</f>
        <v>82468297</v>
      </c>
      <c r="F2289" s="9" t="s">
        <v>6279</v>
      </c>
      <c r="G2289" s="9" t="s">
        <v>6280</v>
      </c>
      <c r="H2289" s="9" t="s">
        <v>6281</v>
      </c>
      <c r="I2289" s="10">
        <v>45636</v>
      </c>
    </row>
    <row r="2290" spans="1:9" x14ac:dyDescent="0.15">
      <c r="A2290" s="9">
        <v>2289</v>
      </c>
      <c r="B2290" s="9" t="s">
        <v>9</v>
      </c>
      <c r="C2290" s="9">
        <v>1926</v>
      </c>
      <c r="D2290" s="10">
        <v>45722</v>
      </c>
      <c r="E2290" s="11" t="str">
        <f>+HYPERLINK("http://trademark.i-assist.jp/data/china/image_1926th/82468337.pdf","82468337")</f>
        <v>82468337</v>
      </c>
      <c r="F2290" s="9" t="s">
        <v>6282</v>
      </c>
      <c r="G2290" s="9" t="s">
        <v>6181</v>
      </c>
      <c r="H2290" s="9" t="s">
        <v>6283</v>
      </c>
      <c r="I2290" s="10">
        <v>45636</v>
      </c>
    </row>
    <row r="2291" spans="1:9" x14ac:dyDescent="0.15">
      <c r="A2291" s="9">
        <v>2290</v>
      </c>
      <c r="B2291" s="9" t="s">
        <v>9</v>
      </c>
      <c r="C2291" s="9">
        <v>1926</v>
      </c>
      <c r="D2291" s="10">
        <v>45722</v>
      </c>
      <c r="E2291" s="11" t="str">
        <f>+HYPERLINK("http://trademark.i-assist.jp/data/china/image_1926th/82468446.pdf","82468446")</f>
        <v>82468446</v>
      </c>
      <c r="F2291" s="9" t="s">
        <v>6284</v>
      </c>
      <c r="G2291" s="12" t="s">
        <v>6044</v>
      </c>
      <c r="H2291" s="12" t="s">
        <v>6285</v>
      </c>
      <c r="I2291" s="10">
        <v>45636</v>
      </c>
    </row>
    <row r="2292" spans="1:9" x14ac:dyDescent="0.15">
      <c r="A2292" s="9">
        <v>2291</v>
      </c>
      <c r="B2292" s="9" t="s">
        <v>9</v>
      </c>
      <c r="C2292" s="9">
        <v>1926</v>
      </c>
      <c r="D2292" s="10">
        <v>45722</v>
      </c>
      <c r="E2292" s="11" t="str">
        <f>+HYPERLINK("http://trademark.i-assist.jp/data/china/image_1926th/82468886.pdf","82468886")</f>
        <v>82468886</v>
      </c>
      <c r="F2292" s="9" t="s">
        <v>6286</v>
      </c>
      <c r="G2292" s="12" t="s">
        <v>6287</v>
      </c>
      <c r="H2292" s="12" t="s">
        <v>6288</v>
      </c>
      <c r="I2292" s="10">
        <v>45636</v>
      </c>
    </row>
    <row r="2293" spans="1:9" x14ac:dyDescent="0.15">
      <c r="A2293" s="9">
        <v>2292</v>
      </c>
      <c r="B2293" s="9" t="s">
        <v>9</v>
      </c>
      <c r="C2293" s="9">
        <v>1926</v>
      </c>
      <c r="D2293" s="10">
        <v>45722</v>
      </c>
      <c r="E2293" s="11" t="str">
        <f>+HYPERLINK("http://trademark.i-assist.jp/data/china/image_1926th/82469061.pdf","82469061")</f>
        <v>82469061</v>
      </c>
      <c r="F2293" s="9" t="s">
        <v>6289</v>
      </c>
      <c r="G2293" s="9" t="s">
        <v>6290</v>
      </c>
      <c r="H2293" s="9" t="s">
        <v>6291</v>
      </c>
      <c r="I2293" s="10">
        <v>45636</v>
      </c>
    </row>
    <row r="2294" spans="1:9" x14ac:dyDescent="0.15">
      <c r="A2294" s="9">
        <v>2293</v>
      </c>
      <c r="B2294" s="9" t="s">
        <v>9</v>
      </c>
      <c r="C2294" s="9">
        <v>1926</v>
      </c>
      <c r="D2294" s="10">
        <v>45722</v>
      </c>
      <c r="E2294" s="11" t="str">
        <f>+HYPERLINK("http://trademark.i-assist.jp/data/china/image_1926th/82469187.pdf","82469187")</f>
        <v>82469187</v>
      </c>
      <c r="F2294" s="9" t="s">
        <v>6292</v>
      </c>
      <c r="G2294" s="9" t="s">
        <v>6293</v>
      </c>
      <c r="H2294" s="9" t="s">
        <v>6294</v>
      </c>
      <c r="I2294" s="10">
        <v>45636</v>
      </c>
    </row>
    <row r="2295" spans="1:9" x14ac:dyDescent="0.15">
      <c r="A2295" s="9">
        <v>2294</v>
      </c>
      <c r="B2295" s="9" t="s">
        <v>9</v>
      </c>
      <c r="C2295" s="9">
        <v>1926</v>
      </c>
      <c r="D2295" s="10">
        <v>45722</v>
      </c>
      <c r="E2295" s="11" t="str">
        <f>+HYPERLINK("http://trademark.i-assist.jp/data/china/image_1926th/82469203.pdf","82469203")</f>
        <v>82469203</v>
      </c>
      <c r="F2295" s="9" t="s">
        <v>6295</v>
      </c>
      <c r="G2295" s="12" t="s">
        <v>6296</v>
      </c>
      <c r="H2295" s="9" t="s">
        <v>6297</v>
      </c>
      <c r="I2295" s="10">
        <v>45636</v>
      </c>
    </row>
    <row r="2296" spans="1:9" x14ac:dyDescent="0.15">
      <c r="A2296" s="9">
        <v>2295</v>
      </c>
      <c r="B2296" s="9" t="s">
        <v>9</v>
      </c>
      <c r="C2296" s="9">
        <v>1926</v>
      </c>
      <c r="D2296" s="10">
        <v>45722</v>
      </c>
      <c r="E2296" s="11" t="str">
        <f>+HYPERLINK("http://trademark.i-assist.jp/data/china/image_1926th/82469387.pdf","82469387")</f>
        <v>82469387</v>
      </c>
      <c r="F2296" s="12" t="s">
        <v>6298</v>
      </c>
      <c r="G2296" s="9" t="s">
        <v>6299</v>
      </c>
      <c r="H2296" s="9" t="s">
        <v>6300</v>
      </c>
      <c r="I2296" s="10">
        <v>45636</v>
      </c>
    </row>
    <row r="2297" spans="1:9" x14ac:dyDescent="0.15">
      <c r="A2297" s="9">
        <v>2296</v>
      </c>
      <c r="B2297" s="9" t="s">
        <v>9</v>
      </c>
      <c r="C2297" s="9">
        <v>1926</v>
      </c>
      <c r="D2297" s="10">
        <v>45722</v>
      </c>
      <c r="E2297" s="11" t="str">
        <f>+HYPERLINK("http://trademark.i-assist.jp/data/china/image_1926th/82469808.pdf","82469808")</f>
        <v>82469808</v>
      </c>
      <c r="F2297" s="9" t="s">
        <v>6301</v>
      </c>
      <c r="G2297" s="9" t="s">
        <v>6302</v>
      </c>
      <c r="H2297" s="9" t="s">
        <v>6303</v>
      </c>
      <c r="I2297" s="10">
        <v>45636</v>
      </c>
    </row>
    <row r="2298" spans="1:9" x14ac:dyDescent="0.15">
      <c r="A2298" s="9">
        <v>2297</v>
      </c>
      <c r="B2298" s="9" t="s">
        <v>9</v>
      </c>
      <c r="C2298" s="9">
        <v>1926</v>
      </c>
      <c r="D2298" s="10">
        <v>45722</v>
      </c>
      <c r="E2298" s="11" t="str">
        <f>+HYPERLINK("http://trademark.i-assist.jp/data/china/image_1926th/82470139.pdf","82470139")</f>
        <v>82470139</v>
      </c>
      <c r="F2298" s="12" t="s">
        <v>6304</v>
      </c>
      <c r="G2298" s="9" t="s">
        <v>6305</v>
      </c>
      <c r="H2298" s="12" t="s">
        <v>6306</v>
      </c>
      <c r="I2298" s="10">
        <v>45636</v>
      </c>
    </row>
    <row r="2299" spans="1:9" x14ac:dyDescent="0.15">
      <c r="A2299" s="9">
        <v>2298</v>
      </c>
      <c r="B2299" s="9" t="s">
        <v>9</v>
      </c>
      <c r="C2299" s="9">
        <v>1926</v>
      </c>
      <c r="D2299" s="10">
        <v>45722</v>
      </c>
      <c r="E2299" s="11" t="str">
        <f>+HYPERLINK("http://trademark.i-assist.jp/data/china/image_1926th/82470249.pdf","82470249")</f>
        <v>82470249</v>
      </c>
      <c r="F2299" s="9" t="s">
        <v>6307</v>
      </c>
      <c r="G2299" s="9" t="s">
        <v>6308</v>
      </c>
      <c r="H2299" s="9" t="s">
        <v>6309</v>
      </c>
      <c r="I2299" s="10">
        <v>45636</v>
      </c>
    </row>
    <row r="2300" spans="1:9" x14ac:dyDescent="0.15">
      <c r="A2300" s="9">
        <v>2299</v>
      </c>
      <c r="B2300" s="9" t="s">
        <v>9</v>
      </c>
      <c r="C2300" s="9">
        <v>1926</v>
      </c>
      <c r="D2300" s="10">
        <v>45722</v>
      </c>
      <c r="E2300" s="11" t="str">
        <f>+HYPERLINK("http://trademark.i-assist.jp/data/china/image_1926th/82470620.pdf","82470620")</f>
        <v>82470620</v>
      </c>
      <c r="F2300" s="9" t="s">
        <v>6310</v>
      </c>
      <c r="G2300" s="9" t="s">
        <v>6311</v>
      </c>
      <c r="H2300" s="9" t="s">
        <v>6312</v>
      </c>
      <c r="I2300" s="10">
        <v>45636</v>
      </c>
    </row>
    <row r="2301" spans="1:9" x14ac:dyDescent="0.15">
      <c r="A2301" s="9">
        <v>2300</v>
      </c>
      <c r="B2301" s="9" t="s">
        <v>9</v>
      </c>
      <c r="C2301" s="9">
        <v>1926</v>
      </c>
      <c r="D2301" s="10">
        <v>45722</v>
      </c>
      <c r="E2301" s="11" t="str">
        <f>+HYPERLINK("http://trademark.i-assist.jp/data/china/image_1926th/82470689.pdf","82470689")</f>
        <v>82470689</v>
      </c>
      <c r="F2301" s="9" t="s">
        <v>6313</v>
      </c>
      <c r="G2301" s="9" t="s">
        <v>6314</v>
      </c>
      <c r="H2301" s="9" t="s">
        <v>6315</v>
      </c>
      <c r="I2301" s="10">
        <v>45636</v>
      </c>
    </row>
    <row r="2302" spans="1:9" x14ac:dyDescent="0.15">
      <c r="A2302" s="9">
        <v>2301</v>
      </c>
      <c r="B2302" s="9" t="s">
        <v>9</v>
      </c>
      <c r="C2302" s="9">
        <v>1926</v>
      </c>
      <c r="D2302" s="10">
        <v>45722</v>
      </c>
      <c r="E2302" s="11" t="str">
        <f>+HYPERLINK("http://trademark.i-assist.jp/data/china/image_1926th/82470754.pdf","82470754")</f>
        <v>82470754</v>
      </c>
      <c r="F2302" s="12" t="s">
        <v>6316</v>
      </c>
      <c r="G2302" s="9" t="s">
        <v>6299</v>
      </c>
      <c r="H2302" s="9" t="s">
        <v>6317</v>
      </c>
      <c r="I2302" s="10">
        <v>45636</v>
      </c>
    </row>
    <row r="2303" spans="1:9" x14ac:dyDescent="0.15">
      <c r="A2303" s="9">
        <v>2302</v>
      </c>
      <c r="B2303" s="9" t="s">
        <v>9</v>
      </c>
      <c r="C2303" s="9">
        <v>1926</v>
      </c>
      <c r="D2303" s="10">
        <v>45722</v>
      </c>
      <c r="E2303" s="11" t="str">
        <f>+HYPERLINK("http://trademark.i-assist.jp/data/china/image_1926th/82470769.pdf","82470769")</f>
        <v>82470769</v>
      </c>
      <c r="F2303" s="9" t="s">
        <v>6318</v>
      </c>
      <c r="G2303" s="9" t="s">
        <v>14</v>
      </c>
      <c r="H2303" s="9" t="s">
        <v>6319</v>
      </c>
      <c r="I2303" s="10">
        <v>45636</v>
      </c>
    </row>
    <row r="2304" spans="1:9" x14ac:dyDescent="0.15">
      <c r="A2304" s="9">
        <v>2303</v>
      </c>
      <c r="B2304" s="9" t="s">
        <v>9</v>
      </c>
      <c r="C2304" s="9">
        <v>1926</v>
      </c>
      <c r="D2304" s="10">
        <v>45722</v>
      </c>
      <c r="E2304" s="11" t="str">
        <f>+HYPERLINK("http://trademark.i-assist.jp/data/china/image_1926th/82470895.pdf","82470895")</f>
        <v>82470895</v>
      </c>
      <c r="F2304" s="9" t="s">
        <v>6320</v>
      </c>
      <c r="G2304" s="9" t="s">
        <v>140</v>
      </c>
      <c r="H2304" s="9" t="s">
        <v>6321</v>
      </c>
      <c r="I2304" s="10">
        <v>45636</v>
      </c>
    </row>
    <row r="2305" spans="1:9" x14ac:dyDescent="0.15">
      <c r="A2305" s="9">
        <v>2304</v>
      </c>
      <c r="B2305" s="9" t="s">
        <v>9</v>
      </c>
      <c r="C2305" s="9">
        <v>1926</v>
      </c>
      <c r="D2305" s="10">
        <v>45722</v>
      </c>
      <c r="E2305" s="11" t="str">
        <f>+HYPERLINK("http://trademark.i-assist.jp/data/china/image_1926th/82471145.pdf","82471145")</f>
        <v>82471145</v>
      </c>
      <c r="F2305" s="9" t="s">
        <v>6322</v>
      </c>
      <c r="G2305" s="12" t="s">
        <v>6323</v>
      </c>
      <c r="H2305" s="9" t="s">
        <v>6324</v>
      </c>
      <c r="I2305" s="10">
        <v>45636</v>
      </c>
    </row>
    <row r="2306" spans="1:9" x14ac:dyDescent="0.15">
      <c r="A2306" s="9">
        <v>2305</v>
      </c>
      <c r="B2306" s="9" t="s">
        <v>9</v>
      </c>
      <c r="C2306" s="9">
        <v>1926</v>
      </c>
      <c r="D2306" s="10">
        <v>45722</v>
      </c>
      <c r="E2306" s="11" t="str">
        <f>+HYPERLINK("http://trademark.i-assist.jp/data/china/image_1926th/82471249.pdf","82471249")</f>
        <v>82471249</v>
      </c>
      <c r="F2306" s="12" t="s">
        <v>6325</v>
      </c>
      <c r="G2306" s="12" t="s">
        <v>6326</v>
      </c>
      <c r="H2306" s="9" t="s">
        <v>6327</v>
      </c>
      <c r="I2306" s="10">
        <v>45636</v>
      </c>
    </row>
    <row r="2307" spans="1:9" x14ac:dyDescent="0.15">
      <c r="A2307" s="9">
        <v>2306</v>
      </c>
      <c r="B2307" s="9" t="s">
        <v>9</v>
      </c>
      <c r="C2307" s="9">
        <v>1926</v>
      </c>
      <c r="D2307" s="10">
        <v>45722</v>
      </c>
      <c r="E2307" s="11" t="str">
        <f>+HYPERLINK("http://trademark.i-assist.jp/data/china/image_1926th/82471638.pdf","82471638")</f>
        <v>82471638</v>
      </c>
      <c r="F2307" s="9" t="s">
        <v>6328</v>
      </c>
      <c r="G2307" s="9" t="s">
        <v>3915</v>
      </c>
      <c r="H2307" s="9" t="s">
        <v>6329</v>
      </c>
      <c r="I2307" s="10">
        <v>45636</v>
      </c>
    </row>
    <row r="2308" spans="1:9" x14ac:dyDescent="0.15">
      <c r="A2308" s="9">
        <v>2307</v>
      </c>
      <c r="B2308" s="9" t="s">
        <v>9</v>
      </c>
      <c r="C2308" s="9">
        <v>1926</v>
      </c>
      <c r="D2308" s="10">
        <v>45722</v>
      </c>
      <c r="E2308" s="11" t="str">
        <f>+HYPERLINK("http://trademark.i-assist.jp/data/china/image_1926th/82471705.pdf","82471705")</f>
        <v>82471705</v>
      </c>
      <c r="F2308" s="12" t="s">
        <v>6330</v>
      </c>
      <c r="G2308" s="9" t="s">
        <v>6331</v>
      </c>
      <c r="H2308" s="9" t="s">
        <v>6332</v>
      </c>
      <c r="I2308" s="10">
        <v>45636</v>
      </c>
    </row>
    <row r="2309" spans="1:9" x14ac:dyDescent="0.15">
      <c r="A2309" s="9">
        <v>2308</v>
      </c>
      <c r="B2309" s="9" t="s">
        <v>9</v>
      </c>
      <c r="C2309" s="9">
        <v>1926</v>
      </c>
      <c r="D2309" s="10">
        <v>45722</v>
      </c>
      <c r="E2309" s="11" t="str">
        <f>+HYPERLINK("http://trademark.i-assist.jp/data/china/image_1926th/82471724.pdf","82471724")</f>
        <v>82471724</v>
      </c>
      <c r="F2309" s="9" t="s">
        <v>6333</v>
      </c>
      <c r="G2309" s="12" t="s">
        <v>6102</v>
      </c>
      <c r="H2309" s="9" t="s">
        <v>6334</v>
      </c>
      <c r="I2309" s="10">
        <v>45636</v>
      </c>
    </row>
    <row r="2310" spans="1:9" x14ac:dyDescent="0.15">
      <c r="A2310" s="9">
        <v>2309</v>
      </c>
      <c r="B2310" s="9" t="s">
        <v>9</v>
      </c>
      <c r="C2310" s="9">
        <v>1926</v>
      </c>
      <c r="D2310" s="10">
        <v>45722</v>
      </c>
      <c r="E2310" s="11" t="str">
        <f>+HYPERLINK("http://trademark.i-assist.jp/data/china/image_1926th/82471781.pdf","82471781")</f>
        <v>82471781</v>
      </c>
      <c r="F2310" s="12" t="s">
        <v>6335</v>
      </c>
      <c r="G2310" s="12" t="s">
        <v>6336</v>
      </c>
      <c r="H2310" s="9" t="s">
        <v>6337</v>
      </c>
      <c r="I2310" s="10">
        <v>45636</v>
      </c>
    </row>
    <row r="2311" spans="1:9" x14ac:dyDescent="0.15">
      <c r="A2311" s="9">
        <v>2310</v>
      </c>
      <c r="B2311" s="9" t="s">
        <v>9</v>
      </c>
      <c r="C2311" s="9">
        <v>1926</v>
      </c>
      <c r="D2311" s="10">
        <v>45722</v>
      </c>
      <c r="E2311" s="11" t="str">
        <f>+HYPERLINK("http://trademark.i-assist.jp/data/china/image_1926th/82471782.pdf","82471782")</f>
        <v>82471782</v>
      </c>
      <c r="F2311" s="9" t="s">
        <v>6338</v>
      </c>
      <c r="G2311" s="9" t="s">
        <v>6339</v>
      </c>
      <c r="H2311" s="9" t="s">
        <v>6340</v>
      </c>
      <c r="I2311" s="10">
        <v>45636</v>
      </c>
    </row>
    <row r="2312" spans="1:9" x14ac:dyDescent="0.15">
      <c r="A2312" s="9">
        <v>2311</v>
      </c>
      <c r="B2312" s="9" t="s">
        <v>9</v>
      </c>
      <c r="C2312" s="9">
        <v>1926</v>
      </c>
      <c r="D2312" s="10">
        <v>45722</v>
      </c>
      <c r="E2312" s="11" t="str">
        <f>+HYPERLINK("http://trademark.i-assist.jp/data/china/image_1926th/82471787.pdf","82471787")</f>
        <v>82471787</v>
      </c>
      <c r="F2312" s="9" t="s">
        <v>6341</v>
      </c>
      <c r="G2312" s="12" t="s">
        <v>6342</v>
      </c>
      <c r="H2312" s="9" t="s">
        <v>6343</v>
      </c>
      <c r="I2312" s="10">
        <v>45636</v>
      </c>
    </row>
    <row r="2313" spans="1:9" x14ac:dyDescent="0.15">
      <c r="A2313" s="9">
        <v>2312</v>
      </c>
      <c r="B2313" s="9" t="s">
        <v>9</v>
      </c>
      <c r="C2313" s="9">
        <v>1926</v>
      </c>
      <c r="D2313" s="10">
        <v>45722</v>
      </c>
      <c r="E2313" s="11" t="str">
        <f>+HYPERLINK("http://trademark.i-assist.jp/data/china/image_1926th/82471789.pdf","82471789")</f>
        <v>82471789</v>
      </c>
      <c r="F2313" s="9" t="s">
        <v>6344</v>
      </c>
      <c r="G2313" s="9" t="s">
        <v>6056</v>
      </c>
      <c r="H2313" s="9" t="s">
        <v>6345</v>
      </c>
      <c r="I2313" s="10">
        <v>45636</v>
      </c>
    </row>
    <row r="2314" spans="1:9" x14ac:dyDescent="0.15">
      <c r="A2314" s="9">
        <v>2313</v>
      </c>
      <c r="B2314" s="9" t="s">
        <v>9</v>
      </c>
      <c r="C2314" s="9">
        <v>1926</v>
      </c>
      <c r="D2314" s="10">
        <v>45722</v>
      </c>
      <c r="E2314" s="11" t="str">
        <f>+HYPERLINK("http://trademark.i-assist.jp/data/china/image_1926th/82471860.pdf","82471860")</f>
        <v>82471860</v>
      </c>
      <c r="F2314" s="12" t="s">
        <v>6346</v>
      </c>
      <c r="G2314" s="9" t="s">
        <v>6181</v>
      </c>
      <c r="H2314" s="9" t="s">
        <v>6347</v>
      </c>
      <c r="I2314" s="10">
        <v>45636</v>
      </c>
    </row>
    <row r="2315" spans="1:9" x14ac:dyDescent="0.15">
      <c r="A2315" s="9">
        <v>2314</v>
      </c>
      <c r="B2315" s="9" t="s">
        <v>9</v>
      </c>
      <c r="C2315" s="9">
        <v>1926</v>
      </c>
      <c r="D2315" s="10">
        <v>45722</v>
      </c>
      <c r="E2315" s="11" t="str">
        <f>+HYPERLINK("http://trademark.i-assist.jp/data/china/image_1926th/82471954.pdf","82471954")</f>
        <v>82471954</v>
      </c>
      <c r="F2315" s="9" t="s">
        <v>6348</v>
      </c>
      <c r="G2315" s="9" t="s">
        <v>119</v>
      </c>
      <c r="H2315" s="9" t="s">
        <v>6349</v>
      </c>
      <c r="I2315" s="10">
        <v>45636</v>
      </c>
    </row>
    <row r="2316" spans="1:9" x14ac:dyDescent="0.15">
      <c r="A2316" s="9">
        <v>2315</v>
      </c>
      <c r="B2316" s="9" t="s">
        <v>9</v>
      </c>
      <c r="C2316" s="9">
        <v>1926</v>
      </c>
      <c r="D2316" s="10">
        <v>45722</v>
      </c>
      <c r="E2316" s="11" t="str">
        <f>+HYPERLINK("http://trademark.i-assist.jp/data/china/image_1926th/82471989.pdf","82471989")</f>
        <v>82471989</v>
      </c>
      <c r="F2316" s="9" t="s">
        <v>6350</v>
      </c>
      <c r="G2316" s="9" t="s">
        <v>119</v>
      </c>
      <c r="H2316" s="9" t="s">
        <v>6351</v>
      </c>
      <c r="I2316" s="10">
        <v>45636</v>
      </c>
    </row>
    <row r="2317" spans="1:9" x14ac:dyDescent="0.15">
      <c r="A2317" s="9">
        <v>2316</v>
      </c>
      <c r="B2317" s="9" t="s">
        <v>9</v>
      </c>
      <c r="C2317" s="9">
        <v>1926</v>
      </c>
      <c r="D2317" s="10">
        <v>45722</v>
      </c>
      <c r="E2317" s="11" t="str">
        <f>+HYPERLINK("http://trademark.i-assist.jp/data/china/image_1926th/82472005.pdf","82472005")</f>
        <v>82472005</v>
      </c>
      <c r="F2317" s="9" t="s">
        <v>6352</v>
      </c>
      <c r="G2317" s="12" t="s">
        <v>2077</v>
      </c>
      <c r="H2317" s="9" t="s">
        <v>6353</v>
      </c>
      <c r="I2317" s="10">
        <v>45636</v>
      </c>
    </row>
    <row r="2318" spans="1:9" x14ac:dyDescent="0.15">
      <c r="A2318" s="9">
        <v>2317</v>
      </c>
      <c r="B2318" s="9" t="s">
        <v>9</v>
      </c>
      <c r="C2318" s="9">
        <v>1926</v>
      </c>
      <c r="D2318" s="10">
        <v>45722</v>
      </c>
      <c r="E2318" s="11" t="str">
        <f>+HYPERLINK("http://trademark.i-assist.jp/data/china/image_1926th/82472308.pdf","82472308")</f>
        <v>82472308</v>
      </c>
      <c r="F2318" s="9" t="s">
        <v>6354</v>
      </c>
      <c r="G2318" s="9" t="s">
        <v>6355</v>
      </c>
      <c r="H2318" s="9" t="s">
        <v>6356</v>
      </c>
      <c r="I2318" s="10">
        <v>45636</v>
      </c>
    </row>
    <row r="2319" spans="1:9" x14ac:dyDescent="0.15">
      <c r="A2319" s="9">
        <v>2318</v>
      </c>
      <c r="B2319" s="9" t="s">
        <v>9</v>
      </c>
      <c r="C2319" s="9">
        <v>1926</v>
      </c>
      <c r="D2319" s="10">
        <v>45722</v>
      </c>
      <c r="E2319" s="11" t="str">
        <f>+HYPERLINK("http://trademark.i-assist.jp/data/china/image_1926th/82472712.pdf","82472712")</f>
        <v>82472712</v>
      </c>
      <c r="F2319" s="9" t="s">
        <v>6357</v>
      </c>
      <c r="G2319" s="12" t="s">
        <v>6358</v>
      </c>
      <c r="H2319" s="9" t="s">
        <v>6359</v>
      </c>
      <c r="I2319" s="10">
        <v>45636</v>
      </c>
    </row>
    <row r="2320" spans="1:9" x14ac:dyDescent="0.15">
      <c r="A2320" s="9">
        <v>2319</v>
      </c>
      <c r="B2320" s="9" t="s">
        <v>9</v>
      </c>
      <c r="C2320" s="9">
        <v>1926</v>
      </c>
      <c r="D2320" s="10">
        <v>45722</v>
      </c>
      <c r="E2320" s="11" t="str">
        <f>+HYPERLINK("http://trademark.i-assist.jp/data/china/image_1926th/82472875.pdf","82472875")</f>
        <v>82472875</v>
      </c>
      <c r="F2320" s="9" t="s">
        <v>6360</v>
      </c>
      <c r="G2320" s="9" t="s">
        <v>6361</v>
      </c>
      <c r="H2320" s="9" t="s">
        <v>6362</v>
      </c>
      <c r="I2320" s="10">
        <v>45636</v>
      </c>
    </row>
    <row r="2321" spans="1:9" x14ac:dyDescent="0.15">
      <c r="A2321" s="9">
        <v>2320</v>
      </c>
      <c r="B2321" s="9" t="s">
        <v>9</v>
      </c>
      <c r="C2321" s="9">
        <v>1926</v>
      </c>
      <c r="D2321" s="10">
        <v>45722</v>
      </c>
      <c r="E2321" s="11" t="str">
        <f>+HYPERLINK("http://trademark.i-assist.jp/data/china/image_1926th/82472963.pdf","82472963")</f>
        <v>82472963</v>
      </c>
      <c r="F2321" s="12" t="s">
        <v>20</v>
      </c>
      <c r="G2321" s="9" t="s">
        <v>6363</v>
      </c>
      <c r="H2321" s="9" t="s">
        <v>6364</v>
      </c>
      <c r="I2321" s="10">
        <v>45636</v>
      </c>
    </row>
    <row r="2322" spans="1:9" x14ac:dyDescent="0.15">
      <c r="A2322" s="9">
        <v>2321</v>
      </c>
      <c r="B2322" s="9" t="s">
        <v>9</v>
      </c>
      <c r="C2322" s="9">
        <v>1926</v>
      </c>
      <c r="D2322" s="10">
        <v>45722</v>
      </c>
      <c r="E2322" s="11" t="str">
        <f>+HYPERLINK("http://trademark.i-assist.jp/data/china/image_1926th/82473234.pdf","82473234")</f>
        <v>82473234</v>
      </c>
      <c r="F2322" s="9" t="s">
        <v>6365</v>
      </c>
      <c r="G2322" s="9" t="s">
        <v>6366</v>
      </c>
      <c r="H2322" s="9" t="s">
        <v>6367</v>
      </c>
      <c r="I2322" s="10">
        <v>45636</v>
      </c>
    </row>
    <row r="2323" spans="1:9" x14ac:dyDescent="0.15">
      <c r="A2323" s="9">
        <v>2322</v>
      </c>
      <c r="B2323" s="9" t="s">
        <v>9</v>
      </c>
      <c r="C2323" s="9">
        <v>1926</v>
      </c>
      <c r="D2323" s="10">
        <v>45722</v>
      </c>
      <c r="E2323" s="11" t="str">
        <f>+HYPERLINK("http://trademark.i-assist.jp/data/china/image_1926th/82473299.pdf","82473299")</f>
        <v>82473299</v>
      </c>
      <c r="F2323" s="12" t="s">
        <v>6368</v>
      </c>
      <c r="G2323" s="12" t="s">
        <v>192</v>
      </c>
      <c r="H2323" s="12" t="s">
        <v>6369</v>
      </c>
      <c r="I2323" s="10">
        <v>45636</v>
      </c>
    </row>
    <row r="2324" spans="1:9" x14ac:dyDescent="0.15">
      <c r="A2324" s="9">
        <v>2323</v>
      </c>
      <c r="B2324" s="9" t="s">
        <v>9</v>
      </c>
      <c r="C2324" s="9">
        <v>1926</v>
      </c>
      <c r="D2324" s="10">
        <v>45722</v>
      </c>
      <c r="E2324" s="11" t="str">
        <f>+HYPERLINK("http://trademark.i-assist.jp/data/china/image_1926th/82473472.pdf","82473472")</f>
        <v>82473472</v>
      </c>
      <c r="F2324" s="12" t="s">
        <v>6370</v>
      </c>
      <c r="G2324" s="9" t="s">
        <v>6371</v>
      </c>
      <c r="H2324" s="9" t="s">
        <v>6372</v>
      </c>
      <c r="I2324" s="10">
        <v>45636</v>
      </c>
    </row>
    <row r="2325" spans="1:9" x14ac:dyDescent="0.15">
      <c r="A2325" s="9">
        <v>2324</v>
      </c>
      <c r="B2325" s="9" t="s">
        <v>9</v>
      </c>
      <c r="C2325" s="9">
        <v>1926</v>
      </c>
      <c r="D2325" s="10">
        <v>45722</v>
      </c>
      <c r="E2325" s="11" t="str">
        <f>+HYPERLINK("http://trademark.i-assist.jp/data/china/image_1926th/82473864.pdf","82473864")</f>
        <v>82473864</v>
      </c>
      <c r="F2325" s="9" t="s">
        <v>6373</v>
      </c>
      <c r="G2325" s="9" t="s">
        <v>6374</v>
      </c>
      <c r="H2325" s="9" t="s">
        <v>6375</v>
      </c>
      <c r="I2325" s="10">
        <v>45636</v>
      </c>
    </row>
    <row r="2326" spans="1:9" x14ac:dyDescent="0.15">
      <c r="A2326" s="9">
        <v>2325</v>
      </c>
      <c r="B2326" s="9" t="s">
        <v>9</v>
      </c>
      <c r="C2326" s="9">
        <v>1926</v>
      </c>
      <c r="D2326" s="10">
        <v>45722</v>
      </c>
      <c r="E2326" s="11" t="str">
        <f>+HYPERLINK("http://trademark.i-assist.jp/data/china/image_1926th/82474300.pdf","82474300")</f>
        <v>82474300</v>
      </c>
      <c r="F2326" s="12" t="s">
        <v>6376</v>
      </c>
      <c r="G2326" s="12" t="s">
        <v>108</v>
      </c>
      <c r="H2326" s="9" t="s">
        <v>6377</v>
      </c>
      <c r="I2326" s="10">
        <v>45636</v>
      </c>
    </row>
    <row r="2327" spans="1:9" x14ac:dyDescent="0.15">
      <c r="A2327" s="9">
        <v>2326</v>
      </c>
      <c r="B2327" s="9" t="s">
        <v>9</v>
      </c>
      <c r="C2327" s="9">
        <v>1926</v>
      </c>
      <c r="D2327" s="10">
        <v>45722</v>
      </c>
      <c r="E2327" s="11" t="str">
        <f>+HYPERLINK("http://trademark.i-assist.jp/data/china/image_1926th/82474338.pdf","82474338")</f>
        <v>82474338</v>
      </c>
      <c r="F2327" s="9" t="s">
        <v>6378</v>
      </c>
      <c r="G2327" s="9" t="s">
        <v>6379</v>
      </c>
      <c r="H2327" s="9" t="s">
        <v>6380</v>
      </c>
      <c r="I2327" s="10">
        <v>45636</v>
      </c>
    </row>
    <row r="2328" spans="1:9" x14ac:dyDescent="0.15">
      <c r="A2328" s="9">
        <v>2327</v>
      </c>
      <c r="B2328" s="9" t="s">
        <v>9</v>
      </c>
      <c r="C2328" s="9">
        <v>1926</v>
      </c>
      <c r="D2328" s="10">
        <v>45722</v>
      </c>
      <c r="E2328" s="11" t="str">
        <f>+HYPERLINK("http://trademark.i-assist.jp/data/china/image_1926th/82474380.pdf","82474380")</f>
        <v>82474380</v>
      </c>
      <c r="F2328" s="9" t="s">
        <v>6381</v>
      </c>
      <c r="G2328" s="9" t="s">
        <v>119</v>
      </c>
      <c r="H2328" s="9" t="s">
        <v>6382</v>
      </c>
      <c r="I2328" s="10">
        <v>45636</v>
      </c>
    </row>
    <row r="2329" spans="1:9" x14ac:dyDescent="0.15">
      <c r="A2329" s="9">
        <v>2328</v>
      </c>
      <c r="B2329" s="9" t="s">
        <v>9</v>
      </c>
      <c r="C2329" s="9">
        <v>1926</v>
      </c>
      <c r="D2329" s="10">
        <v>45722</v>
      </c>
      <c r="E2329" s="11" t="str">
        <f>+HYPERLINK("http://trademark.i-assist.jp/data/china/image_1926th/82474969.pdf","82474969")</f>
        <v>82474969</v>
      </c>
      <c r="F2329" s="9" t="s">
        <v>6383</v>
      </c>
      <c r="G2329" s="9" t="s">
        <v>6384</v>
      </c>
      <c r="H2329" s="9" t="s">
        <v>6385</v>
      </c>
      <c r="I2329" s="10">
        <v>45636</v>
      </c>
    </row>
    <row r="2330" spans="1:9" x14ac:dyDescent="0.15">
      <c r="A2330" s="9">
        <v>2329</v>
      </c>
      <c r="B2330" s="9" t="s">
        <v>9</v>
      </c>
      <c r="C2330" s="9">
        <v>1926</v>
      </c>
      <c r="D2330" s="10">
        <v>45722</v>
      </c>
      <c r="E2330" s="11" t="str">
        <f>+HYPERLINK("http://trademark.i-assist.jp/data/china/image_1926th/82475126.pdf","82475126")</f>
        <v>82475126</v>
      </c>
      <c r="F2330" s="9" t="s">
        <v>6386</v>
      </c>
      <c r="G2330" s="12" t="s">
        <v>6102</v>
      </c>
      <c r="H2330" s="9" t="s">
        <v>6387</v>
      </c>
      <c r="I2330" s="10">
        <v>45636</v>
      </c>
    </row>
    <row r="2331" spans="1:9" x14ac:dyDescent="0.15">
      <c r="A2331" s="9">
        <v>2330</v>
      </c>
      <c r="B2331" s="9" t="s">
        <v>9</v>
      </c>
      <c r="C2331" s="9">
        <v>1926</v>
      </c>
      <c r="D2331" s="10">
        <v>45722</v>
      </c>
      <c r="E2331" s="11" t="str">
        <f>+HYPERLINK("http://trademark.i-assist.jp/data/china/image_1926th/82475177.pdf","82475177")</f>
        <v>82475177</v>
      </c>
      <c r="F2331" s="9" t="s">
        <v>6388</v>
      </c>
      <c r="G2331" s="9" t="s">
        <v>6056</v>
      </c>
      <c r="H2331" s="12" t="s">
        <v>6389</v>
      </c>
      <c r="I2331" s="10">
        <v>45636</v>
      </c>
    </row>
    <row r="2332" spans="1:9" x14ac:dyDescent="0.15">
      <c r="A2332" s="9">
        <v>2331</v>
      </c>
      <c r="B2332" s="9" t="s">
        <v>9</v>
      </c>
      <c r="C2332" s="9">
        <v>1926</v>
      </c>
      <c r="D2332" s="10">
        <v>45722</v>
      </c>
      <c r="E2332" s="11" t="str">
        <f>+HYPERLINK("http://trademark.i-assist.jp/data/china/image_1926th/82475302.pdf","82475302")</f>
        <v>82475302</v>
      </c>
      <c r="F2332" s="13" t="s">
        <v>6390</v>
      </c>
      <c r="G2332" s="9" t="s">
        <v>6277</v>
      </c>
      <c r="H2332" s="9" t="s">
        <v>6391</v>
      </c>
      <c r="I2332" s="10">
        <v>45636</v>
      </c>
    </row>
    <row r="2333" spans="1:9" x14ac:dyDescent="0.15">
      <c r="A2333" s="9">
        <v>2332</v>
      </c>
      <c r="B2333" s="9" t="s">
        <v>9</v>
      </c>
      <c r="C2333" s="9">
        <v>1926</v>
      </c>
      <c r="D2333" s="10">
        <v>45722</v>
      </c>
      <c r="E2333" s="11" t="str">
        <f>+HYPERLINK("http://trademark.i-assist.jp/data/china/image_1926th/82475335.pdf","82475335")</f>
        <v>82475335</v>
      </c>
      <c r="F2333" s="12" t="s">
        <v>6392</v>
      </c>
      <c r="G2333" s="12" t="s">
        <v>6393</v>
      </c>
      <c r="H2333" s="9" t="s">
        <v>6394</v>
      </c>
      <c r="I2333" s="10">
        <v>45636</v>
      </c>
    </row>
    <row r="2334" spans="1:9" x14ac:dyDescent="0.15">
      <c r="A2334" s="9">
        <v>2333</v>
      </c>
      <c r="B2334" s="9" t="s">
        <v>9</v>
      </c>
      <c r="C2334" s="9">
        <v>1926</v>
      </c>
      <c r="D2334" s="10">
        <v>45722</v>
      </c>
      <c r="E2334" s="11" t="str">
        <f>+HYPERLINK("http://trademark.i-assist.jp/data/china/image_1926th/82475377.pdf","82475377")</f>
        <v>82475377</v>
      </c>
      <c r="F2334" s="9" t="s">
        <v>6395</v>
      </c>
      <c r="G2334" s="9" t="s">
        <v>6396</v>
      </c>
      <c r="H2334" s="9" t="s">
        <v>6397</v>
      </c>
      <c r="I2334" s="10">
        <v>45637</v>
      </c>
    </row>
    <row r="2335" spans="1:9" x14ac:dyDescent="0.15">
      <c r="A2335" s="9">
        <v>2334</v>
      </c>
      <c r="B2335" s="9" t="s">
        <v>9</v>
      </c>
      <c r="C2335" s="9">
        <v>1926</v>
      </c>
      <c r="D2335" s="10">
        <v>45722</v>
      </c>
      <c r="E2335" s="11" t="str">
        <f>+HYPERLINK("http://trademark.i-assist.jp/data/china/image_1926th/82475464.pdf","82475464")</f>
        <v>82475464</v>
      </c>
      <c r="F2335" s="12" t="s">
        <v>6398</v>
      </c>
      <c r="G2335" s="9" t="s">
        <v>6399</v>
      </c>
      <c r="H2335" s="9" t="s">
        <v>6400</v>
      </c>
      <c r="I2335" s="10">
        <v>45637</v>
      </c>
    </row>
    <row r="2336" spans="1:9" x14ac:dyDescent="0.15">
      <c r="A2336" s="9">
        <v>2335</v>
      </c>
      <c r="B2336" s="9" t="s">
        <v>9</v>
      </c>
      <c r="C2336" s="9">
        <v>1926</v>
      </c>
      <c r="D2336" s="10">
        <v>45722</v>
      </c>
      <c r="E2336" s="11" t="str">
        <f>+HYPERLINK("http://trademark.i-assist.jp/data/china/image_1926th/82475704.pdf","82475704")</f>
        <v>82475704</v>
      </c>
      <c r="F2336" s="9" t="s">
        <v>6401</v>
      </c>
      <c r="G2336" s="12" t="s">
        <v>6402</v>
      </c>
      <c r="H2336" s="9" t="s">
        <v>6403</v>
      </c>
      <c r="I2336" s="10">
        <v>45637</v>
      </c>
    </row>
    <row r="2337" spans="1:9" x14ac:dyDescent="0.15">
      <c r="A2337" s="9">
        <v>2336</v>
      </c>
      <c r="B2337" s="9" t="s">
        <v>9</v>
      </c>
      <c r="C2337" s="9">
        <v>1926</v>
      </c>
      <c r="D2337" s="10">
        <v>45722</v>
      </c>
      <c r="E2337" s="11" t="str">
        <f>+HYPERLINK("http://trademark.i-assist.jp/data/china/image_1926th/82475894.pdf","82475894")</f>
        <v>82475894</v>
      </c>
      <c r="F2337" s="9" t="s">
        <v>6404</v>
      </c>
      <c r="G2337" s="9" t="s">
        <v>4038</v>
      </c>
      <c r="H2337" s="9" t="s">
        <v>6405</v>
      </c>
      <c r="I2337" s="10">
        <v>45637</v>
      </c>
    </row>
    <row r="2338" spans="1:9" x14ac:dyDescent="0.15">
      <c r="A2338" s="9">
        <v>2337</v>
      </c>
      <c r="B2338" s="9" t="s">
        <v>9</v>
      </c>
      <c r="C2338" s="9">
        <v>1926</v>
      </c>
      <c r="D2338" s="10">
        <v>45722</v>
      </c>
      <c r="E2338" s="11" t="str">
        <f>+HYPERLINK("http://trademark.i-assist.jp/data/china/image_1926th/82476045.pdf","82476045")</f>
        <v>82476045</v>
      </c>
      <c r="F2338" s="9" t="s">
        <v>6406</v>
      </c>
      <c r="G2338" s="12" t="s">
        <v>6407</v>
      </c>
      <c r="H2338" s="12" t="s">
        <v>6408</v>
      </c>
      <c r="I2338" s="10">
        <v>45637</v>
      </c>
    </row>
    <row r="2339" spans="1:9" x14ac:dyDescent="0.15">
      <c r="A2339" s="9">
        <v>2338</v>
      </c>
      <c r="B2339" s="9" t="s">
        <v>9</v>
      </c>
      <c r="C2339" s="9">
        <v>1926</v>
      </c>
      <c r="D2339" s="10">
        <v>45722</v>
      </c>
      <c r="E2339" s="11" t="str">
        <f>+HYPERLINK("http://trademark.i-assist.jp/data/china/image_1926th/82476123.pdf","82476123")</f>
        <v>82476123</v>
      </c>
      <c r="F2339" s="9" t="s">
        <v>6409</v>
      </c>
      <c r="G2339" s="9" t="s">
        <v>6410</v>
      </c>
      <c r="H2339" s="9" t="s">
        <v>6411</v>
      </c>
      <c r="I2339" s="10">
        <v>45637</v>
      </c>
    </row>
    <row r="2340" spans="1:9" x14ac:dyDescent="0.15">
      <c r="A2340" s="9">
        <v>2339</v>
      </c>
      <c r="B2340" s="9" t="s">
        <v>9</v>
      </c>
      <c r="C2340" s="9">
        <v>1926</v>
      </c>
      <c r="D2340" s="10">
        <v>45722</v>
      </c>
      <c r="E2340" s="11" t="str">
        <f>+HYPERLINK("http://trademark.i-assist.jp/data/china/image_1926th/82476344.pdf","82476344")</f>
        <v>82476344</v>
      </c>
      <c r="F2340" s="9" t="s">
        <v>6412</v>
      </c>
      <c r="G2340" s="12" t="s">
        <v>6413</v>
      </c>
      <c r="H2340" s="9" t="s">
        <v>6414</v>
      </c>
      <c r="I2340" s="10">
        <v>45637</v>
      </c>
    </row>
    <row r="2341" spans="1:9" x14ac:dyDescent="0.15">
      <c r="A2341" s="9">
        <v>2340</v>
      </c>
      <c r="B2341" s="9" t="s">
        <v>9</v>
      </c>
      <c r="C2341" s="9">
        <v>1926</v>
      </c>
      <c r="D2341" s="10">
        <v>45722</v>
      </c>
      <c r="E2341" s="11" t="str">
        <f>+HYPERLINK("http://trademark.i-assist.jp/data/china/image_1926th/82476471.pdf","82476471")</f>
        <v>82476471</v>
      </c>
      <c r="F2341" s="9" t="s">
        <v>6415</v>
      </c>
      <c r="G2341" s="9" t="s">
        <v>6416</v>
      </c>
      <c r="H2341" s="12" t="s">
        <v>6417</v>
      </c>
      <c r="I2341" s="10">
        <v>45637</v>
      </c>
    </row>
    <row r="2342" spans="1:9" x14ac:dyDescent="0.15">
      <c r="A2342" s="9">
        <v>2341</v>
      </c>
      <c r="B2342" s="9" t="s">
        <v>9</v>
      </c>
      <c r="C2342" s="9">
        <v>1926</v>
      </c>
      <c r="D2342" s="10">
        <v>45722</v>
      </c>
      <c r="E2342" s="11" t="str">
        <f>+HYPERLINK("http://trademark.i-assist.jp/data/china/image_1926th/82476515.pdf","82476515")</f>
        <v>82476515</v>
      </c>
      <c r="F2342" s="9" t="s">
        <v>6418</v>
      </c>
      <c r="G2342" s="9" t="s">
        <v>6419</v>
      </c>
      <c r="H2342" s="9" t="s">
        <v>6420</v>
      </c>
      <c r="I2342" s="10">
        <v>45637</v>
      </c>
    </row>
    <row r="2343" spans="1:9" x14ac:dyDescent="0.15">
      <c r="A2343" s="9">
        <v>2342</v>
      </c>
      <c r="B2343" s="9" t="s">
        <v>9</v>
      </c>
      <c r="C2343" s="9">
        <v>1926</v>
      </c>
      <c r="D2343" s="10">
        <v>45722</v>
      </c>
      <c r="E2343" s="11" t="str">
        <f>+HYPERLINK("http://trademark.i-assist.jp/data/china/image_1926th/82476547.pdf","82476547")</f>
        <v>82476547</v>
      </c>
      <c r="F2343" s="9" t="s">
        <v>6421</v>
      </c>
      <c r="G2343" s="9" t="s">
        <v>6422</v>
      </c>
      <c r="H2343" s="9" t="s">
        <v>6423</v>
      </c>
      <c r="I2343" s="10">
        <v>45637</v>
      </c>
    </row>
    <row r="2344" spans="1:9" x14ac:dyDescent="0.15">
      <c r="A2344" s="9">
        <v>2343</v>
      </c>
      <c r="B2344" s="9" t="s">
        <v>9</v>
      </c>
      <c r="C2344" s="9">
        <v>1926</v>
      </c>
      <c r="D2344" s="10">
        <v>45722</v>
      </c>
      <c r="E2344" s="11" t="str">
        <f>+HYPERLINK("http://trademark.i-assist.jp/data/china/image_1926th/82476735.pdf","82476735")</f>
        <v>82476735</v>
      </c>
      <c r="F2344" s="9" t="s">
        <v>6424</v>
      </c>
      <c r="G2344" s="9" t="s">
        <v>6425</v>
      </c>
      <c r="H2344" s="12" t="s">
        <v>6426</v>
      </c>
      <c r="I2344" s="10">
        <v>45637</v>
      </c>
    </row>
    <row r="2345" spans="1:9" x14ac:dyDescent="0.15">
      <c r="A2345" s="9">
        <v>2344</v>
      </c>
      <c r="B2345" s="9" t="s">
        <v>9</v>
      </c>
      <c r="C2345" s="9">
        <v>1926</v>
      </c>
      <c r="D2345" s="10">
        <v>45722</v>
      </c>
      <c r="E2345" s="11" t="str">
        <f>+HYPERLINK("http://trademark.i-assist.jp/data/china/image_1926th/82476987.pdf","82476987")</f>
        <v>82476987</v>
      </c>
      <c r="F2345" s="9" t="s">
        <v>6427</v>
      </c>
      <c r="G2345" s="9" t="s">
        <v>6428</v>
      </c>
      <c r="H2345" s="12" t="s">
        <v>6429</v>
      </c>
      <c r="I2345" s="10">
        <v>45637</v>
      </c>
    </row>
    <row r="2346" spans="1:9" x14ac:dyDescent="0.15">
      <c r="A2346" s="9">
        <v>2345</v>
      </c>
      <c r="B2346" s="9" t="s">
        <v>9</v>
      </c>
      <c r="C2346" s="9">
        <v>1926</v>
      </c>
      <c r="D2346" s="10">
        <v>45722</v>
      </c>
      <c r="E2346" s="11" t="str">
        <f>+HYPERLINK("http://trademark.i-assist.jp/data/china/image_1926th/82477296.pdf","82477296")</f>
        <v>82477296</v>
      </c>
      <c r="F2346" s="9" t="s">
        <v>6430</v>
      </c>
      <c r="G2346" s="9" t="s">
        <v>6431</v>
      </c>
      <c r="H2346" s="12" t="s">
        <v>6432</v>
      </c>
      <c r="I2346" s="10">
        <v>45637</v>
      </c>
    </row>
    <row r="2347" spans="1:9" x14ac:dyDescent="0.15">
      <c r="A2347" s="9">
        <v>2346</v>
      </c>
      <c r="B2347" s="9" t="s">
        <v>9</v>
      </c>
      <c r="C2347" s="9">
        <v>1926</v>
      </c>
      <c r="D2347" s="10">
        <v>45722</v>
      </c>
      <c r="E2347" s="11" t="str">
        <f>+HYPERLINK("http://trademark.i-assist.jp/data/china/image_1926th/82477389.pdf","82477389")</f>
        <v>82477389</v>
      </c>
      <c r="F2347" s="9" t="s">
        <v>6433</v>
      </c>
      <c r="G2347" s="9" t="s">
        <v>6434</v>
      </c>
      <c r="H2347" s="9" t="s">
        <v>6435</v>
      </c>
      <c r="I2347" s="10">
        <v>45637</v>
      </c>
    </row>
    <row r="2348" spans="1:9" x14ac:dyDescent="0.15">
      <c r="A2348" s="9">
        <v>2347</v>
      </c>
      <c r="B2348" s="9" t="s">
        <v>9</v>
      </c>
      <c r="C2348" s="9">
        <v>1926</v>
      </c>
      <c r="D2348" s="10">
        <v>45722</v>
      </c>
      <c r="E2348" s="11" t="str">
        <f>+HYPERLINK("http://trademark.i-assist.jp/data/china/image_1926th/82477440.pdf","82477440")</f>
        <v>82477440</v>
      </c>
      <c r="F2348" s="9" t="s">
        <v>6436</v>
      </c>
      <c r="G2348" s="12" t="s">
        <v>6437</v>
      </c>
      <c r="H2348" s="9" t="s">
        <v>6438</v>
      </c>
      <c r="I2348" s="10">
        <v>45637</v>
      </c>
    </row>
    <row r="2349" spans="1:9" x14ac:dyDescent="0.15">
      <c r="A2349" s="9">
        <v>2348</v>
      </c>
      <c r="B2349" s="9" t="s">
        <v>9</v>
      </c>
      <c r="C2349" s="9">
        <v>1926</v>
      </c>
      <c r="D2349" s="10">
        <v>45722</v>
      </c>
      <c r="E2349" s="11" t="str">
        <f>+HYPERLINK("http://trademark.i-assist.jp/data/china/image_1926th/82477512.pdf","82477512")</f>
        <v>82477512</v>
      </c>
      <c r="F2349" s="9" t="s">
        <v>6439</v>
      </c>
      <c r="G2349" s="9" t="s">
        <v>6440</v>
      </c>
      <c r="H2349" s="9" t="s">
        <v>6441</v>
      </c>
      <c r="I2349" s="10">
        <v>45637</v>
      </c>
    </row>
    <row r="2350" spans="1:9" x14ac:dyDescent="0.15">
      <c r="A2350" s="9">
        <v>2349</v>
      </c>
      <c r="B2350" s="9" t="s">
        <v>9</v>
      </c>
      <c r="C2350" s="9">
        <v>1926</v>
      </c>
      <c r="D2350" s="10">
        <v>45722</v>
      </c>
      <c r="E2350" s="11" t="str">
        <f>+HYPERLINK("http://trademark.i-assist.jp/data/china/image_1926th/82477536.pdf","82477536")</f>
        <v>82477536</v>
      </c>
      <c r="F2350" s="9" t="s">
        <v>6442</v>
      </c>
      <c r="G2350" s="9" t="s">
        <v>6443</v>
      </c>
      <c r="H2350" s="9" t="s">
        <v>6444</v>
      </c>
      <c r="I2350" s="10">
        <v>45637</v>
      </c>
    </row>
    <row r="2351" spans="1:9" x14ac:dyDescent="0.15">
      <c r="A2351" s="9">
        <v>2350</v>
      </c>
      <c r="B2351" s="9" t="s">
        <v>9</v>
      </c>
      <c r="C2351" s="9">
        <v>1926</v>
      </c>
      <c r="D2351" s="10">
        <v>45722</v>
      </c>
      <c r="E2351" s="11" t="str">
        <f>+HYPERLINK("http://trademark.i-assist.jp/data/china/image_1926th/82477835.pdf","82477835")</f>
        <v>82477835</v>
      </c>
      <c r="F2351" s="9" t="s">
        <v>6445</v>
      </c>
      <c r="G2351" s="12" t="s">
        <v>6446</v>
      </c>
      <c r="H2351" s="9" t="s">
        <v>6447</v>
      </c>
      <c r="I2351" s="10">
        <v>45637</v>
      </c>
    </row>
    <row r="2352" spans="1:9" x14ac:dyDescent="0.15">
      <c r="A2352" s="9">
        <v>2351</v>
      </c>
      <c r="B2352" s="9" t="s">
        <v>9</v>
      </c>
      <c r="C2352" s="9">
        <v>1926</v>
      </c>
      <c r="D2352" s="10">
        <v>45722</v>
      </c>
      <c r="E2352" s="11" t="str">
        <f>+HYPERLINK("http://trademark.i-assist.jp/data/china/image_1926th/82477851.pdf","82477851")</f>
        <v>82477851</v>
      </c>
      <c r="F2352" s="9" t="s">
        <v>6448</v>
      </c>
      <c r="G2352" s="9" t="s">
        <v>6449</v>
      </c>
      <c r="H2352" s="9" t="s">
        <v>6450</v>
      </c>
      <c r="I2352" s="10">
        <v>45637</v>
      </c>
    </row>
    <row r="2353" spans="1:9" x14ac:dyDescent="0.15">
      <c r="A2353" s="9">
        <v>2352</v>
      </c>
      <c r="B2353" s="9" t="s">
        <v>9</v>
      </c>
      <c r="C2353" s="9">
        <v>1926</v>
      </c>
      <c r="D2353" s="10">
        <v>45722</v>
      </c>
      <c r="E2353" s="11" t="str">
        <f>+HYPERLINK("http://trademark.i-assist.jp/data/china/image_1926th/82477922.pdf","82477922")</f>
        <v>82477922</v>
      </c>
      <c r="F2353" s="12" t="s">
        <v>6451</v>
      </c>
      <c r="G2353" s="9" t="s">
        <v>6452</v>
      </c>
      <c r="H2353" s="9" t="s">
        <v>6453</v>
      </c>
      <c r="I2353" s="10">
        <v>45637</v>
      </c>
    </row>
    <row r="2354" spans="1:9" x14ac:dyDescent="0.15">
      <c r="A2354" s="9">
        <v>2353</v>
      </c>
      <c r="B2354" s="9" t="s">
        <v>9</v>
      </c>
      <c r="C2354" s="9">
        <v>1926</v>
      </c>
      <c r="D2354" s="10">
        <v>45722</v>
      </c>
      <c r="E2354" s="11" t="str">
        <f>+HYPERLINK("http://trademark.i-assist.jp/data/china/image_1926th/82477975.pdf","82477975")</f>
        <v>82477975</v>
      </c>
      <c r="F2354" s="12" t="s">
        <v>6454</v>
      </c>
      <c r="G2354" s="9" t="s">
        <v>6455</v>
      </c>
      <c r="H2354" s="9" t="s">
        <v>6456</v>
      </c>
      <c r="I2354" s="10">
        <v>45637</v>
      </c>
    </row>
    <row r="2355" spans="1:9" x14ac:dyDescent="0.15">
      <c r="A2355" s="9">
        <v>2354</v>
      </c>
      <c r="B2355" s="9" t="s">
        <v>9</v>
      </c>
      <c r="C2355" s="9">
        <v>1926</v>
      </c>
      <c r="D2355" s="10">
        <v>45722</v>
      </c>
      <c r="E2355" s="11" t="str">
        <f>+HYPERLINK("http://trademark.i-assist.jp/data/china/image_1926th/82478406.pdf","82478406")</f>
        <v>82478406</v>
      </c>
      <c r="F2355" s="9" t="s">
        <v>6457</v>
      </c>
      <c r="G2355" s="12" t="s">
        <v>6458</v>
      </c>
      <c r="H2355" s="9" t="s">
        <v>6459</v>
      </c>
      <c r="I2355" s="10">
        <v>45637</v>
      </c>
    </row>
    <row r="2356" spans="1:9" x14ac:dyDescent="0.15">
      <c r="A2356" s="9">
        <v>2355</v>
      </c>
      <c r="B2356" s="9" t="s">
        <v>9</v>
      </c>
      <c r="C2356" s="9">
        <v>1926</v>
      </c>
      <c r="D2356" s="10">
        <v>45722</v>
      </c>
      <c r="E2356" s="11" t="str">
        <f>+HYPERLINK("http://trademark.i-assist.jp/data/china/image_1926th/82478507.pdf","82478507")</f>
        <v>82478507</v>
      </c>
      <c r="F2356" s="12" t="s">
        <v>20</v>
      </c>
      <c r="G2356" s="12" t="s">
        <v>6460</v>
      </c>
      <c r="H2356" s="9" t="s">
        <v>6461</v>
      </c>
      <c r="I2356" s="10">
        <v>45637</v>
      </c>
    </row>
    <row r="2357" spans="1:9" x14ac:dyDescent="0.15">
      <c r="A2357" s="9">
        <v>2356</v>
      </c>
      <c r="B2357" s="9" t="s">
        <v>9</v>
      </c>
      <c r="C2357" s="9">
        <v>1926</v>
      </c>
      <c r="D2357" s="10">
        <v>45722</v>
      </c>
      <c r="E2357" s="11" t="str">
        <f>+HYPERLINK("http://trademark.i-assist.jp/data/china/image_1926th/82478578.pdf","82478578")</f>
        <v>82478578</v>
      </c>
      <c r="F2357" s="12" t="s">
        <v>6462</v>
      </c>
      <c r="G2357" s="9" t="s">
        <v>202</v>
      </c>
      <c r="H2357" s="9" t="s">
        <v>6463</v>
      </c>
      <c r="I2357" s="10">
        <v>45637</v>
      </c>
    </row>
    <row r="2358" spans="1:9" x14ac:dyDescent="0.15">
      <c r="A2358" s="9">
        <v>2357</v>
      </c>
      <c r="B2358" s="9" t="s">
        <v>9</v>
      </c>
      <c r="C2358" s="9">
        <v>1926</v>
      </c>
      <c r="D2358" s="10">
        <v>45722</v>
      </c>
      <c r="E2358" s="11" t="str">
        <f>+HYPERLINK("http://trademark.i-assist.jp/data/china/image_1926th/82479028.pdf","82479028")</f>
        <v>82479028</v>
      </c>
      <c r="F2358" s="12" t="s">
        <v>6464</v>
      </c>
      <c r="G2358" s="13" t="s">
        <v>6465</v>
      </c>
      <c r="H2358" s="9" t="s">
        <v>6466</v>
      </c>
      <c r="I2358" s="10">
        <v>45637</v>
      </c>
    </row>
    <row r="2359" spans="1:9" x14ac:dyDescent="0.15">
      <c r="A2359" s="9">
        <v>2358</v>
      </c>
      <c r="B2359" s="9" t="s">
        <v>9</v>
      </c>
      <c r="C2359" s="9">
        <v>1926</v>
      </c>
      <c r="D2359" s="10">
        <v>45722</v>
      </c>
      <c r="E2359" s="11" t="str">
        <f>+HYPERLINK("http://trademark.i-assist.jp/data/china/image_1926th/82479097.pdf","82479097")</f>
        <v>82479097</v>
      </c>
      <c r="F2359" s="9" t="s">
        <v>6467</v>
      </c>
      <c r="G2359" s="12" t="s">
        <v>6468</v>
      </c>
      <c r="H2359" s="9" t="s">
        <v>6469</v>
      </c>
      <c r="I2359" s="10">
        <v>45637</v>
      </c>
    </row>
    <row r="2360" spans="1:9" x14ac:dyDescent="0.15">
      <c r="A2360" s="9">
        <v>2359</v>
      </c>
      <c r="B2360" s="9" t="s">
        <v>9</v>
      </c>
      <c r="C2360" s="9">
        <v>1926</v>
      </c>
      <c r="D2360" s="10">
        <v>45722</v>
      </c>
      <c r="E2360" s="11" t="str">
        <f>+HYPERLINK("http://trademark.i-assist.jp/data/china/image_1926th/82479147.pdf","82479147")</f>
        <v>82479147</v>
      </c>
      <c r="F2360" s="9" t="s">
        <v>6470</v>
      </c>
      <c r="G2360" s="9" t="s">
        <v>6471</v>
      </c>
      <c r="H2360" s="9" t="s">
        <v>6472</v>
      </c>
      <c r="I2360" s="10">
        <v>45637</v>
      </c>
    </row>
    <row r="2361" spans="1:9" x14ac:dyDescent="0.15">
      <c r="A2361" s="9">
        <v>2360</v>
      </c>
      <c r="B2361" s="9" t="s">
        <v>9</v>
      </c>
      <c r="C2361" s="9">
        <v>1926</v>
      </c>
      <c r="D2361" s="10">
        <v>45722</v>
      </c>
      <c r="E2361" s="11" t="str">
        <f>+HYPERLINK("http://trademark.i-assist.jp/data/china/image_1926th/82479294.pdf","82479294")</f>
        <v>82479294</v>
      </c>
      <c r="F2361" s="9" t="s">
        <v>6473</v>
      </c>
      <c r="G2361" s="9" t="s">
        <v>6474</v>
      </c>
      <c r="H2361" s="12" t="s">
        <v>6475</v>
      </c>
      <c r="I2361" s="10">
        <v>45637</v>
      </c>
    </row>
    <row r="2362" spans="1:9" x14ac:dyDescent="0.15">
      <c r="A2362" s="9">
        <v>2361</v>
      </c>
      <c r="B2362" s="9" t="s">
        <v>9</v>
      </c>
      <c r="C2362" s="9">
        <v>1926</v>
      </c>
      <c r="D2362" s="10">
        <v>45722</v>
      </c>
      <c r="E2362" s="11" t="str">
        <f>+HYPERLINK("http://trademark.i-assist.jp/data/china/image_1926th/82479335.pdf","82479335")</f>
        <v>82479335</v>
      </c>
      <c r="F2362" s="9" t="s">
        <v>6476</v>
      </c>
      <c r="G2362" s="12" t="s">
        <v>4203</v>
      </c>
      <c r="H2362" s="9" t="s">
        <v>6477</v>
      </c>
      <c r="I2362" s="10">
        <v>45637</v>
      </c>
    </row>
    <row r="2363" spans="1:9" x14ac:dyDescent="0.15">
      <c r="A2363" s="9">
        <v>2362</v>
      </c>
      <c r="B2363" s="9" t="s">
        <v>9</v>
      </c>
      <c r="C2363" s="9">
        <v>1926</v>
      </c>
      <c r="D2363" s="10">
        <v>45722</v>
      </c>
      <c r="E2363" s="11" t="str">
        <f>+HYPERLINK("http://trademark.i-assist.jp/data/china/image_1926th/82479444.pdf","82479444")</f>
        <v>82479444</v>
      </c>
      <c r="F2363" s="12" t="s">
        <v>6478</v>
      </c>
      <c r="G2363" s="12" t="s">
        <v>6110</v>
      </c>
      <c r="H2363" s="9" t="s">
        <v>6479</v>
      </c>
      <c r="I2363" s="10">
        <v>45637</v>
      </c>
    </row>
    <row r="2364" spans="1:9" x14ac:dyDescent="0.15">
      <c r="A2364" s="9">
        <v>2363</v>
      </c>
      <c r="B2364" s="9" t="s">
        <v>9</v>
      </c>
      <c r="C2364" s="9">
        <v>1926</v>
      </c>
      <c r="D2364" s="10">
        <v>45722</v>
      </c>
      <c r="E2364" s="11" t="str">
        <f>+HYPERLINK("http://trademark.i-assist.jp/data/china/image_1926th/82479598.pdf","82479598")</f>
        <v>82479598</v>
      </c>
      <c r="F2364" s="9" t="s">
        <v>6480</v>
      </c>
      <c r="G2364" s="12" t="s">
        <v>209</v>
      </c>
      <c r="H2364" s="9" t="s">
        <v>6481</v>
      </c>
      <c r="I2364" s="10">
        <v>45637</v>
      </c>
    </row>
    <row r="2365" spans="1:9" x14ac:dyDescent="0.15">
      <c r="A2365" s="9">
        <v>2364</v>
      </c>
      <c r="B2365" s="9" t="s">
        <v>9</v>
      </c>
      <c r="C2365" s="9">
        <v>1926</v>
      </c>
      <c r="D2365" s="10">
        <v>45722</v>
      </c>
      <c r="E2365" s="11" t="str">
        <f>+HYPERLINK("http://trademark.i-assist.jp/data/china/image_1926th/82479614.pdf","82479614")</f>
        <v>82479614</v>
      </c>
      <c r="F2365" s="9" t="s">
        <v>6482</v>
      </c>
      <c r="G2365" s="9" t="s">
        <v>6483</v>
      </c>
      <c r="H2365" s="9" t="s">
        <v>6484</v>
      </c>
      <c r="I2365" s="10">
        <v>45637</v>
      </c>
    </row>
    <row r="2366" spans="1:9" x14ac:dyDescent="0.15">
      <c r="A2366" s="9">
        <v>2365</v>
      </c>
      <c r="B2366" s="9" t="s">
        <v>9</v>
      </c>
      <c r="C2366" s="9">
        <v>1926</v>
      </c>
      <c r="D2366" s="10">
        <v>45722</v>
      </c>
      <c r="E2366" s="11" t="str">
        <f>+HYPERLINK("http://trademark.i-assist.jp/data/china/image_1926th/82479658.pdf","82479658")</f>
        <v>82479658</v>
      </c>
      <c r="F2366" s="9" t="s">
        <v>6485</v>
      </c>
      <c r="G2366" s="12" t="s">
        <v>6486</v>
      </c>
      <c r="H2366" s="9" t="s">
        <v>6487</v>
      </c>
      <c r="I2366" s="10">
        <v>45637</v>
      </c>
    </row>
    <row r="2367" spans="1:9" x14ac:dyDescent="0.15">
      <c r="A2367" s="9">
        <v>2366</v>
      </c>
      <c r="B2367" s="9" t="s">
        <v>9</v>
      </c>
      <c r="C2367" s="9">
        <v>1926</v>
      </c>
      <c r="D2367" s="10">
        <v>45722</v>
      </c>
      <c r="E2367" s="11" t="str">
        <f>+HYPERLINK("http://trademark.i-assist.jp/data/china/image_1926th/82479701.pdf","82479701")</f>
        <v>82479701</v>
      </c>
      <c r="F2367" s="9" t="s">
        <v>6488</v>
      </c>
      <c r="G2367" s="12" t="s">
        <v>143</v>
      </c>
      <c r="H2367" s="9" t="s">
        <v>6489</v>
      </c>
      <c r="I2367" s="10">
        <v>45637</v>
      </c>
    </row>
    <row r="2368" spans="1:9" x14ac:dyDescent="0.15">
      <c r="A2368" s="9">
        <v>2367</v>
      </c>
      <c r="B2368" s="9" t="s">
        <v>9</v>
      </c>
      <c r="C2368" s="9">
        <v>1926</v>
      </c>
      <c r="D2368" s="10">
        <v>45722</v>
      </c>
      <c r="E2368" s="11" t="str">
        <f>+HYPERLINK("http://trademark.i-assist.jp/data/china/image_1926th/82479835.pdf","82479835")</f>
        <v>82479835</v>
      </c>
      <c r="F2368" s="9" t="s">
        <v>6490</v>
      </c>
      <c r="G2368" s="12" t="s">
        <v>6491</v>
      </c>
      <c r="H2368" s="9" t="s">
        <v>6492</v>
      </c>
      <c r="I2368" s="10">
        <v>45637</v>
      </c>
    </row>
    <row r="2369" spans="1:9" x14ac:dyDescent="0.15">
      <c r="A2369" s="9">
        <v>2368</v>
      </c>
      <c r="B2369" s="9" t="s">
        <v>9</v>
      </c>
      <c r="C2369" s="9">
        <v>1926</v>
      </c>
      <c r="D2369" s="10">
        <v>45722</v>
      </c>
      <c r="E2369" s="11" t="str">
        <f>+HYPERLINK("http://trademark.i-assist.jp/data/china/image_1926th/82479836.pdf","82479836")</f>
        <v>82479836</v>
      </c>
      <c r="F2369" s="9" t="s">
        <v>6493</v>
      </c>
      <c r="G2369" s="9" t="s">
        <v>6494</v>
      </c>
      <c r="H2369" s="9" t="s">
        <v>6495</v>
      </c>
      <c r="I2369" s="10">
        <v>45637</v>
      </c>
    </row>
    <row r="2370" spans="1:9" x14ac:dyDescent="0.15">
      <c r="A2370" s="9">
        <v>2369</v>
      </c>
      <c r="B2370" s="9" t="s">
        <v>9</v>
      </c>
      <c r="C2370" s="9">
        <v>1926</v>
      </c>
      <c r="D2370" s="10">
        <v>45722</v>
      </c>
      <c r="E2370" s="11" t="str">
        <f>+HYPERLINK("http://trademark.i-assist.jp/data/china/image_1926th/82479901.pdf","82479901")</f>
        <v>82479901</v>
      </c>
      <c r="F2370" s="9" t="s">
        <v>6496</v>
      </c>
      <c r="G2370" s="9" t="s">
        <v>6497</v>
      </c>
      <c r="H2370" s="9" t="s">
        <v>6498</v>
      </c>
      <c r="I2370" s="10">
        <v>45637</v>
      </c>
    </row>
    <row r="2371" spans="1:9" x14ac:dyDescent="0.15">
      <c r="A2371" s="9">
        <v>2370</v>
      </c>
      <c r="B2371" s="9" t="s">
        <v>9</v>
      </c>
      <c r="C2371" s="9">
        <v>1926</v>
      </c>
      <c r="D2371" s="10">
        <v>45722</v>
      </c>
      <c r="E2371" s="11" t="str">
        <f>+HYPERLINK("http://trademark.i-assist.jp/data/china/image_1926th/82480743.pdf","82480743")</f>
        <v>82480743</v>
      </c>
      <c r="F2371" s="12" t="s">
        <v>6499</v>
      </c>
      <c r="G2371" s="12" t="s">
        <v>6110</v>
      </c>
      <c r="H2371" s="9" t="s">
        <v>6500</v>
      </c>
      <c r="I2371" s="10">
        <v>45637</v>
      </c>
    </row>
    <row r="2372" spans="1:9" x14ac:dyDescent="0.15">
      <c r="A2372" s="9">
        <v>2371</v>
      </c>
      <c r="B2372" s="9" t="s">
        <v>9</v>
      </c>
      <c r="C2372" s="9">
        <v>1926</v>
      </c>
      <c r="D2372" s="10">
        <v>45722</v>
      </c>
      <c r="E2372" s="11" t="str">
        <f>+HYPERLINK("http://trademark.i-assist.jp/data/china/image_1926th/82480842.pdf","82480842")</f>
        <v>82480842</v>
      </c>
      <c r="F2372" s="9" t="s">
        <v>6501</v>
      </c>
      <c r="G2372" s="9" t="s">
        <v>6452</v>
      </c>
      <c r="H2372" s="9" t="s">
        <v>6502</v>
      </c>
      <c r="I2372" s="10">
        <v>45637</v>
      </c>
    </row>
    <row r="2373" spans="1:9" x14ac:dyDescent="0.15">
      <c r="A2373" s="9">
        <v>2372</v>
      </c>
      <c r="B2373" s="9" t="s">
        <v>9</v>
      </c>
      <c r="C2373" s="9">
        <v>1926</v>
      </c>
      <c r="D2373" s="10">
        <v>45722</v>
      </c>
      <c r="E2373" s="11" t="str">
        <f>+HYPERLINK("http://trademark.i-assist.jp/data/china/image_1926th/82480855.pdf","82480855")</f>
        <v>82480855</v>
      </c>
      <c r="F2373" s="9" t="s">
        <v>6503</v>
      </c>
      <c r="G2373" s="9" t="s">
        <v>6504</v>
      </c>
      <c r="H2373" s="9" t="s">
        <v>6505</v>
      </c>
      <c r="I2373" s="10">
        <v>45637</v>
      </c>
    </row>
    <row r="2374" spans="1:9" x14ac:dyDescent="0.15">
      <c r="A2374" s="9">
        <v>2373</v>
      </c>
      <c r="B2374" s="9" t="s">
        <v>9</v>
      </c>
      <c r="C2374" s="9">
        <v>1926</v>
      </c>
      <c r="D2374" s="10">
        <v>45722</v>
      </c>
      <c r="E2374" s="11" t="str">
        <f>+HYPERLINK("http://trademark.i-assist.jp/data/china/image_1926th/82480969.pdf","82480969")</f>
        <v>82480969</v>
      </c>
      <c r="F2374" s="9" t="s">
        <v>6506</v>
      </c>
      <c r="G2374" s="9" t="s">
        <v>206</v>
      </c>
      <c r="H2374" s="9" t="s">
        <v>6507</v>
      </c>
      <c r="I2374" s="10">
        <v>45637</v>
      </c>
    </row>
    <row r="2375" spans="1:9" x14ac:dyDescent="0.15">
      <c r="A2375" s="9">
        <v>2374</v>
      </c>
      <c r="B2375" s="9" t="s">
        <v>9</v>
      </c>
      <c r="C2375" s="9">
        <v>1926</v>
      </c>
      <c r="D2375" s="10">
        <v>45722</v>
      </c>
      <c r="E2375" s="11" t="str">
        <f>+HYPERLINK("http://trademark.i-assist.jp/data/china/image_1926th/82480972.pdf","82480972")</f>
        <v>82480972</v>
      </c>
      <c r="F2375" s="9" t="s">
        <v>6508</v>
      </c>
      <c r="G2375" s="9" t="s">
        <v>6509</v>
      </c>
      <c r="H2375" s="9" t="s">
        <v>6510</v>
      </c>
      <c r="I2375" s="10">
        <v>45637</v>
      </c>
    </row>
    <row r="2376" spans="1:9" x14ac:dyDescent="0.15">
      <c r="A2376" s="9">
        <v>2375</v>
      </c>
      <c r="B2376" s="9" t="s">
        <v>9</v>
      </c>
      <c r="C2376" s="9">
        <v>1926</v>
      </c>
      <c r="D2376" s="10">
        <v>45722</v>
      </c>
      <c r="E2376" s="11" t="str">
        <f>+HYPERLINK("http://trademark.i-assist.jp/data/china/image_1926th/82481030.pdf","82481030")</f>
        <v>82481030</v>
      </c>
      <c r="F2376" s="9" t="s">
        <v>6511</v>
      </c>
      <c r="G2376" s="9" t="s">
        <v>208</v>
      </c>
      <c r="H2376" s="9" t="s">
        <v>21</v>
      </c>
      <c r="I2376" s="10">
        <v>45637</v>
      </c>
    </row>
    <row r="2377" spans="1:9" x14ac:dyDescent="0.15">
      <c r="A2377" s="9">
        <v>2376</v>
      </c>
      <c r="B2377" s="9" t="s">
        <v>9</v>
      </c>
      <c r="C2377" s="9">
        <v>1926</v>
      </c>
      <c r="D2377" s="10">
        <v>45722</v>
      </c>
      <c r="E2377" s="11" t="str">
        <f>+HYPERLINK("http://trademark.i-assist.jp/data/china/image_1926th/82481515.pdf","82481515")</f>
        <v>82481515</v>
      </c>
      <c r="F2377" s="12" t="s">
        <v>6512</v>
      </c>
      <c r="G2377" s="9" t="s">
        <v>6513</v>
      </c>
      <c r="H2377" s="9" t="s">
        <v>6514</v>
      </c>
      <c r="I2377" s="10">
        <v>45637</v>
      </c>
    </row>
    <row r="2378" spans="1:9" x14ac:dyDescent="0.15">
      <c r="A2378" s="9">
        <v>2377</v>
      </c>
      <c r="B2378" s="9" t="s">
        <v>9</v>
      </c>
      <c r="C2378" s="9">
        <v>1926</v>
      </c>
      <c r="D2378" s="10">
        <v>45722</v>
      </c>
      <c r="E2378" s="11" t="str">
        <f>+HYPERLINK("http://trademark.i-assist.jp/data/china/image_1926th/82482102.pdf","82482102")</f>
        <v>82482102</v>
      </c>
      <c r="F2378" s="9" t="s">
        <v>6515</v>
      </c>
      <c r="G2378" s="9" t="s">
        <v>6516</v>
      </c>
      <c r="H2378" s="12" t="s">
        <v>6517</v>
      </c>
      <c r="I2378" s="10">
        <v>45637</v>
      </c>
    </row>
    <row r="2379" spans="1:9" x14ac:dyDescent="0.15">
      <c r="A2379" s="9">
        <v>2378</v>
      </c>
      <c r="B2379" s="9" t="s">
        <v>9</v>
      </c>
      <c r="C2379" s="9">
        <v>1926</v>
      </c>
      <c r="D2379" s="10">
        <v>45722</v>
      </c>
      <c r="E2379" s="11" t="str">
        <f>+HYPERLINK("http://trademark.i-assist.jp/data/china/image_1926th/82482582.pdf","82482582")</f>
        <v>82482582</v>
      </c>
      <c r="F2379" s="12" t="s">
        <v>6518</v>
      </c>
      <c r="G2379" s="9" t="s">
        <v>6399</v>
      </c>
      <c r="H2379" s="9" t="s">
        <v>6519</v>
      </c>
      <c r="I2379" s="10">
        <v>45637</v>
      </c>
    </row>
    <row r="2380" spans="1:9" x14ac:dyDescent="0.15">
      <c r="A2380" s="9">
        <v>2379</v>
      </c>
      <c r="B2380" s="9" t="s">
        <v>9</v>
      </c>
      <c r="C2380" s="9">
        <v>1926</v>
      </c>
      <c r="D2380" s="10">
        <v>45722</v>
      </c>
      <c r="E2380" s="11" t="str">
        <f>+HYPERLINK("http://trademark.i-assist.jp/data/china/image_1926th/82482896.pdf","82482896")</f>
        <v>82482896</v>
      </c>
      <c r="F2380" s="12" t="s">
        <v>6520</v>
      </c>
      <c r="G2380" s="9" t="s">
        <v>6521</v>
      </c>
      <c r="H2380" s="9" t="s">
        <v>6522</v>
      </c>
      <c r="I2380" s="10">
        <v>45637</v>
      </c>
    </row>
    <row r="2381" spans="1:9" x14ac:dyDescent="0.15">
      <c r="A2381" s="9">
        <v>2380</v>
      </c>
      <c r="B2381" s="9" t="s">
        <v>9</v>
      </c>
      <c r="C2381" s="9">
        <v>1926</v>
      </c>
      <c r="D2381" s="10">
        <v>45722</v>
      </c>
      <c r="E2381" s="11" t="str">
        <f>+HYPERLINK("http://trademark.i-assist.jp/data/china/image_1926th/82482906.pdf","82482906")</f>
        <v>82482906</v>
      </c>
      <c r="F2381" s="9" t="s">
        <v>6523</v>
      </c>
      <c r="G2381" s="9" t="s">
        <v>173</v>
      </c>
      <c r="H2381" s="9" t="s">
        <v>6524</v>
      </c>
      <c r="I2381" s="10">
        <v>45637</v>
      </c>
    </row>
    <row r="2382" spans="1:9" x14ac:dyDescent="0.15">
      <c r="A2382" s="9">
        <v>2381</v>
      </c>
      <c r="B2382" s="9" t="s">
        <v>9</v>
      </c>
      <c r="C2382" s="9">
        <v>1926</v>
      </c>
      <c r="D2382" s="10">
        <v>45722</v>
      </c>
      <c r="E2382" s="11" t="str">
        <f>+HYPERLINK("http://trademark.i-assist.jp/data/china/image_1926th/82482983.pdf","82482983")</f>
        <v>82482983</v>
      </c>
      <c r="F2382" s="9" t="s">
        <v>6525</v>
      </c>
      <c r="G2382" s="9" t="s">
        <v>6526</v>
      </c>
      <c r="H2382" s="9" t="s">
        <v>6527</v>
      </c>
      <c r="I2382" s="10">
        <v>45637</v>
      </c>
    </row>
    <row r="2383" spans="1:9" x14ac:dyDescent="0.15">
      <c r="A2383" s="9">
        <v>2382</v>
      </c>
      <c r="B2383" s="9" t="s">
        <v>9</v>
      </c>
      <c r="C2383" s="9">
        <v>1926</v>
      </c>
      <c r="D2383" s="10">
        <v>45722</v>
      </c>
      <c r="E2383" s="11" t="str">
        <f>+HYPERLINK("http://trademark.i-assist.jp/data/china/image_1926th/82483025.pdf","82483025")</f>
        <v>82483025</v>
      </c>
      <c r="F2383" s="9" t="s">
        <v>6528</v>
      </c>
      <c r="G2383" s="9" t="s">
        <v>4498</v>
      </c>
      <c r="H2383" s="9" t="s">
        <v>6529</v>
      </c>
      <c r="I2383" s="10">
        <v>45637</v>
      </c>
    </row>
    <row r="2384" spans="1:9" x14ac:dyDescent="0.15">
      <c r="A2384" s="9">
        <v>2383</v>
      </c>
      <c r="B2384" s="9" t="s">
        <v>9</v>
      </c>
      <c r="C2384" s="9">
        <v>1926</v>
      </c>
      <c r="D2384" s="10">
        <v>45722</v>
      </c>
      <c r="E2384" s="11" t="str">
        <f>+HYPERLINK("http://trademark.i-assist.jp/data/china/image_1926th/82483278.pdf","82483278")</f>
        <v>82483278</v>
      </c>
      <c r="F2384" s="9" t="s">
        <v>6530</v>
      </c>
      <c r="G2384" s="12" t="s">
        <v>6531</v>
      </c>
      <c r="H2384" s="9" t="s">
        <v>6532</v>
      </c>
      <c r="I2384" s="10">
        <v>45637</v>
      </c>
    </row>
    <row r="2385" spans="1:9" x14ac:dyDescent="0.15">
      <c r="A2385" s="9">
        <v>2384</v>
      </c>
      <c r="B2385" s="9" t="s">
        <v>9</v>
      </c>
      <c r="C2385" s="9">
        <v>1926</v>
      </c>
      <c r="D2385" s="10">
        <v>45722</v>
      </c>
      <c r="E2385" s="11" t="str">
        <f>+HYPERLINK("http://trademark.i-assist.jp/data/china/image_1926th/82484228.pdf","82484228")</f>
        <v>82484228</v>
      </c>
      <c r="F2385" s="9" t="s">
        <v>6533</v>
      </c>
      <c r="G2385" s="12" t="s">
        <v>5352</v>
      </c>
      <c r="H2385" s="12" t="s">
        <v>6534</v>
      </c>
      <c r="I2385" s="10">
        <v>45637</v>
      </c>
    </row>
    <row r="2386" spans="1:9" x14ac:dyDescent="0.15">
      <c r="A2386" s="9">
        <v>2385</v>
      </c>
      <c r="B2386" s="9" t="s">
        <v>9</v>
      </c>
      <c r="C2386" s="9">
        <v>1926</v>
      </c>
      <c r="D2386" s="10">
        <v>45722</v>
      </c>
      <c r="E2386" s="11" t="str">
        <f>+HYPERLINK("http://trademark.i-assist.jp/data/china/image_1926th/82484262.pdf","82484262")</f>
        <v>82484262</v>
      </c>
      <c r="F2386" s="12" t="s">
        <v>6535</v>
      </c>
      <c r="G2386" s="12" t="s">
        <v>6110</v>
      </c>
      <c r="H2386" s="9" t="s">
        <v>6536</v>
      </c>
      <c r="I2386" s="10">
        <v>45637</v>
      </c>
    </row>
    <row r="2387" spans="1:9" x14ac:dyDescent="0.15">
      <c r="A2387" s="9">
        <v>2386</v>
      </c>
      <c r="B2387" s="9" t="s">
        <v>9</v>
      </c>
      <c r="C2387" s="9">
        <v>1926</v>
      </c>
      <c r="D2387" s="10">
        <v>45722</v>
      </c>
      <c r="E2387" s="11" t="str">
        <f>+HYPERLINK("http://trademark.i-assist.jp/data/china/image_1926th/82484329.pdf","82484329")</f>
        <v>82484329</v>
      </c>
      <c r="F2387" s="9" t="s">
        <v>6537</v>
      </c>
      <c r="G2387" s="9" t="s">
        <v>6422</v>
      </c>
      <c r="H2387" s="9" t="s">
        <v>6538</v>
      </c>
      <c r="I2387" s="10">
        <v>45637</v>
      </c>
    </row>
    <row r="2388" spans="1:9" x14ac:dyDescent="0.15">
      <c r="A2388" s="9">
        <v>2387</v>
      </c>
      <c r="B2388" s="9" t="s">
        <v>9</v>
      </c>
      <c r="C2388" s="9">
        <v>1926</v>
      </c>
      <c r="D2388" s="10">
        <v>45722</v>
      </c>
      <c r="E2388" s="11" t="str">
        <f>+HYPERLINK("http://trademark.i-assist.jp/data/china/image_1926th/82484378.pdf","82484378")</f>
        <v>82484378</v>
      </c>
      <c r="F2388" s="9" t="s">
        <v>6539</v>
      </c>
      <c r="G2388" s="9" t="s">
        <v>6540</v>
      </c>
      <c r="H2388" s="9" t="s">
        <v>6541</v>
      </c>
      <c r="I2388" s="10">
        <v>45637</v>
      </c>
    </row>
    <row r="2389" spans="1:9" x14ac:dyDescent="0.15">
      <c r="A2389" s="9">
        <v>2388</v>
      </c>
      <c r="B2389" s="9" t="s">
        <v>9</v>
      </c>
      <c r="C2389" s="9">
        <v>1926</v>
      </c>
      <c r="D2389" s="10">
        <v>45722</v>
      </c>
      <c r="E2389" s="11" t="str">
        <f>+HYPERLINK("http://trademark.i-assist.jp/data/china/image_1926th/82484547.pdf","82484547")</f>
        <v>82484547</v>
      </c>
      <c r="F2389" s="9" t="s">
        <v>6542</v>
      </c>
      <c r="G2389" s="9" t="s">
        <v>6543</v>
      </c>
      <c r="H2389" s="12" t="s">
        <v>6544</v>
      </c>
      <c r="I2389" s="10">
        <v>45637</v>
      </c>
    </row>
    <row r="2390" spans="1:9" x14ac:dyDescent="0.15">
      <c r="A2390" s="9">
        <v>2389</v>
      </c>
      <c r="B2390" s="9" t="s">
        <v>9</v>
      </c>
      <c r="C2390" s="9">
        <v>1926</v>
      </c>
      <c r="D2390" s="10">
        <v>45722</v>
      </c>
      <c r="E2390" s="11" t="str">
        <f>+HYPERLINK("http://trademark.i-assist.jp/data/china/image_1926th/82484559.pdf","82484559")</f>
        <v>82484559</v>
      </c>
      <c r="F2390" s="9" t="s">
        <v>6545</v>
      </c>
      <c r="G2390" s="9" t="s">
        <v>6543</v>
      </c>
      <c r="H2390" s="9" t="s">
        <v>6546</v>
      </c>
      <c r="I2390" s="10">
        <v>45637</v>
      </c>
    </row>
    <row r="2391" spans="1:9" x14ac:dyDescent="0.15">
      <c r="A2391" s="9">
        <v>2390</v>
      </c>
      <c r="B2391" s="9" t="s">
        <v>9</v>
      </c>
      <c r="C2391" s="9">
        <v>1926</v>
      </c>
      <c r="D2391" s="10">
        <v>45722</v>
      </c>
      <c r="E2391" s="11" t="str">
        <f>+HYPERLINK("http://trademark.i-assist.jp/data/china/image_1926th/82484908.pdf","82484908")</f>
        <v>82484908</v>
      </c>
      <c r="F2391" s="9" t="s">
        <v>6547</v>
      </c>
      <c r="G2391" s="12" t="s">
        <v>6548</v>
      </c>
      <c r="H2391" s="9" t="s">
        <v>6549</v>
      </c>
      <c r="I2391" s="10">
        <v>45637</v>
      </c>
    </row>
    <row r="2392" spans="1:9" x14ac:dyDescent="0.15">
      <c r="A2392" s="9">
        <v>2391</v>
      </c>
      <c r="B2392" s="9" t="s">
        <v>9</v>
      </c>
      <c r="C2392" s="9">
        <v>1926</v>
      </c>
      <c r="D2392" s="10">
        <v>45722</v>
      </c>
      <c r="E2392" s="11" t="str">
        <f>+HYPERLINK("http://trademark.i-assist.jp/data/china/image_1926th/82485279.pdf","82485279")</f>
        <v>82485279</v>
      </c>
      <c r="F2392" s="9" t="s">
        <v>6550</v>
      </c>
      <c r="G2392" s="12" t="s">
        <v>6551</v>
      </c>
      <c r="H2392" s="9" t="s">
        <v>6552</v>
      </c>
      <c r="I2392" s="10">
        <v>45637</v>
      </c>
    </row>
    <row r="2393" spans="1:9" x14ac:dyDescent="0.15">
      <c r="A2393" s="9">
        <v>2392</v>
      </c>
      <c r="B2393" s="9" t="s">
        <v>9</v>
      </c>
      <c r="C2393" s="9">
        <v>1926</v>
      </c>
      <c r="D2393" s="10">
        <v>45722</v>
      </c>
      <c r="E2393" s="11" t="str">
        <f>+HYPERLINK("http://trademark.i-assist.jp/data/china/image_1926th/82485461.pdf","82485461")</f>
        <v>82485461</v>
      </c>
      <c r="F2393" s="9" t="s">
        <v>6553</v>
      </c>
      <c r="G2393" s="9" t="s">
        <v>6554</v>
      </c>
      <c r="H2393" s="9" t="s">
        <v>6555</v>
      </c>
      <c r="I2393" s="10">
        <v>45637</v>
      </c>
    </row>
    <row r="2394" spans="1:9" x14ac:dyDescent="0.15">
      <c r="A2394" s="9">
        <v>2393</v>
      </c>
      <c r="B2394" s="9" t="s">
        <v>9</v>
      </c>
      <c r="C2394" s="9">
        <v>1926</v>
      </c>
      <c r="D2394" s="10">
        <v>45722</v>
      </c>
      <c r="E2394" s="11" t="str">
        <f>+HYPERLINK("http://trademark.i-assist.jp/data/china/image_1926th/82485507.pdf","82485507")</f>
        <v>82485507</v>
      </c>
      <c r="F2394" s="9" t="s">
        <v>6556</v>
      </c>
      <c r="G2394" s="9" t="s">
        <v>6557</v>
      </c>
      <c r="H2394" s="9" t="s">
        <v>6558</v>
      </c>
      <c r="I2394" s="10">
        <v>45637</v>
      </c>
    </row>
    <row r="2395" spans="1:9" x14ac:dyDescent="0.15">
      <c r="A2395" s="9">
        <v>2394</v>
      </c>
      <c r="B2395" s="9" t="s">
        <v>9</v>
      </c>
      <c r="C2395" s="9">
        <v>1926</v>
      </c>
      <c r="D2395" s="10">
        <v>45722</v>
      </c>
      <c r="E2395" s="11" t="str">
        <f>+HYPERLINK("http://trademark.i-assist.jp/data/china/image_1926th/82485557.pdf","82485557")</f>
        <v>82485557</v>
      </c>
      <c r="F2395" s="9" t="s">
        <v>6559</v>
      </c>
      <c r="G2395" s="9" t="s">
        <v>6560</v>
      </c>
      <c r="H2395" s="9" t="s">
        <v>6561</v>
      </c>
      <c r="I2395" s="10">
        <v>45637</v>
      </c>
    </row>
    <row r="2396" spans="1:9" x14ac:dyDescent="0.15">
      <c r="A2396" s="9">
        <v>2395</v>
      </c>
      <c r="B2396" s="9" t="s">
        <v>9</v>
      </c>
      <c r="C2396" s="9">
        <v>1926</v>
      </c>
      <c r="D2396" s="10">
        <v>45722</v>
      </c>
      <c r="E2396" s="11" t="str">
        <f>+HYPERLINK("http://trademark.i-assist.jp/data/china/image_1926th/82486320.pdf","82486320")</f>
        <v>82486320</v>
      </c>
      <c r="F2396" s="9" t="s">
        <v>6562</v>
      </c>
      <c r="G2396" s="9" t="s">
        <v>6563</v>
      </c>
      <c r="H2396" s="9" t="s">
        <v>6564</v>
      </c>
      <c r="I2396" s="10">
        <v>45637</v>
      </c>
    </row>
    <row r="2397" spans="1:9" x14ac:dyDescent="0.15">
      <c r="A2397" s="9">
        <v>2396</v>
      </c>
      <c r="B2397" s="9" t="s">
        <v>9</v>
      </c>
      <c r="C2397" s="9">
        <v>1926</v>
      </c>
      <c r="D2397" s="10">
        <v>45722</v>
      </c>
      <c r="E2397" s="11" t="str">
        <f>+HYPERLINK("http://trademark.i-assist.jp/data/china/image_1926th/82486691.pdf","82486691")</f>
        <v>82486691</v>
      </c>
      <c r="F2397" s="12" t="s">
        <v>20</v>
      </c>
      <c r="G2397" s="12" t="s">
        <v>6565</v>
      </c>
      <c r="H2397" s="9" t="s">
        <v>6566</v>
      </c>
      <c r="I2397" s="10">
        <v>45637</v>
      </c>
    </row>
    <row r="2398" spans="1:9" x14ac:dyDescent="0.15">
      <c r="A2398" s="9">
        <v>2397</v>
      </c>
      <c r="B2398" s="9" t="s">
        <v>9</v>
      </c>
      <c r="C2398" s="9">
        <v>1926</v>
      </c>
      <c r="D2398" s="10">
        <v>45722</v>
      </c>
      <c r="E2398" s="11" t="str">
        <f>+HYPERLINK("http://trademark.i-assist.jp/data/china/image_1926th/82486760.pdf","82486760")</f>
        <v>82486760</v>
      </c>
      <c r="F2398" s="12" t="s">
        <v>6567</v>
      </c>
      <c r="G2398" s="12" t="s">
        <v>143</v>
      </c>
      <c r="H2398" s="9" t="s">
        <v>6568</v>
      </c>
      <c r="I2398" s="10">
        <v>45637</v>
      </c>
    </row>
    <row r="2399" spans="1:9" x14ac:dyDescent="0.15">
      <c r="A2399" s="9">
        <v>2398</v>
      </c>
      <c r="B2399" s="9" t="s">
        <v>9</v>
      </c>
      <c r="C2399" s="9">
        <v>1926</v>
      </c>
      <c r="D2399" s="10">
        <v>45722</v>
      </c>
      <c r="E2399" s="11" t="str">
        <f>+HYPERLINK("http://trademark.i-assist.jp/data/china/image_1926th/82486832.pdf","82486832")</f>
        <v>82486832</v>
      </c>
      <c r="F2399" s="12" t="s">
        <v>6569</v>
      </c>
      <c r="G2399" s="9" t="s">
        <v>6570</v>
      </c>
      <c r="H2399" s="9" t="s">
        <v>6571</v>
      </c>
      <c r="I2399" s="10">
        <v>45637</v>
      </c>
    </row>
    <row r="2400" spans="1:9" x14ac:dyDescent="0.15">
      <c r="A2400" s="9">
        <v>2399</v>
      </c>
      <c r="B2400" s="9" t="s">
        <v>9</v>
      </c>
      <c r="C2400" s="9">
        <v>1926</v>
      </c>
      <c r="D2400" s="10">
        <v>45722</v>
      </c>
      <c r="E2400" s="11" t="str">
        <f>+HYPERLINK("http://trademark.i-assist.jp/data/china/image_1926th/82486887.pdf","82486887")</f>
        <v>82486887</v>
      </c>
      <c r="F2400" s="9" t="s">
        <v>6572</v>
      </c>
      <c r="G2400" s="12" t="s">
        <v>143</v>
      </c>
      <c r="H2400" s="9" t="s">
        <v>6573</v>
      </c>
      <c r="I2400" s="10">
        <v>45637</v>
      </c>
    </row>
    <row r="2401" spans="1:9" x14ac:dyDescent="0.15">
      <c r="A2401" s="9">
        <v>2400</v>
      </c>
      <c r="B2401" s="9" t="s">
        <v>9</v>
      </c>
      <c r="C2401" s="9">
        <v>1926</v>
      </c>
      <c r="D2401" s="10">
        <v>45722</v>
      </c>
      <c r="E2401" s="11" t="str">
        <f>+HYPERLINK("http://trademark.i-assist.jp/data/china/image_1926th/82487309.pdf","82487309")</f>
        <v>82487309</v>
      </c>
      <c r="F2401" s="9" t="s">
        <v>6574</v>
      </c>
      <c r="G2401" s="13" t="s">
        <v>6575</v>
      </c>
      <c r="H2401" s="9" t="s">
        <v>6576</v>
      </c>
      <c r="I2401" s="10">
        <v>45637</v>
      </c>
    </row>
    <row r="2402" spans="1:9" x14ac:dyDescent="0.15">
      <c r="A2402" s="9">
        <v>2401</v>
      </c>
      <c r="B2402" s="9" t="s">
        <v>9</v>
      </c>
      <c r="C2402" s="9">
        <v>1926</v>
      </c>
      <c r="D2402" s="10">
        <v>45722</v>
      </c>
      <c r="E2402" s="11" t="str">
        <f>+HYPERLINK("http://trademark.i-assist.jp/data/china/image_1926th/82488038.pdf","82488038")</f>
        <v>82488038</v>
      </c>
      <c r="F2402" s="12" t="s">
        <v>6577</v>
      </c>
      <c r="G2402" s="9" t="s">
        <v>189</v>
      </c>
      <c r="H2402" s="12" t="s">
        <v>6578</v>
      </c>
      <c r="I2402" s="10">
        <v>45637</v>
      </c>
    </row>
    <row r="2403" spans="1:9" x14ac:dyDescent="0.15">
      <c r="A2403" s="9">
        <v>2402</v>
      </c>
      <c r="B2403" s="9" t="s">
        <v>9</v>
      </c>
      <c r="C2403" s="9">
        <v>1926</v>
      </c>
      <c r="D2403" s="10">
        <v>45722</v>
      </c>
      <c r="E2403" s="11" t="str">
        <f>+HYPERLINK("http://trademark.i-assist.jp/data/china/image_1926th/82488084.pdf","82488084")</f>
        <v>82488084</v>
      </c>
      <c r="F2403" s="12" t="s">
        <v>20</v>
      </c>
      <c r="G2403" s="9" t="s">
        <v>6579</v>
      </c>
      <c r="H2403" s="9" t="s">
        <v>6580</v>
      </c>
      <c r="I2403" s="10">
        <v>45637</v>
      </c>
    </row>
    <row r="2404" spans="1:9" x14ac:dyDescent="0.15">
      <c r="A2404" s="9">
        <v>2403</v>
      </c>
      <c r="B2404" s="9" t="s">
        <v>9</v>
      </c>
      <c r="C2404" s="9">
        <v>1926</v>
      </c>
      <c r="D2404" s="10">
        <v>45722</v>
      </c>
      <c r="E2404" s="11" t="str">
        <f>+HYPERLINK("http://trademark.i-assist.jp/data/china/image_1926th/82488122.pdf","82488122")</f>
        <v>82488122</v>
      </c>
      <c r="F2404" s="9" t="s">
        <v>6581</v>
      </c>
      <c r="G2404" s="9" t="s">
        <v>6582</v>
      </c>
      <c r="H2404" s="12" t="s">
        <v>6583</v>
      </c>
      <c r="I2404" s="10">
        <v>45637</v>
      </c>
    </row>
    <row r="2405" spans="1:9" x14ac:dyDescent="0.15">
      <c r="A2405" s="9">
        <v>2404</v>
      </c>
      <c r="B2405" s="9" t="s">
        <v>9</v>
      </c>
      <c r="C2405" s="9">
        <v>1926</v>
      </c>
      <c r="D2405" s="10">
        <v>45722</v>
      </c>
      <c r="E2405" s="11" t="str">
        <f>+HYPERLINK("http://trademark.i-assist.jp/data/china/image_1926th/82488523.pdf","82488523")</f>
        <v>82488523</v>
      </c>
      <c r="F2405" s="9" t="s">
        <v>6584</v>
      </c>
      <c r="G2405" s="9" t="s">
        <v>6585</v>
      </c>
      <c r="H2405" s="9" t="s">
        <v>6586</v>
      </c>
      <c r="I2405" s="10">
        <v>45637</v>
      </c>
    </row>
    <row r="2406" spans="1:9" x14ac:dyDescent="0.15">
      <c r="A2406" s="9">
        <v>2405</v>
      </c>
      <c r="B2406" s="9" t="s">
        <v>9</v>
      </c>
      <c r="C2406" s="9">
        <v>1926</v>
      </c>
      <c r="D2406" s="10">
        <v>45722</v>
      </c>
      <c r="E2406" s="11" t="str">
        <f>+HYPERLINK("http://trademark.i-assist.jp/data/china/image_1926th/82488575.pdf","82488575")</f>
        <v>82488575</v>
      </c>
      <c r="F2406" s="9" t="s">
        <v>6587</v>
      </c>
      <c r="G2406" s="9" t="s">
        <v>6588</v>
      </c>
      <c r="H2406" s="9" t="s">
        <v>6589</v>
      </c>
      <c r="I2406" s="10">
        <v>45637</v>
      </c>
    </row>
    <row r="2407" spans="1:9" x14ac:dyDescent="0.15">
      <c r="A2407" s="9">
        <v>2406</v>
      </c>
      <c r="B2407" s="9" t="s">
        <v>9</v>
      </c>
      <c r="C2407" s="9">
        <v>1926</v>
      </c>
      <c r="D2407" s="10">
        <v>45722</v>
      </c>
      <c r="E2407" s="11" t="str">
        <f>+HYPERLINK("http://trademark.i-assist.jp/data/china/image_1926th/82488807.pdf","82488807")</f>
        <v>82488807</v>
      </c>
      <c r="F2407" s="12" t="s">
        <v>6590</v>
      </c>
      <c r="G2407" s="12" t="s">
        <v>6591</v>
      </c>
      <c r="H2407" s="9" t="s">
        <v>6592</v>
      </c>
      <c r="I2407" s="10">
        <v>45637</v>
      </c>
    </row>
    <row r="2408" spans="1:9" x14ac:dyDescent="0.15">
      <c r="A2408" s="9">
        <v>2407</v>
      </c>
      <c r="B2408" s="9" t="s">
        <v>9</v>
      </c>
      <c r="C2408" s="9">
        <v>1926</v>
      </c>
      <c r="D2408" s="10">
        <v>45722</v>
      </c>
      <c r="E2408" s="11" t="str">
        <f>+HYPERLINK("http://trademark.i-assist.jp/data/china/image_1926th/82488813.pdf","82488813")</f>
        <v>82488813</v>
      </c>
      <c r="F2408" s="12" t="s">
        <v>6593</v>
      </c>
      <c r="G2408" s="12" t="s">
        <v>6594</v>
      </c>
      <c r="H2408" s="12" t="s">
        <v>6595</v>
      </c>
      <c r="I2408" s="10">
        <v>45637</v>
      </c>
    </row>
    <row r="2409" spans="1:9" x14ac:dyDescent="0.15">
      <c r="A2409" s="9">
        <v>2408</v>
      </c>
      <c r="B2409" s="9" t="s">
        <v>9</v>
      </c>
      <c r="C2409" s="9">
        <v>1926</v>
      </c>
      <c r="D2409" s="10">
        <v>45722</v>
      </c>
      <c r="E2409" s="11" t="str">
        <f>+HYPERLINK("http://trademark.i-assist.jp/data/china/image_1926th/82488988.pdf","82488988")</f>
        <v>82488988</v>
      </c>
      <c r="F2409" s="9" t="s">
        <v>6596</v>
      </c>
      <c r="G2409" s="12" t="s">
        <v>5352</v>
      </c>
      <c r="H2409" s="9" t="s">
        <v>6597</v>
      </c>
      <c r="I2409" s="10">
        <v>45637</v>
      </c>
    </row>
    <row r="2410" spans="1:9" x14ac:dyDescent="0.15">
      <c r="A2410" s="9">
        <v>2409</v>
      </c>
      <c r="B2410" s="9" t="s">
        <v>9</v>
      </c>
      <c r="C2410" s="9">
        <v>1926</v>
      </c>
      <c r="D2410" s="10">
        <v>45722</v>
      </c>
      <c r="E2410" s="11" t="str">
        <f>+HYPERLINK("http://trademark.i-assist.jp/data/china/image_1926th/82489062.pdf","82489062")</f>
        <v>82489062</v>
      </c>
      <c r="F2410" s="9" t="s">
        <v>6598</v>
      </c>
      <c r="G2410" s="12" t="s">
        <v>6599</v>
      </c>
      <c r="H2410" s="9" t="s">
        <v>6600</v>
      </c>
      <c r="I2410" s="10">
        <v>45637</v>
      </c>
    </row>
    <row r="2411" spans="1:9" x14ac:dyDescent="0.15">
      <c r="A2411" s="9">
        <v>2410</v>
      </c>
      <c r="B2411" s="9" t="s">
        <v>9</v>
      </c>
      <c r="C2411" s="9">
        <v>1926</v>
      </c>
      <c r="D2411" s="10">
        <v>45722</v>
      </c>
      <c r="E2411" s="11" t="str">
        <f>+HYPERLINK("http://trademark.i-assist.jp/data/china/image_1926th/82489118.pdf","82489118")</f>
        <v>82489118</v>
      </c>
      <c r="F2411" s="12" t="s">
        <v>6601</v>
      </c>
      <c r="G2411" s="9" t="s">
        <v>6560</v>
      </c>
      <c r="H2411" s="9" t="s">
        <v>6602</v>
      </c>
      <c r="I2411" s="10">
        <v>45637</v>
      </c>
    </row>
    <row r="2412" spans="1:9" x14ac:dyDescent="0.15">
      <c r="A2412" s="9">
        <v>2411</v>
      </c>
      <c r="B2412" s="9" t="s">
        <v>9</v>
      </c>
      <c r="C2412" s="9">
        <v>1926</v>
      </c>
      <c r="D2412" s="10">
        <v>45722</v>
      </c>
      <c r="E2412" s="11" t="str">
        <f>+HYPERLINK("http://trademark.i-assist.jp/data/china/image_1926th/82489252.pdf","82489252")</f>
        <v>82489252</v>
      </c>
      <c r="F2412" s="12" t="s">
        <v>6603</v>
      </c>
      <c r="G2412" s="9" t="s">
        <v>6604</v>
      </c>
      <c r="H2412" s="9" t="s">
        <v>6605</v>
      </c>
      <c r="I2412" s="10">
        <v>45637</v>
      </c>
    </row>
    <row r="2413" spans="1:9" x14ac:dyDescent="0.15">
      <c r="A2413" s="9">
        <v>2412</v>
      </c>
      <c r="B2413" s="9" t="s">
        <v>9</v>
      </c>
      <c r="C2413" s="9">
        <v>1926</v>
      </c>
      <c r="D2413" s="10">
        <v>45722</v>
      </c>
      <c r="E2413" s="11" t="str">
        <f>+HYPERLINK("http://trademark.i-assist.jp/data/china/image_1926th/82489433.pdf","82489433")</f>
        <v>82489433</v>
      </c>
      <c r="F2413" s="9" t="s">
        <v>6606</v>
      </c>
      <c r="G2413" s="9" t="s">
        <v>6607</v>
      </c>
      <c r="H2413" s="9" t="s">
        <v>6608</v>
      </c>
      <c r="I2413" s="10">
        <v>45637</v>
      </c>
    </row>
    <row r="2414" spans="1:9" x14ac:dyDescent="0.15">
      <c r="A2414" s="9">
        <v>2413</v>
      </c>
      <c r="B2414" s="9" t="s">
        <v>9</v>
      </c>
      <c r="C2414" s="9">
        <v>1926</v>
      </c>
      <c r="D2414" s="10">
        <v>45722</v>
      </c>
      <c r="E2414" s="11" t="str">
        <f>+HYPERLINK("http://trademark.i-assist.jp/data/china/image_1926th/82489502.pdf","82489502")</f>
        <v>82489502</v>
      </c>
      <c r="F2414" s="9" t="s">
        <v>6609</v>
      </c>
      <c r="G2414" s="12" t="s">
        <v>205</v>
      </c>
      <c r="H2414" s="9" t="s">
        <v>6610</v>
      </c>
      <c r="I2414" s="10">
        <v>45637</v>
      </c>
    </row>
    <row r="2415" spans="1:9" x14ac:dyDescent="0.15">
      <c r="A2415" s="9">
        <v>2414</v>
      </c>
      <c r="B2415" s="9" t="s">
        <v>9</v>
      </c>
      <c r="C2415" s="9">
        <v>1926</v>
      </c>
      <c r="D2415" s="10">
        <v>45722</v>
      </c>
      <c r="E2415" s="11" t="str">
        <f>+HYPERLINK("http://trademark.i-assist.jp/data/china/image_1926th/82489835.pdf","82489835")</f>
        <v>82489835</v>
      </c>
      <c r="F2415" s="9" t="s">
        <v>6611</v>
      </c>
      <c r="G2415" s="9" t="s">
        <v>6612</v>
      </c>
      <c r="H2415" s="12" t="s">
        <v>6613</v>
      </c>
      <c r="I2415" s="10">
        <v>45637</v>
      </c>
    </row>
    <row r="2416" spans="1:9" x14ac:dyDescent="0.15">
      <c r="A2416" s="9">
        <v>2415</v>
      </c>
      <c r="B2416" s="9" t="s">
        <v>9</v>
      </c>
      <c r="C2416" s="9">
        <v>1926</v>
      </c>
      <c r="D2416" s="10">
        <v>45722</v>
      </c>
      <c r="E2416" s="11" t="str">
        <f>+HYPERLINK("http://trademark.i-assist.jp/data/china/image_1926th/82489928.pdf","82489928")</f>
        <v>82489928</v>
      </c>
      <c r="F2416" s="9" t="s">
        <v>6614</v>
      </c>
      <c r="G2416" s="9" t="s">
        <v>6615</v>
      </c>
      <c r="H2416" s="9" t="s">
        <v>6616</v>
      </c>
      <c r="I2416" s="10">
        <v>45637</v>
      </c>
    </row>
    <row r="2417" spans="1:9" x14ac:dyDescent="0.15">
      <c r="A2417" s="9">
        <v>2416</v>
      </c>
      <c r="B2417" s="9" t="s">
        <v>9</v>
      </c>
      <c r="C2417" s="9">
        <v>1926</v>
      </c>
      <c r="D2417" s="10">
        <v>45722</v>
      </c>
      <c r="E2417" s="11" t="str">
        <f>+HYPERLINK("http://trademark.i-assist.jp/data/china/image_1926th/82489963.pdf","82489963")</f>
        <v>82489963</v>
      </c>
      <c r="F2417" s="9" t="s">
        <v>6617</v>
      </c>
      <c r="G2417" s="12" t="s">
        <v>6618</v>
      </c>
      <c r="H2417" s="9" t="s">
        <v>6619</v>
      </c>
      <c r="I2417" s="10">
        <v>45637</v>
      </c>
    </row>
    <row r="2418" spans="1:9" x14ac:dyDescent="0.15">
      <c r="A2418" s="9">
        <v>2417</v>
      </c>
      <c r="B2418" s="9" t="s">
        <v>9</v>
      </c>
      <c r="C2418" s="9">
        <v>1926</v>
      </c>
      <c r="D2418" s="10">
        <v>45722</v>
      </c>
      <c r="E2418" s="11" t="str">
        <f>+HYPERLINK("http://trademark.i-assist.jp/data/china/image_1926th/82490285.pdf","82490285")</f>
        <v>82490285</v>
      </c>
      <c r="F2418" s="9" t="s">
        <v>6620</v>
      </c>
      <c r="G2418" s="9" t="s">
        <v>6621</v>
      </c>
      <c r="H2418" s="9" t="s">
        <v>6622</v>
      </c>
      <c r="I2418" s="10">
        <v>45637</v>
      </c>
    </row>
    <row r="2419" spans="1:9" x14ac:dyDescent="0.15">
      <c r="A2419" s="9">
        <v>2418</v>
      </c>
      <c r="B2419" s="9" t="s">
        <v>9</v>
      </c>
      <c r="C2419" s="9">
        <v>1926</v>
      </c>
      <c r="D2419" s="10">
        <v>45722</v>
      </c>
      <c r="E2419" s="11" t="str">
        <f>+HYPERLINK("http://trademark.i-assist.jp/data/china/image_1926th/82490830.pdf","82490830")</f>
        <v>82490830</v>
      </c>
      <c r="F2419" s="12" t="s">
        <v>6623</v>
      </c>
      <c r="G2419" s="12" t="s">
        <v>6624</v>
      </c>
      <c r="H2419" s="9" t="s">
        <v>6625</v>
      </c>
      <c r="I2419" s="10">
        <v>45637</v>
      </c>
    </row>
    <row r="2420" spans="1:9" x14ac:dyDescent="0.15">
      <c r="A2420" s="9">
        <v>2419</v>
      </c>
      <c r="B2420" s="9" t="s">
        <v>9</v>
      </c>
      <c r="C2420" s="9">
        <v>1926</v>
      </c>
      <c r="D2420" s="10">
        <v>45722</v>
      </c>
      <c r="E2420" s="11" t="str">
        <f>+HYPERLINK("http://trademark.i-assist.jp/data/china/image_1926th/82490973.pdf","82490973")</f>
        <v>82490973</v>
      </c>
      <c r="F2420" s="9" t="s">
        <v>6626</v>
      </c>
      <c r="G2420" s="9" t="s">
        <v>6607</v>
      </c>
      <c r="H2420" s="9" t="s">
        <v>6627</v>
      </c>
      <c r="I2420" s="10">
        <v>45637</v>
      </c>
    </row>
    <row r="2421" spans="1:9" x14ac:dyDescent="0.15">
      <c r="A2421" s="9">
        <v>2420</v>
      </c>
      <c r="B2421" s="9" t="s">
        <v>9</v>
      </c>
      <c r="C2421" s="9">
        <v>1926</v>
      </c>
      <c r="D2421" s="10">
        <v>45722</v>
      </c>
      <c r="E2421" s="11" t="str">
        <f>+HYPERLINK("http://trademark.i-assist.jp/data/china/image_1926th/82491026.pdf","82491026")</f>
        <v>82491026</v>
      </c>
      <c r="F2421" s="12" t="s">
        <v>6628</v>
      </c>
      <c r="G2421" s="12" t="s">
        <v>143</v>
      </c>
      <c r="H2421" s="9" t="s">
        <v>6629</v>
      </c>
      <c r="I2421" s="10">
        <v>45637</v>
      </c>
    </row>
    <row r="2422" spans="1:9" x14ac:dyDescent="0.15">
      <c r="A2422" s="9">
        <v>2421</v>
      </c>
      <c r="B2422" s="9" t="s">
        <v>9</v>
      </c>
      <c r="C2422" s="9">
        <v>1926</v>
      </c>
      <c r="D2422" s="10">
        <v>45722</v>
      </c>
      <c r="E2422" s="11" t="str">
        <f>+HYPERLINK("http://trademark.i-assist.jp/data/china/image_1926th/82491168.pdf","82491168")</f>
        <v>82491168</v>
      </c>
      <c r="F2422" s="9" t="s">
        <v>6630</v>
      </c>
      <c r="G2422" s="12" t="s">
        <v>6631</v>
      </c>
      <c r="H2422" s="9" t="s">
        <v>6632</v>
      </c>
      <c r="I2422" s="10">
        <v>45637</v>
      </c>
    </row>
    <row r="2423" spans="1:9" x14ac:dyDescent="0.15">
      <c r="A2423" s="9">
        <v>2422</v>
      </c>
      <c r="B2423" s="9" t="s">
        <v>9</v>
      </c>
      <c r="C2423" s="9">
        <v>1926</v>
      </c>
      <c r="D2423" s="10">
        <v>45722</v>
      </c>
      <c r="E2423" s="11" t="str">
        <f>+HYPERLINK("http://trademark.i-assist.jp/data/china/image_1926th/82491724.pdf","82491724")</f>
        <v>82491724</v>
      </c>
      <c r="F2423" s="9" t="s">
        <v>6633</v>
      </c>
      <c r="G2423" s="12" t="s">
        <v>167</v>
      </c>
      <c r="H2423" s="9" t="s">
        <v>6634</v>
      </c>
      <c r="I2423" s="10">
        <v>45637</v>
      </c>
    </row>
    <row r="2424" spans="1:9" x14ac:dyDescent="0.15">
      <c r="A2424" s="9">
        <v>2423</v>
      </c>
      <c r="B2424" s="9" t="s">
        <v>9</v>
      </c>
      <c r="C2424" s="9">
        <v>1926</v>
      </c>
      <c r="D2424" s="10">
        <v>45722</v>
      </c>
      <c r="E2424" s="11" t="str">
        <f>+HYPERLINK("http://trademark.i-assist.jp/data/china/image_1926th/82491730.pdf","82491730")</f>
        <v>82491730</v>
      </c>
      <c r="F2424" s="9" t="s">
        <v>6635</v>
      </c>
      <c r="G2424" s="9" t="s">
        <v>173</v>
      </c>
      <c r="H2424" s="9" t="s">
        <v>6636</v>
      </c>
      <c r="I2424" s="10">
        <v>45637</v>
      </c>
    </row>
    <row r="2425" spans="1:9" x14ac:dyDescent="0.15">
      <c r="A2425" s="9">
        <v>2424</v>
      </c>
      <c r="B2425" s="9" t="s">
        <v>9</v>
      </c>
      <c r="C2425" s="9">
        <v>1926</v>
      </c>
      <c r="D2425" s="10">
        <v>45722</v>
      </c>
      <c r="E2425" s="11" t="str">
        <f>+HYPERLINK("http://trademark.i-assist.jp/data/china/image_1926th/82491785.pdf","82491785")</f>
        <v>82491785</v>
      </c>
      <c r="F2425" s="9" t="s">
        <v>6637</v>
      </c>
      <c r="G2425" s="9" t="s">
        <v>6638</v>
      </c>
      <c r="H2425" s="9" t="s">
        <v>6639</v>
      </c>
      <c r="I2425" s="10">
        <v>45637</v>
      </c>
    </row>
    <row r="2426" spans="1:9" x14ac:dyDescent="0.15">
      <c r="A2426" s="9">
        <v>2425</v>
      </c>
      <c r="B2426" s="9" t="s">
        <v>9</v>
      </c>
      <c r="C2426" s="9">
        <v>1926</v>
      </c>
      <c r="D2426" s="10">
        <v>45722</v>
      </c>
      <c r="E2426" s="11" t="str">
        <f>+HYPERLINK("http://trademark.i-assist.jp/data/china/image_1926th/82491960.pdf","82491960")</f>
        <v>82491960</v>
      </c>
      <c r="F2426" s="9" t="s">
        <v>6640</v>
      </c>
      <c r="G2426" s="12" t="s">
        <v>6641</v>
      </c>
      <c r="H2426" s="9" t="s">
        <v>6642</v>
      </c>
      <c r="I2426" s="10">
        <v>45637</v>
      </c>
    </row>
    <row r="2427" spans="1:9" x14ac:dyDescent="0.15">
      <c r="A2427" s="9">
        <v>2426</v>
      </c>
      <c r="B2427" s="9" t="s">
        <v>9</v>
      </c>
      <c r="C2427" s="9">
        <v>1926</v>
      </c>
      <c r="D2427" s="10">
        <v>45722</v>
      </c>
      <c r="E2427" s="11" t="str">
        <f>+HYPERLINK("http://trademark.i-assist.jp/data/china/image_1926th/82492095.pdf","82492095")</f>
        <v>82492095</v>
      </c>
      <c r="F2427" s="9" t="s">
        <v>6643</v>
      </c>
      <c r="G2427" s="12" t="s">
        <v>6644</v>
      </c>
      <c r="H2427" s="12" t="s">
        <v>6645</v>
      </c>
      <c r="I2427" s="10">
        <v>45637</v>
      </c>
    </row>
    <row r="2428" spans="1:9" x14ac:dyDescent="0.15">
      <c r="A2428" s="9">
        <v>2427</v>
      </c>
      <c r="B2428" s="9" t="s">
        <v>9</v>
      </c>
      <c r="C2428" s="9">
        <v>1926</v>
      </c>
      <c r="D2428" s="10">
        <v>45722</v>
      </c>
      <c r="E2428" s="11" t="str">
        <f>+HYPERLINK("http://trademark.i-assist.jp/data/china/image_1926th/82492587.pdf","82492587")</f>
        <v>82492587</v>
      </c>
      <c r="F2428" s="9" t="s">
        <v>6646</v>
      </c>
      <c r="G2428" s="9" t="s">
        <v>4924</v>
      </c>
      <c r="H2428" s="9" t="s">
        <v>6647</v>
      </c>
      <c r="I2428" s="10">
        <v>45637</v>
      </c>
    </row>
    <row r="2429" spans="1:9" x14ac:dyDescent="0.15">
      <c r="A2429" s="9">
        <v>2428</v>
      </c>
      <c r="B2429" s="9" t="s">
        <v>9</v>
      </c>
      <c r="C2429" s="9">
        <v>1926</v>
      </c>
      <c r="D2429" s="10">
        <v>45722</v>
      </c>
      <c r="E2429" s="11" t="str">
        <f>+HYPERLINK("http://trademark.i-assist.jp/data/china/image_1926th/82492732.pdf","82492732")</f>
        <v>82492732</v>
      </c>
      <c r="F2429" s="9" t="s">
        <v>6648</v>
      </c>
      <c r="G2429" s="9" t="s">
        <v>6649</v>
      </c>
      <c r="H2429" s="9" t="s">
        <v>6650</v>
      </c>
      <c r="I2429" s="10">
        <v>45637</v>
      </c>
    </row>
    <row r="2430" spans="1:9" x14ac:dyDescent="0.15">
      <c r="A2430" s="9">
        <v>2429</v>
      </c>
      <c r="B2430" s="9" t="s">
        <v>9</v>
      </c>
      <c r="C2430" s="9">
        <v>1926</v>
      </c>
      <c r="D2430" s="10">
        <v>45722</v>
      </c>
      <c r="E2430" s="11" t="str">
        <f>+HYPERLINK("http://trademark.i-assist.jp/data/china/image_1926th/82493430.pdf","82493430")</f>
        <v>82493430</v>
      </c>
      <c r="F2430" s="9" t="s">
        <v>6651</v>
      </c>
      <c r="G2430" s="9" t="s">
        <v>6652</v>
      </c>
      <c r="H2430" s="9" t="s">
        <v>6653</v>
      </c>
      <c r="I2430" s="10">
        <v>45637</v>
      </c>
    </row>
    <row r="2431" spans="1:9" x14ac:dyDescent="0.15">
      <c r="A2431" s="9">
        <v>2430</v>
      </c>
      <c r="B2431" s="9" t="s">
        <v>9</v>
      </c>
      <c r="C2431" s="9">
        <v>1926</v>
      </c>
      <c r="D2431" s="10">
        <v>45722</v>
      </c>
      <c r="E2431" s="11" t="str">
        <f>+HYPERLINK("http://trademark.i-assist.jp/data/china/image_1926th/82493443.pdf","82493443")</f>
        <v>82493443</v>
      </c>
      <c r="F2431" s="9" t="s">
        <v>6654</v>
      </c>
      <c r="G2431" s="12" t="s">
        <v>6655</v>
      </c>
      <c r="H2431" s="9" t="s">
        <v>6656</v>
      </c>
      <c r="I2431" s="10">
        <v>45637</v>
      </c>
    </row>
    <row r="2432" spans="1:9" x14ac:dyDescent="0.15">
      <c r="A2432" s="9">
        <v>2431</v>
      </c>
      <c r="B2432" s="9" t="s">
        <v>9</v>
      </c>
      <c r="C2432" s="9">
        <v>1926</v>
      </c>
      <c r="D2432" s="10">
        <v>45722</v>
      </c>
      <c r="E2432" s="11" t="str">
        <f>+HYPERLINK("http://trademark.i-assist.jp/data/china/image_1926th/82493562.pdf","82493562")</f>
        <v>82493562</v>
      </c>
      <c r="F2432" s="9" t="s">
        <v>6657</v>
      </c>
      <c r="G2432" s="12" t="s">
        <v>6658</v>
      </c>
      <c r="H2432" s="9" t="s">
        <v>6659</v>
      </c>
      <c r="I2432" s="10">
        <v>45637</v>
      </c>
    </row>
    <row r="2433" spans="1:9" x14ac:dyDescent="0.15">
      <c r="A2433" s="9">
        <v>2432</v>
      </c>
      <c r="B2433" s="9" t="s">
        <v>9</v>
      </c>
      <c r="C2433" s="9">
        <v>1926</v>
      </c>
      <c r="D2433" s="10">
        <v>45722</v>
      </c>
      <c r="E2433" s="11" t="str">
        <f>+HYPERLINK("http://trademark.i-assist.jp/data/china/image_1926th/82493747.pdf","82493747")</f>
        <v>82493747</v>
      </c>
      <c r="F2433" s="12" t="s">
        <v>6660</v>
      </c>
      <c r="G2433" s="9" t="s">
        <v>6661</v>
      </c>
      <c r="H2433" s="9" t="s">
        <v>6662</v>
      </c>
      <c r="I2433" s="10">
        <v>45637</v>
      </c>
    </row>
    <row r="2434" spans="1:9" x14ac:dyDescent="0.15">
      <c r="A2434" s="9">
        <v>2433</v>
      </c>
      <c r="B2434" s="9" t="s">
        <v>9</v>
      </c>
      <c r="C2434" s="9">
        <v>1926</v>
      </c>
      <c r="D2434" s="10">
        <v>45722</v>
      </c>
      <c r="E2434" s="11" t="str">
        <f>+HYPERLINK("http://trademark.i-assist.jp/data/china/image_1926th/82494313.pdf","82494313")</f>
        <v>82494313</v>
      </c>
      <c r="F2434" s="9" t="s">
        <v>6663</v>
      </c>
      <c r="G2434" s="9" t="s">
        <v>6664</v>
      </c>
      <c r="H2434" s="12" t="s">
        <v>6665</v>
      </c>
      <c r="I2434" s="10">
        <v>45637</v>
      </c>
    </row>
    <row r="2435" spans="1:9" x14ac:dyDescent="0.15">
      <c r="A2435" s="9">
        <v>2434</v>
      </c>
      <c r="B2435" s="9" t="s">
        <v>9</v>
      </c>
      <c r="C2435" s="9">
        <v>1926</v>
      </c>
      <c r="D2435" s="10">
        <v>45722</v>
      </c>
      <c r="E2435" s="11" t="str">
        <f>+HYPERLINK("http://trademark.i-assist.jp/data/china/image_1926th/82494487.pdf","82494487")</f>
        <v>82494487</v>
      </c>
      <c r="F2435" s="12" t="s">
        <v>6666</v>
      </c>
      <c r="G2435" s="12" t="s">
        <v>143</v>
      </c>
      <c r="H2435" s="9" t="s">
        <v>6667</v>
      </c>
      <c r="I2435" s="10">
        <v>45637</v>
      </c>
    </row>
    <row r="2436" spans="1:9" x14ac:dyDescent="0.15">
      <c r="A2436" s="9">
        <v>2435</v>
      </c>
      <c r="B2436" s="9" t="s">
        <v>9</v>
      </c>
      <c r="C2436" s="9">
        <v>1926</v>
      </c>
      <c r="D2436" s="10">
        <v>45722</v>
      </c>
      <c r="E2436" s="11" t="str">
        <f>+HYPERLINK("http://trademark.i-assist.jp/data/china/image_1926th/82495006.pdf","82495006")</f>
        <v>82495006</v>
      </c>
      <c r="F2436" s="12" t="s">
        <v>6668</v>
      </c>
      <c r="G2436" s="9" t="s">
        <v>6669</v>
      </c>
      <c r="H2436" s="9" t="s">
        <v>6670</v>
      </c>
      <c r="I2436" s="10">
        <v>45637</v>
      </c>
    </row>
    <row r="2437" spans="1:9" x14ac:dyDescent="0.15">
      <c r="A2437" s="9">
        <v>2436</v>
      </c>
      <c r="B2437" s="9" t="s">
        <v>9</v>
      </c>
      <c r="C2437" s="9">
        <v>1926</v>
      </c>
      <c r="D2437" s="10">
        <v>45722</v>
      </c>
      <c r="E2437" s="11" t="str">
        <f>+HYPERLINK("http://trademark.i-assist.jp/data/china/image_1926th/82496039.pdf","82496039")</f>
        <v>82496039</v>
      </c>
      <c r="F2437" s="9" t="s">
        <v>6671</v>
      </c>
      <c r="G2437" s="9" t="s">
        <v>6672</v>
      </c>
      <c r="H2437" s="9" t="s">
        <v>6673</v>
      </c>
      <c r="I2437" s="10">
        <v>45637</v>
      </c>
    </row>
    <row r="2438" spans="1:9" x14ac:dyDescent="0.15">
      <c r="A2438" s="9">
        <v>2437</v>
      </c>
      <c r="B2438" s="9" t="s">
        <v>9</v>
      </c>
      <c r="C2438" s="9">
        <v>1926</v>
      </c>
      <c r="D2438" s="10">
        <v>45722</v>
      </c>
      <c r="E2438" s="11" t="str">
        <f>+HYPERLINK("http://trademark.i-assist.jp/data/china/image_1926th/82496638.pdf","82496638")</f>
        <v>82496638</v>
      </c>
      <c r="F2438" s="9" t="s">
        <v>6674</v>
      </c>
      <c r="G2438" s="9" t="s">
        <v>6675</v>
      </c>
      <c r="H2438" s="9" t="s">
        <v>6676</v>
      </c>
      <c r="I2438" s="10">
        <v>45637</v>
      </c>
    </row>
    <row r="2439" spans="1:9" x14ac:dyDescent="0.15">
      <c r="A2439" s="9">
        <v>2438</v>
      </c>
      <c r="B2439" s="9" t="s">
        <v>9</v>
      </c>
      <c r="C2439" s="9">
        <v>1926</v>
      </c>
      <c r="D2439" s="10">
        <v>45722</v>
      </c>
      <c r="E2439" s="11" t="str">
        <f>+HYPERLINK("http://trademark.i-assist.jp/data/china/image_1926th/82496653.pdf","82496653")</f>
        <v>82496653</v>
      </c>
      <c r="F2439" s="9" t="s">
        <v>6677</v>
      </c>
      <c r="G2439" s="9" t="s">
        <v>6678</v>
      </c>
      <c r="H2439" s="9" t="s">
        <v>6679</v>
      </c>
      <c r="I2439" s="10">
        <v>45637</v>
      </c>
    </row>
    <row r="2440" spans="1:9" x14ac:dyDescent="0.15">
      <c r="A2440" s="9">
        <v>2439</v>
      </c>
      <c r="B2440" s="9" t="s">
        <v>9</v>
      </c>
      <c r="C2440" s="9">
        <v>1926</v>
      </c>
      <c r="D2440" s="10">
        <v>45722</v>
      </c>
      <c r="E2440" s="11" t="str">
        <f>+HYPERLINK("http://trademark.i-assist.jp/data/china/image_1926th/82496726.pdf","82496726")</f>
        <v>82496726</v>
      </c>
      <c r="F2440" s="9" t="s">
        <v>6680</v>
      </c>
      <c r="G2440" s="9" t="s">
        <v>6681</v>
      </c>
      <c r="H2440" s="9" t="s">
        <v>6682</v>
      </c>
      <c r="I2440" s="10">
        <v>45637</v>
      </c>
    </row>
    <row r="2441" spans="1:9" x14ac:dyDescent="0.15">
      <c r="A2441" s="9">
        <v>2440</v>
      </c>
      <c r="B2441" s="9" t="s">
        <v>9</v>
      </c>
      <c r="C2441" s="9">
        <v>1926</v>
      </c>
      <c r="D2441" s="10">
        <v>45722</v>
      </c>
      <c r="E2441" s="11" t="str">
        <f>+HYPERLINK("http://trademark.i-assist.jp/data/china/image_1926th/82496797.pdf","82496797")</f>
        <v>82496797</v>
      </c>
      <c r="F2441" s="12" t="s">
        <v>20</v>
      </c>
      <c r="G2441" s="9" t="s">
        <v>6683</v>
      </c>
      <c r="H2441" s="9" t="s">
        <v>6684</v>
      </c>
      <c r="I2441" s="10">
        <v>45637</v>
      </c>
    </row>
    <row r="2442" spans="1:9" x14ac:dyDescent="0.15">
      <c r="A2442" s="9">
        <v>2441</v>
      </c>
      <c r="B2442" s="9" t="s">
        <v>9</v>
      </c>
      <c r="C2442" s="9">
        <v>1926</v>
      </c>
      <c r="D2442" s="10">
        <v>45722</v>
      </c>
      <c r="E2442" s="11" t="str">
        <f>+HYPERLINK("http://trademark.i-assist.jp/data/china/image_1926th/82496818.pdf","82496818")</f>
        <v>82496818</v>
      </c>
      <c r="F2442" s="12" t="s">
        <v>6685</v>
      </c>
      <c r="G2442" s="12" t="s">
        <v>6686</v>
      </c>
      <c r="H2442" s="9" t="s">
        <v>6687</v>
      </c>
      <c r="I2442" s="10">
        <v>45637</v>
      </c>
    </row>
    <row r="2443" spans="1:9" x14ac:dyDescent="0.15">
      <c r="A2443" s="9">
        <v>2442</v>
      </c>
      <c r="B2443" s="9" t="s">
        <v>9</v>
      </c>
      <c r="C2443" s="9">
        <v>1926</v>
      </c>
      <c r="D2443" s="10">
        <v>45722</v>
      </c>
      <c r="E2443" s="11" t="str">
        <f>+HYPERLINK("http://trademark.i-assist.jp/data/china/image_1926th/82497567.pdf","82497567")</f>
        <v>82497567</v>
      </c>
      <c r="F2443" s="9" t="s">
        <v>6688</v>
      </c>
      <c r="G2443" s="9" t="s">
        <v>125</v>
      </c>
      <c r="H2443" s="9" t="s">
        <v>6689</v>
      </c>
      <c r="I2443" s="10">
        <v>45637</v>
      </c>
    </row>
    <row r="2444" spans="1:9" x14ac:dyDescent="0.15">
      <c r="A2444" s="9">
        <v>2443</v>
      </c>
      <c r="B2444" s="9" t="s">
        <v>9</v>
      </c>
      <c r="C2444" s="9">
        <v>1926</v>
      </c>
      <c r="D2444" s="10">
        <v>45722</v>
      </c>
      <c r="E2444" s="11" t="str">
        <f>+HYPERLINK("http://trademark.i-assist.jp/data/china/image_1926th/82497630.pdf","82497630")</f>
        <v>82497630</v>
      </c>
      <c r="F2444" s="9" t="s">
        <v>6690</v>
      </c>
      <c r="G2444" s="12" t="s">
        <v>205</v>
      </c>
      <c r="H2444" s="12" t="s">
        <v>6691</v>
      </c>
      <c r="I2444" s="10">
        <v>45637</v>
      </c>
    </row>
    <row r="2445" spans="1:9" x14ac:dyDescent="0.15">
      <c r="A2445" s="9">
        <v>2444</v>
      </c>
      <c r="B2445" s="9" t="s">
        <v>9</v>
      </c>
      <c r="C2445" s="9">
        <v>1926</v>
      </c>
      <c r="D2445" s="10">
        <v>45722</v>
      </c>
      <c r="E2445" s="11" t="str">
        <f>+HYPERLINK("http://trademark.i-assist.jp/data/china/image_1926th/82497863.pdf","82497863")</f>
        <v>82497863</v>
      </c>
      <c r="F2445" s="9" t="s">
        <v>6508</v>
      </c>
      <c r="G2445" s="9" t="s">
        <v>6509</v>
      </c>
      <c r="H2445" s="9" t="s">
        <v>6692</v>
      </c>
      <c r="I2445" s="10">
        <v>45637</v>
      </c>
    </row>
    <row r="2446" spans="1:9" x14ac:dyDescent="0.15">
      <c r="A2446" s="9">
        <v>2445</v>
      </c>
      <c r="B2446" s="9" t="s">
        <v>9</v>
      </c>
      <c r="C2446" s="9">
        <v>1926</v>
      </c>
      <c r="D2446" s="10">
        <v>45722</v>
      </c>
      <c r="E2446" s="11" t="str">
        <f>+HYPERLINK("http://trademark.i-assist.jp/data/china/image_1926th/82498568.pdf","82498568")</f>
        <v>82498568</v>
      </c>
      <c r="F2446" s="12" t="s">
        <v>6693</v>
      </c>
      <c r="G2446" s="9" t="s">
        <v>6694</v>
      </c>
      <c r="H2446" s="9" t="s">
        <v>6695</v>
      </c>
      <c r="I2446" s="10">
        <v>45637</v>
      </c>
    </row>
    <row r="2447" spans="1:9" x14ac:dyDescent="0.15">
      <c r="A2447" s="9">
        <v>2446</v>
      </c>
      <c r="B2447" s="9" t="s">
        <v>9</v>
      </c>
      <c r="C2447" s="9">
        <v>1926</v>
      </c>
      <c r="D2447" s="10">
        <v>45722</v>
      </c>
      <c r="E2447" s="11" t="str">
        <f>+HYPERLINK("http://trademark.i-assist.jp/data/china/image_1926th/82498940.pdf","82498940")</f>
        <v>82498940</v>
      </c>
      <c r="F2447" s="9" t="s">
        <v>6696</v>
      </c>
      <c r="G2447" s="9" t="s">
        <v>4132</v>
      </c>
      <c r="H2447" s="9" t="s">
        <v>6697</v>
      </c>
      <c r="I2447" s="10">
        <v>45637</v>
      </c>
    </row>
    <row r="2448" spans="1:9" x14ac:dyDescent="0.15">
      <c r="A2448" s="9">
        <v>2447</v>
      </c>
      <c r="B2448" s="9" t="s">
        <v>9</v>
      </c>
      <c r="C2448" s="9">
        <v>1926</v>
      </c>
      <c r="D2448" s="10">
        <v>45722</v>
      </c>
      <c r="E2448" s="11" t="str">
        <f>+HYPERLINK("http://trademark.i-assist.jp/data/china/image_1926th/82499428.pdf","82499428")</f>
        <v>82499428</v>
      </c>
      <c r="F2448" s="9" t="s">
        <v>6698</v>
      </c>
      <c r="G2448" s="9" t="s">
        <v>6699</v>
      </c>
      <c r="H2448" s="9" t="s">
        <v>6700</v>
      </c>
      <c r="I2448" s="10">
        <v>45637</v>
      </c>
    </row>
    <row r="2449" spans="1:9" x14ac:dyDescent="0.15">
      <c r="A2449" s="9">
        <v>2448</v>
      </c>
      <c r="B2449" s="9" t="s">
        <v>9</v>
      </c>
      <c r="C2449" s="9">
        <v>1926</v>
      </c>
      <c r="D2449" s="10">
        <v>45722</v>
      </c>
      <c r="E2449" s="11" t="str">
        <f>+HYPERLINK("http://trademark.i-assist.jp/data/china/image_1926th/82499448.pdf","82499448")</f>
        <v>82499448</v>
      </c>
      <c r="F2449" s="9" t="s">
        <v>6701</v>
      </c>
      <c r="G2449" s="9" t="s">
        <v>6702</v>
      </c>
      <c r="H2449" s="9" t="s">
        <v>6703</v>
      </c>
      <c r="I2449" s="10">
        <v>45637</v>
      </c>
    </row>
    <row r="2450" spans="1:9" x14ac:dyDescent="0.15">
      <c r="A2450" s="9">
        <v>2449</v>
      </c>
      <c r="B2450" s="9" t="s">
        <v>9</v>
      </c>
      <c r="C2450" s="9">
        <v>1926</v>
      </c>
      <c r="D2450" s="10">
        <v>45722</v>
      </c>
      <c r="E2450" s="11" t="str">
        <f>+HYPERLINK("http://trademark.i-assist.jp/data/china/image_1926th/82499967.pdf","82499967")</f>
        <v>82499967</v>
      </c>
      <c r="F2450" s="9" t="s">
        <v>6704</v>
      </c>
      <c r="G2450" s="9" t="s">
        <v>6705</v>
      </c>
      <c r="H2450" s="9" t="s">
        <v>6706</v>
      </c>
      <c r="I2450" s="10">
        <v>45637</v>
      </c>
    </row>
    <row r="2451" spans="1:9" x14ac:dyDescent="0.15">
      <c r="A2451" s="9">
        <v>2450</v>
      </c>
      <c r="B2451" s="9" t="s">
        <v>9</v>
      </c>
      <c r="C2451" s="9">
        <v>1926</v>
      </c>
      <c r="D2451" s="10">
        <v>45722</v>
      </c>
      <c r="E2451" s="11" t="str">
        <f>+HYPERLINK("http://trademark.i-assist.jp/data/china/image_1926th/82500982.pdf","82500982")</f>
        <v>82500982</v>
      </c>
      <c r="F2451" s="9" t="s">
        <v>6707</v>
      </c>
      <c r="G2451" s="9" t="s">
        <v>6708</v>
      </c>
      <c r="H2451" s="9" t="s">
        <v>6709</v>
      </c>
      <c r="I2451" s="10">
        <v>45638</v>
      </c>
    </row>
    <row r="2452" spans="1:9" x14ac:dyDescent="0.15">
      <c r="A2452" s="9">
        <v>2451</v>
      </c>
      <c r="B2452" s="9" t="s">
        <v>9</v>
      </c>
      <c r="C2452" s="9">
        <v>1926</v>
      </c>
      <c r="D2452" s="10">
        <v>45722</v>
      </c>
      <c r="E2452" s="11" t="str">
        <f>+HYPERLINK("http://trademark.i-assist.jp/data/china/image_1926th/82501040.pdf","82501040")</f>
        <v>82501040</v>
      </c>
      <c r="F2452" s="9" t="s">
        <v>6710</v>
      </c>
      <c r="G2452" s="9" t="s">
        <v>6711</v>
      </c>
      <c r="H2452" s="9" t="s">
        <v>6712</v>
      </c>
      <c r="I2452" s="10">
        <v>45638</v>
      </c>
    </row>
    <row r="2453" spans="1:9" x14ac:dyDescent="0.15">
      <c r="A2453" s="9">
        <v>2452</v>
      </c>
      <c r="B2453" s="9" t="s">
        <v>9</v>
      </c>
      <c r="C2453" s="9">
        <v>1926</v>
      </c>
      <c r="D2453" s="10">
        <v>45722</v>
      </c>
      <c r="E2453" s="11" t="str">
        <f>+HYPERLINK("http://trademark.i-assist.jp/data/china/image_1926th/82501886.pdf","82501886")</f>
        <v>82501886</v>
      </c>
      <c r="F2453" s="9" t="s">
        <v>6713</v>
      </c>
      <c r="G2453" s="9" t="s">
        <v>6714</v>
      </c>
      <c r="H2453" s="9" t="s">
        <v>6715</v>
      </c>
      <c r="I2453" s="10">
        <v>45638</v>
      </c>
    </row>
    <row r="2454" spans="1:9" x14ac:dyDescent="0.15">
      <c r="A2454" s="9">
        <v>2453</v>
      </c>
      <c r="B2454" s="9" t="s">
        <v>9</v>
      </c>
      <c r="C2454" s="9">
        <v>1926</v>
      </c>
      <c r="D2454" s="10">
        <v>45722</v>
      </c>
      <c r="E2454" s="11" t="str">
        <f>+HYPERLINK("http://trademark.i-assist.jp/data/china/image_1926th/82501980.pdf","82501980")</f>
        <v>82501980</v>
      </c>
      <c r="F2454" s="9" t="s">
        <v>6716</v>
      </c>
      <c r="G2454" s="12" t="s">
        <v>6717</v>
      </c>
      <c r="H2454" s="9" t="s">
        <v>6718</v>
      </c>
      <c r="I2454" s="10">
        <v>45638</v>
      </c>
    </row>
    <row r="2455" spans="1:9" x14ac:dyDescent="0.15">
      <c r="A2455" s="9">
        <v>2454</v>
      </c>
      <c r="B2455" s="9" t="s">
        <v>9</v>
      </c>
      <c r="C2455" s="9">
        <v>1926</v>
      </c>
      <c r="D2455" s="10">
        <v>45722</v>
      </c>
      <c r="E2455" s="11" t="str">
        <f>+HYPERLINK("http://trademark.i-assist.jp/data/china/image_1926th/82502506.pdf","82502506")</f>
        <v>82502506</v>
      </c>
      <c r="F2455" s="12" t="s">
        <v>20</v>
      </c>
      <c r="G2455" s="12" t="s">
        <v>6719</v>
      </c>
      <c r="H2455" s="9" t="s">
        <v>6720</v>
      </c>
      <c r="I2455" s="10">
        <v>45638</v>
      </c>
    </row>
    <row r="2456" spans="1:9" x14ac:dyDescent="0.15">
      <c r="A2456" s="9">
        <v>2455</v>
      </c>
      <c r="B2456" s="9" t="s">
        <v>9</v>
      </c>
      <c r="C2456" s="9">
        <v>1926</v>
      </c>
      <c r="D2456" s="10">
        <v>45722</v>
      </c>
      <c r="E2456" s="11" t="str">
        <f>+HYPERLINK("http://trademark.i-assist.jp/data/china/image_1926th/82502588.pdf","82502588")</f>
        <v>82502588</v>
      </c>
      <c r="F2456" s="9" t="s">
        <v>6721</v>
      </c>
      <c r="G2456" s="9" t="s">
        <v>6722</v>
      </c>
      <c r="H2456" s="9" t="s">
        <v>6723</v>
      </c>
      <c r="I2456" s="10">
        <v>45638</v>
      </c>
    </row>
    <row r="2457" spans="1:9" x14ac:dyDescent="0.15">
      <c r="A2457" s="9">
        <v>2456</v>
      </c>
      <c r="B2457" s="9" t="s">
        <v>9</v>
      </c>
      <c r="C2457" s="9">
        <v>1926</v>
      </c>
      <c r="D2457" s="10">
        <v>45722</v>
      </c>
      <c r="E2457" s="11" t="str">
        <f>+HYPERLINK("http://trademark.i-assist.jp/data/china/image_1926th/82502832.pdf","82502832")</f>
        <v>82502832</v>
      </c>
      <c r="F2457" s="9" t="s">
        <v>6724</v>
      </c>
      <c r="G2457" s="9" t="s">
        <v>189</v>
      </c>
      <c r="H2457" s="12" t="s">
        <v>6725</v>
      </c>
      <c r="I2457" s="10">
        <v>45638</v>
      </c>
    </row>
    <row r="2458" spans="1:9" x14ac:dyDescent="0.15">
      <c r="A2458" s="9">
        <v>2457</v>
      </c>
      <c r="B2458" s="9" t="s">
        <v>9</v>
      </c>
      <c r="C2458" s="9">
        <v>1926</v>
      </c>
      <c r="D2458" s="10">
        <v>45722</v>
      </c>
      <c r="E2458" s="11" t="str">
        <f>+HYPERLINK("http://trademark.i-assist.jp/data/china/image_1926th/82502886.pdf","82502886")</f>
        <v>82502886</v>
      </c>
      <c r="F2458" s="9" t="s">
        <v>6726</v>
      </c>
      <c r="G2458" s="12" t="s">
        <v>6727</v>
      </c>
      <c r="H2458" s="9" t="s">
        <v>6728</v>
      </c>
      <c r="I2458" s="10">
        <v>45638</v>
      </c>
    </row>
    <row r="2459" spans="1:9" x14ac:dyDescent="0.15">
      <c r="A2459" s="9">
        <v>2458</v>
      </c>
      <c r="B2459" s="9" t="s">
        <v>9</v>
      </c>
      <c r="C2459" s="9">
        <v>1926</v>
      </c>
      <c r="D2459" s="10">
        <v>45722</v>
      </c>
      <c r="E2459" s="11" t="str">
        <f>+HYPERLINK("http://trademark.i-assist.jp/data/china/image_1926th/82503028.pdf","82503028")</f>
        <v>82503028</v>
      </c>
      <c r="F2459" s="12" t="s">
        <v>6729</v>
      </c>
      <c r="G2459" s="12" t="s">
        <v>149</v>
      </c>
      <c r="H2459" s="9" t="s">
        <v>6730</v>
      </c>
      <c r="I2459" s="10">
        <v>45638</v>
      </c>
    </row>
    <row r="2460" spans="1:9" x14ac:dyDescent="0.15">
      <c r="A2460" s="9">
        <v>2459</v>
      </c>
      <c r="B2460" s="9" t="s">
        <v>9</v>
      </c>
      <c r="C2460" s="9">
        <v>1926</v>
      </c>
      <c r="D2460" s="10">
        <v>45722</v>
      </c>
      <c r="E2460" s="11" t="str">
        <f>+HYPERLINK("http://trademark.i-assist.jp/data/china/image_1926th/82503122.pdf","82503122")</f>
        <v>82503122</v>
      </c>
      <c r="F2460" s="9" t="s">
        <v>6731</v>
      </c>
      <c r="G2460" s="9" t="s">
        <v>109</v>
      </c>
      <c r="H2460" s="9" t="s">
        <v>6732</v>
      </c>
      <c r="I2460" s="10">
        <v>45638</v>
      </c>
    </row>
    <row r="2461" spans="1:9" x14ac:dyDescent="0.15">
      <c r="A2461" s="9">
        <v>2460</v>
      </c>
      <c r="B2461" s="9" t="s">
        <v>9</v>
      </c>
      <c r="C2461" s="9">
        <v>1926</v>
      </c>
      <c r="D2461" s="10">
        <v>45722</v>
      </c>
      <c r="E2461" s="11" t="str">
        <f>+HYPERLINK("http://trademark.i-assist.jp/data/china/image_1926th/82503250.pdf","82503250")</f>
        <v>82503250</v>
      </c>
      <c r="F2461" s="9" t="s">
        <v>6733</v>
      </c>
      <c r="G2461" s="12" t="s">
        <v>6734</v>
      </c>
      <c r="H2461" s="9" t="s">
        <v>6735</v>
      </c>
      <c r="I2461" s="10">
        <v>45638</v>
      </c>
    </row>
    <row r="2462" spans="1:9" x14ac:dyDescent="0.15">
      <c r="A2462" s="9">
        <v>2461</v>
      </c>
      <c r="B2462" s="9" t="s">
        <v>9</v>
      </c>
      <c r="C2462" s="9">
        <v>1926</v>
      </c>
      <c r="D2462" s="10">
        <v>45722</v>
      </c>
      <c r="E2462" s="11" t="str">
        <f>+HYPERLINK("http://trademark.i-assist.jp/data/china/image_1926th/82503676.pdf","82503676")</f>
        <v>82503676</v>
      </c>
      <c r="F2462" s="9" t="s">
        <v>6736</v>
      </c>
      <c r="G2462" s="12" t="s">
        <v>6737</v>
      </c>
      <c r="H2462" s="9" t="s">
        <v>6738</v>
      </c>
      <c r="I2462" s="10">
        <v>45638</v>
      </c>
    </row>
    <row r="2463" spans="1:9" x14ac:dyDescent="0.15">
      <c r="A2463" s="9">
        <v>2462</v>
      </c>
      <c r="B2463" s="9" t="s">
        <v>9</v>
      </c>
      <c r="C2463" s="9">
        <v>1926</v>
      </c>
      <c r="D2463" s="10">
        <v>45722</v>
      </c>
      <c r="E2463" s="11" t="str">
        <f>+HYPERLINK("http://trademark.i-assist.jp/data/china/image_1926th/82503942.pdf","82503942")</f>
        <v>82503942</v>
      </c>
      <c r="F2463" s="9" t="s">
        <v>6739</v>
      </c>
      <c r="G2463" s="9" t="s">
        <v>6740</v>
      </c>
      <c r="H2463" s="9" t="s">
        <v>6741</v>
      </c>
      <c r="I2463" s="10">
        <v>45638</v>
      </c>
    </row>
    <row r="2464" spans="1:9" x14ac:dyDescent="0.15">
      <c r="A2464" s="9">
        <v>2463</v>
      </c>
      <c r="B2464" s="9" t="s">
        <v>9</v>
      </c>
      <c r="C2464" s="9">
        <v>1926</v>
      </c>
      <c r="D2464" s="10">
        <v>45722</v>
      </c>
      <c r="E2464" s="11" t="str">
        <f>+HYPERLINK("http://trademark.i-assist.jp/data/china/image_1926th/82505069.pdf","82505069")</f>
        <v>82505069</v>
      </c>
      <c r="F2464" s="12" t="s">
        <v>6742</v>
      </c>
      <c r="G2464" s="12" t="s">
        <v>6743</v>
      </c>
      <c r="H2464" s="9" t="s">
        <v>6744</v>
      </c>
      <c r="I2464" s="10">
        <v>45638</v>
      </c>
    </row>
    <row r="2465" spans="1:9" x14ac:dyDescent="0.15">
      <c r="A2465" s="9">
        <v>2464</v>
      </c>
      <c r="B2465" s="9" t="s">
        <v>9</v>
      </c>
      <c r="C2465" s="9">
        <v>1926</v>
      </c>
      <c r="D2465" s="10">
        <v>45722</v>
      </c>
      <c r="E2465" s="11" t="str">
        <f>+HYPERLINK("http://trademark.i-assist.jp/data/china/image_1926th/82505891.pdf","82505891")</f>
        <v>82505891</v>
      </c>
      <c r="F2465" s="9" t="s">
        <v>6745</v>
      </c>
      <c r="G2465" s="12" t="s">
        <v>6746</v>
      </c>
      <c r="H2465" s="9" t="s">
        <v>6747</v>
      </c>
      <c r="I2465" s="10">
        <v>45638</v>
      </c>
    </row>
    <row r="2466" spans="1:9" x14ac:dyDescent="0.15">
      <c r="A2466" s="9">
        <v>2465</v>
      </c>
      <c r="B2466" s="9" t="s">
        <v>9</v>
      </c>
      <c r="C2466" s="9">
        <v>1926</v>
      </c>
      <c r="D2466" s="10">
        <v>45722</v>
      </c>
      <c r="E2466" s="11" t="str">
        <f>+HYPERLINK("http://trademark.i-assist.jp/data/china/image_1926th/82506044.pdf","82506044")</f>
        <v>82506044</v>
      </c>
      <c r="F2466" s="9" t="s">
        <v>6748</v>
      </c>
      <c r="G2466" s="9" t="s">
        <v>6749</v>
      </c>
      <c r="H2466" s="9" t="s">
        <v>6750</v>
      </c>
      <c r="I2466" s="10">
        <v>45638</v>
      </c>
    </row>
    <row r="2467" spans="1:9" x14ac:dyDescent="0.15">
      <c r="A2467" s="9">
        <v>2466</v>
      </c>
      <c r="B2467" s="9" t="s">
        <v>9</v>
      </c>
      <c r="C2467" s="9">
        <v>1926</v>
      </c>
      <c r="D2467" s="10">
        <v>45722</v>
      </c>
      <c r="E2467" s="11" t="str">
        <f>+HYPERLINK("http://trademark.i-assist.jp/data/china/image_1926th/82506060.pdf","82506060")</f>
        <v>82506060</v>
      </c>
      <c r="F2467" s="9" t="s">
        <v>6751</v>
      </c>
      <c r="G2467" s="9" t="s">
        <v>6752</v>
      </c>
      <c r="H2467" s="9" t="s">
        <v>6753</v>
      </c>
      <c r="I2467" s="10">
        <v>45638</v>
      </c>
    </row>
    <row r="2468" spans="1:9" x14ac:dyDescent="0.15">
      <c r="A2468" s="9">
        <v>2467</v>
      </c>
      <c r="B2468" s="9" t="s">
        <v>9</v>
      </c>
      <c r="C2468" s="9">
        <v>1926</v>
      </c>
      <c r="D2468" s="10">
        <v>45722</v>
      </c>
      <c r="E2468" s="11" t="str">
        <f>+HYPERLINK("http://trademark.i-assist.jp/data/china/image_1926th/82506252.pdf","82506252")</f>
        <v>82506252</v>
      </c>
      <c r="F2468" s="9" t="s">
        <v>6754</v>
      </c>
      <c r="G2468" s="9" t="s">
        <v>6755</v>
      </c>
      <c r="H2468" s="9" t="s">
        <v>6756</v>
      </c>
      <c r="I2468" s="10">
        <v>45638</v>
      </c>
    </row>
    <row r="2469" spans="1:9" x14ac:dyDescent="0.15">
      <c r="A2469" s="9">
        <v>2468</v>
      </c>
      <c r="B2469" s="9" t="s">
        <v>9</v>
      </c>
      <c r="C2469" s="9">
        <v>1926</v>
      </c>
      <c r="D2469" s="10">
        <v>45722</v>
      </c>
      <c r="E2469" s="11" t="str">
        <f>+HYPERLINK("http://trademark.i-assist.jp/data/china/image_1926th/82506382.pdf","82506382")</f>
        <v>82506382</v>
      </c>
      <c r="F2469" s="9" t="s">
        <v>6757</v>
      </c>
      <c r="G2469" s="9" t="s">
        <v>6758</v>
      </c>
      <c r="H2469" s="9" t="s">
        <v>6759</v>
      </c>
      <c r="I2469" s="10">
        <v>45638</v>
      </c>
    </row>
    <row r="2470" spans="1:9" x14ac:dyDescent="0.15">
      <c r="A2470" s="9">
        <v>2469</v>
      </c>
      <c r="B2470" s="9" t="s">
        <v>9</v>
      </c>
      <c r="C2470" s="9">
        <v>1926</v>
      </c>
      <c r="D2470" s="10">
        <v>45722</v>
      </c>
      <c r="E2470" s="11" t="str">
        <f>+HYPERLINK("http://trademark.i-assist.jp/data/china/image_1926th/82506542.pdf","82506542")</f>
        <v>82506542</v>
      </c>
      <c r="F2470" s="12" t="s">
        <v>6760</v>
      </c>
      <c r="G2470" s="12" t="s">
        <v>6761</v>
      </c>
      <c r="H2470" s="9" t="s">
        <v>6762</v>
      </c>
      <c r="I2470" s="10">
        <v>45638</v>
      </c>
    </row>
    <row r="2471" spans="1:9" x14ac:dyDescent="0.15">
      <c r="A2471" s="9">
        <v>2470</v>
      </c>
      <c r="B2471" s="9" t="s">
        <v>9</v>
      </c>
      <c r="C2471" s="9">
        <v>1926</v>
      </c>
      <c r="D2471" s="10">
        <v>45722</v>
      </c>
      <c r="E2471" s="11" t="str">
        <f>+HYPERLINK("http://trademark.i-assist.jp/data/china/image_1926th/82506555.pdf","82506555")</f>
        <v>82506555</v>
      </c>
      <c r="F2471" s="9" t="s">
        <v>6763</v>
      </c>
      <c r="G2471" s="9" t="s">
        <v>6764</v>
      </c>
      <c r="H2471" s="9" t="s">
        <v>6765</v>
      </c>
      <c r="I2471" s="10">
        <v>45638</v>
      </c>
    </row>
    <row r="2472" spans="1:9" x14ac:dyDescent="0.15">
      <c r="A2472" s="9">
        <v>2471</v>
      </c>
      <c r="B2472" s="9" t="s">
        <v>9</v>
      </c>
      <c r="C2472" s="9">
        <v>1926</v>
      </c>
      <c r="D2472" s="10">
        <v>45722</v>
      </c>
      <c r="E2472" s="11" t="str">
        <f>+HYPERLINK("http://trademark.i-assist.jp/data/china/image_1926th/82506741.pdf","82506741")</f>
        <v>82506741</v>
      </c>
      <c r="F2472" s="9" t="s">
        <v>6766</v>
      </c>
      <c r="G2472" s="9" t="s">
        <v>6767</v>
      </c>
      <c r="H2472" s="9" t="s">
        <v>6768</v>
      </c>
      <c r="I2472" s="10">
        <v>45638</v>
      </c>
    </row>
    <row r="2473" spans="1:9" x14ac:dyDescent="0.15">
      <c r="A2473" s="9">
        <v>2472</v>
      </c>
      <c r="B2473" s="9" t="s">
        <v>9</v>
      </c>
      <c r="C2473" s="9">
        <v>1926</v>
      </c>
      <c r="D2473" s="10">
        <v>45722</v>
      </c>
      <c r="E2473" s="11" t="str">
        <f>+HYPERLINK("http://trademark.i-assist.jp/data/china/image_1926th/82506748.pdf","82506748")</f>
        <v>82506748</v>
      </c>
      <c r="F2473" s="9" t="s">
        <v>6769</v>
      </c>
      <c r="G2473" s="9" t="s">
        <v>6767</v>
      </c>
      <c r="H2473" s="9" t="s">
        <v>6770</v>
      </c>
      <c r="I2473" s="10">
        <v>45638</v>
      </c>
    </row>
    <row r="2474" spans="1:9" x14ac:dyDescent="0.15">
      <c r="A2474" s="9">
        <v>2473</v>
      </c>
      <c r="B2474" s="9" t="s">
        <v>9</v>
      </c>
      <c r="C2474" s="9">
        <v>1926</v>
      </c>
      <c r="D2474" s="10">
        <v>45722</v>
      </c>
      <c r="E2474" s="11" t="str">
        <f>+HYPERLINK("http://trademark.i-assist.jp/data/china/image_1926th/82507124.pdf","82507124")</f>
        <v>82507124</v>
      </c>
      <c r="F2474" s="12" t="s">
        <v>20</v>
      </c>
      <c r="G2474" s="9" t="s">
        <v>6771</v>
      </c>
      <c r="H2474" s="9" t="s">
        <v>6772</v>
      </c>
      <c r="I2474" s="10">
        <v>45638</v>
      </c>
    </row>
    <row r="2475" spans="1:9" x14ac:dyDescent="0.15">
      <c r="A2475" s="9">
        <v>2474</v>
      </c>
      <c r="B2475" s="9" t="s">
        <v>9</v>
      </c>
      <c r="C2475" s="9">
        <v>1926</v>
      </c>
      <c r="D2475" s="10">
        <v>45722</v>
      </c>
      <c r="E2475" s="11" t="str">
        <f>+HYPERLINK("http://trademark.i-assist.jp/data/china/image_1926th/82507243.pdf","82507243")</f>
        <v>82507243</v>
      </c>
      <c r="F2475" s="12" t="s">
        <v>6773</v>
      </c>
      <c r="G2475" s="9" t="s">
        <v>6774</v>
      </c>
      <c r="H2475" s="9" t="s">
        <v>6775</v>
      </c>
      <c r="I2475" s="10">
        <v>45638</v>
      </c>
    </row>
    <row r="2476" spans="1:9" x14ac:dyDescent="0.15">
      <c r="A2476" s="9">
        <v>2475</v>
      </c>
      <c r="B2476" s="9" t="s">
        <v>9</v>
      </c>
      <c r="C2476" s="9">
        <v>1926</v>
      </c>
      <c r="D2476" s="10">
        <v>45722</v>
      </c>
      <c r="E2476" s="11" t="str">
        <f>+HYPERLINK("http://trademark.i-assist.jp/data/china/image_1926th/82507565.pdf","82507565")</f>
        <v>82507565</v>
      </c>
      <c r="F2476" s="9" t="s">
        <v>6776</v>
      </c>
      <c r="G2476" s="9" t="s">
        <v>6777</v>
      </c>
      <c r="H2476" s="9" t="s">
        <v>6778</v>
      </c>
      <c r="I2476" s="10">
        <v>45638</v>
      </c>
    </row>
    <row r="2477" spans="1:9" x14ac:dyDescent="0.15">
      <c r="A2477" s="9">
        <v>2476</v>
      </c>
      <c r="B2477" s="9" t="s">
        <v>9</v>
      </c>
      <c r="C2477" s="9">
        <v>1926</v>
      </c>
      <c r="D2477" s="10">
        <v>45722</v>
      </c>
      <c r="E2477" s="11" t="str">
        <f>+HYPERLINK("http://trademark.i-assist.jp/data/china/image_1926th/82507727.pdf","82507727")</f>
        <v>82507727</v>
      </c>
      <c r="F2477" s="9" t="s">
        <v>6779</v>
      </c>
      <c r="G2477" s="9" t="s">
        <v>6780</v>
      </c>
      <c r="H2477" s="9" t="s">
        <v>6781</v>
      </c>
      <c r="I2477" s="10">
        <v>45638</v>
      </c>
    </row>
    <row r="2478" spans="1:9" x14ac:dyDescent="0.15">
      <c r="A2478" s="9">
        <v>2477</v>
      </c>
      <c r="B2478" s="9" t="s">
        <v>9</v>
      </c>
      <c r="C2478" s="9">
        <v>1926</v>
      </c>
      <c r="D2478" s="10">
        <v>45722</v>
      </c>
      <c r="E2478" s="11" t="str">
        <f>+HYPERLINK("http://trademark.i-assist.jp/data/china/image_1926th/82508273.pdf","82508273")</f>
        <v>82508273</v>
      </c>
      <c r="F2478" s="12" t="s">
        <v>6782</v>
      </c>
      <c r="G2478" s="9" t="s">
        <v>6783</v>
      </c>
      <c r="H2478" s="9" t="s">
        <v>6784</v>
      </c>
      <c r="I2478" s="10">
        <v>45638</v>
      </c>
    </row>
    <row r="2479" spans="1:9" x14ac:dyDescent="0.15">
      <c r="A2479" s="9">
        <v>2478</v>
      </c>
      <c r="B2479" s="9" t="s">
        <v>9</v>
      </c>
      <c r="C2479" s="9">
        <v>1926</v>
      </c>
      <c r="D2479" s="10">
        <v>45722</v>
      </c>
      <c r="E2479" s="11" t="str">
        <f>+HYPERLINK("http://trademark.i-assist.jp/data/china/image_1926th/82508306.pdf","82508306")</f>
        <v>82508306</v>
      </c>
      <c r="F2479" s="12" t="s">
        <v>6785</v>
      </c>
      <c r="G2479" s="9" t="s">
        <v>6786</v>
      </c>
      <c r="H2479" s="9" t="s">
        <v>6787</v>
      </c>
      <c r="I2479" s="10">
        <v>45638</v>
      </c>
    </row>
    <row r="2480" spans="1:9" x14ac:dyDescent="0.15">
      <c r="A2480" s="9">
        <v>2479</v>
      </c>
      <c r="B2480" s="9" t="s">
        <v>9</v>
      </c>
      <c r="C2480" s="9">
        <v>1926</v>
      </c>
      <c r="D2480" s="10">
        <v>45722</v>
      </c>
      <c r="E2480" s="11" t="str">
        <f>+HYPERLINK("http://trademark.i-assist.jp/data/china/image_1926th/82508568.pdf","82508568")</f>
        <v>82508568</v>
      </c>
      <c r="F2480" s="9" t="s">
        <v>6788</v>
      </c>
      <c r="G2480" s="12" t="s">
        <v>6789</v>
      </c>
      <c r="H2480" s="9" t="s">
        <v>6790</v>
      </c>
      <c r="I2480" s="10">
        <v>45638</v>
      </c>
    </row>
    <row r="2481" spans="1:9" x14ac:dyDescent="0.15">
      <c r="A2481" s="9">
        <v>2480</v>
      </c>
      <c r="B2481" s="9" t="s">
        <v>9</v>
      </c>
      <c r="C2481" s="9">
        <v>1926</v>
      </c>
      <c r="D2481" s="10">
        <v>45722</v>
      </c>
      <c r="E2481" s="11" t="str">
        <f>+HYPERLINK("http://trademark.i-assist.jp/data/china/image_1926th/82508657.pdf","82508657")</f>
        <v>82508657</v>
      </c>
      <c r="F2481" s="9" t="s">
        <v>6791</v>
      </c>
      <c r="G2481" s="9" t="s">
        <v>6792</v>
      </c>
      <c r="H2481" s="9" t="s">
        <v>6793</v>
      </c>
      <c r="I2481" s="10">
        <v>45638</v>
      </c>
    </row>
    <row r="2482" spans="1:9" x14ac:dyDescent="0.15">
      <c r="A2482" s="9">
        <v>2481</v>
      </c>
      <c r="B2482" s="9" t="s">
        <v>9</v>
      </c>
      <c r="C2482" s="9">
        <v>1926</v>
      </c>
      <c r="D2482" s="10">
        <v>45722</v>
      </c>
      <c r="E2482" s="11" t="str">
        <f>+HYPERLINK("http://trademark.i-assist.jp/data/china/image_1926th/82508969.pdf","82508969")</f>
        <v>82508969</v>
      </c>
      <c r="F2482" s="9" t="s">
        <v>6794</v>
      </c>
      <c r="G2482" s="9" t="s">
        <v>6795</v>
      </c>
      <c r="H2482" s="12" t="s">
        <v>6796</v>
      </c>
      <c r="I2482" s="10">
        <v>45638</v>
      </c>
    </row>
    <row r="2483" spans="1:9" x14ac:dyDescent="0.15">
      <c r="A2483" s="9">
        <v>2482</v>
      </c>
      <c r="B2483" s="9" t="s">
        <v>9</v>
      </c>
      <c r="C2483" s="9">
        <v>1926</v>
      </c>
      <c r="D2483" s="10">
        <v>45722</v>
      </c>
      <c r="E2483" s="11" t="str">
        <f>+HYPERLINK("http://trademark.i-assist.jp/data/china/image_1926th/82509096.pdf","82509096")</f>
        <v>82509096</v>
      </c>
      <c r="F2483" s="9" t="s">
        <v>6797</v>
      </c>
      <c r="G2483" s="9" t="s">
        <v>6798</v>
      </c>
      <c r="H2483" s="9" t="s">
        <v>6799</v>
      </c>
      <c r="I2483" s="10">
        <v>45638</v>
      </c>
    </row>
    <row r="2484" spans="1:9" x14ac:dyDescent="0.15">
      <c r="A2484" s="9">
        <v>2483</v>
      </c>
      <c r="B2484" s="9" t="s">
        <v>9</v>
      </c>
      <c r="C2484" s="9">
        <v>1926</v>
      </c>
      <c r="D2484" s="10">
        <v>45722</v>
      </c>
      <c r="E2484" s="11" t="str">
        <f>+HYPERLINK("http://trademark.i-assist.jp/data/china/image_1926th/82509140.pdf","82509140")</f>
        <v>82509140</v>
      </c>
      <c r="F2484" s="9" t="s">
        <v>6800</v>
      </c>
      <c r="G2484" s="9" t="s">
        <v>173</v>
      </c>
      <c r="H2484" s="12" t="s">
        <v>6801</v>
      </c>
      <c r="I2484" s="10">
        <v>45638</v>
      </c>
    </row>
    <row r="2485" spans="1:9" x14ac:dyDescent="0.15">
      <c r="A2485" s="9">
        <v>2484</v>
      </c>
      <c r="B2485" s="9" t="s">
        <v>9</v>
      </c>
      <c r="C2485" s="9">
        <v>1926</v>
      </c>
      <c r="D2485" s="10">
        <v>45722</v>
      </c>
      <c r="E2485" s="11" t="str">
        <f>+HYPERLINK("http://trademark.i-assist.jp/data/china/image_1926th/82509407.pdf","82509407")</f>
        <v>82509407</v>
      </c>
      <c r="F2485" s="12" t="s">
        <v>6802</v>
      </c>
      <c r="G2485" s="9" t="s">
        <v>6803</v>
      </c>
      <c r="H2485" s="9" t="s">
        <v>6804</v>
      </c>
      <c r="I2485" s="10">
        <v>45638</v>
      </c>
    </row>
    <row r="2486" spans="1:9" x14ac:dyDescent="0.15">
      <c r="A2486" s="9">
        <v>2485</v>
      </c>
      <c r="B2486" s="9" t="s">
        <v>9</v>
      </c>
      <c r="C2486" s="9">
        <v>1926</v>
      </c>
      <c r="D2486" s="10">
        <v>45722</v>
      </c>
      <c r="E2486" s="11" t="str">
        <f>+HYPERLINK("http://trademark.i-assist.jp/data/china/image_1926th/82509875.pdf","82509875")</f>
        <v>82509875</v>
      </c>
      <c r="F2486" s="9" t="s">
        <v>6805</v>
      </c>
      <c r="G2486" s="9" t="s">
        <v>6806</v>
      </c>
      <c r="H2486" s="9" t="s">
        <v>6807</v>
      </c>
      <c r="I2486" s="10">
        <v>45638</v>
      </c>
    </row>
    <row r="2487" spans="1:9" x14ac:dyDescent="0.15">
      <c r="A2487" s="9">
        <v>2486</v>
      </c>
      <c r="B2487" s="9" t="s">
        <v>9</v>
      </c>
      <c r="C2487" s="9">
        <v>1926</v>
      </c>
      <c r="D2487" s="10">
        <v>45722</v>
      </c>
      <c r="E2487" s="11" t="str">
        <f>+HYPERLINK("http://trademark.i-assist.jp/data/china/image_1926th/82509901.pdf","82509901")</f>
        <v>82509901</v>
      </c>
      <c r="F2487" s="9" t="s">
        <v>6808</v>
      </c>
      <c r="G2487" s="9" t="s">
        <v>6809</v>
      </c>
      <c r="H2487" s="12" t="s">
        <v>6810</v>
      </c>
      <c r="I2487" s="10">
        <v>45638</v>
      </c>
    </row>
    <row r="2488" spans="1:9" x14ac:dyDescent="0.15">
      <c r="A2488" s="9">
        <v>2487</v>
      </c>
      <c r="B2488" s="9" t="s">
        <v>9</v>
      </c>
      <c r="C2488" s="9">
        <v>1926</v>
      </c>
      <c r="D2488" s="10">
        <v>45722</v>
      </c>
      <c r="E2488" s="11" t="str">
        <f>+HYPERLINK("http://trademark.i-assist.jp/data/china/image_1926th/82509936.pdf","82509936")</f>
        <v>82509936</v>
      </c>
      <c r="F2488" s="12" t="s">
        <v>6811</v>
      </c>
      <c r="G2488" s="9" t="s">
        <v>6812</v>
      </c>
      <c r="H2488" s="9" t="s">
        <v>6813</v>
      </c>
      <c r="I2488" s="10">
        <v>45638</v>
      </c>
    </row>
    <row r="2489" spans="1:9" x14ac:dyDescent="0.15">
      <c r="A2489" s="9">
        <v>2488</v>
      </c>
      <c r="B2489" s="9" t="s">
        <v>9</v>
      </c>
      <c r="C2489" s="9">
        <v>1926</v>
      </c>
      <c r="D2489" s="10">
        <v>45722</v>
      </c>
      <c r="E2489" s="11" t="str">
        <f>+HYPERLINK("http://trademark.i-assist.jp/data/china/image_1926th/82510244.pdf","82510244")</f>
        <v>82510244</v>
      </c>
      <c r="F2489" s="9" t="s">
        <v>6814</v>
      </c>
      <c r="G2489" s="12" t="s">
        <v>6815</v>
      </c>
      <c r="H2489" s="9" t="s">
        <v>6816</v>
      </c>
      <c r="I2489" s="10">
        <v>45638</v>
      </c>
    </row>
    <row r="2490" spans="1:9" x14ac:dyDescent="0.15">
      <c r="A2490" s="9">
        <v>2489</v>
      </c>
      <c r="B2490" s="9" t="s">
        <v>9</v>
      </c>
      <c r="C2490" s="9">
        <v>1926</v>
      </c>
      <c r="D2490" s="10">
        <v>45722</v>
      </c>
      <c r="E2490" s="11" t="str">
        <f>+HYPERLINK("http://trademark.i-assist.jp/data/china/image_1926th/82510278.pdf","82510278")</f>
        <v>82510278</v>
      </c>
      <c r="F2490" s="9" t="s">
        <v>6817</v>
      </c>
      <c r="G2490" s="9" t="s">
        <v>6818</v>
      </c>
      <c r="H2490" s="9" t="s">
        <v>6819</v>
      </c>
      <c r="I2490" s="10">
        <v>45638</v>
      </c>
    </row>
    <row r="2491" spans="1:9" x14ac:dyDescent="0.15">
      <c r="A2491" s="9">
        <v>2490</v>
      </c>
      <c r="B2491" s="9" t="s">
        <v>9</v>
      </c>
      <c r="C2491" s="9">
        <v>1926</v>
      </c>
      <c r="D2491" s="10">
        <v>45722</v>
      </c>
      <c r="E2491" s="11" t="str">
        <f>+HYPERLINK("http://trademark.i-assist.jp/data/china/image_1926th/82510292.pdf","82510292")</f>
        <v>82510292</v>
      </c>
      <c r="F2491" s="9" t="s">
        <v>6820</v>
      </c>
      <c r="G2491" s="9" t="s">
        <v>6820</v>
      </c>
      <c r="H2491" s="9" t="s">
        <v>6821</v>
      </c>
      <c r="I2491" s="10">
        <v>45638</v>
      </c>
    </row>
    <row r="2492" spans="1:9" x14ac:dyDescent="0.15">
      <c r="A2492" s="9">
        <v>2491</v>
      </c>
      <c r="B2492" s="9" t="s">
        <v>9</v>
      </c>
      <c r="C2492" s="9">
        <v>1926</v>
      </c>
      <c r="D2492" s="10">
        <v>45722</v>
      </c>
      <c r="E2492" s="11" t="str">
        <f>+HYPERLINK("http://trademark.i-assist.jp/data/china/image_1926th/82510383.pdf","82510383")</f>
        <v>82510383</v>
      </c>
      <c r="F2492" s="9" t="s">
        <v>6822</v>
      </c>
      <c r="G2492" s="9" t="s">
        <v>6823</v>
      </c>
      <c r="H2492" s="9" t="s">
        <v>6824</v>
      </c>
      <c r="I2492" s="10">
        <v>45638</v>
      </c>
    </row>
    <row r="2493" spans="1:9" x14ac:dyDescent="0.15">
      <c r="A2493" s="9">
        <v>2492</v>
      </c>
      <c r="B2493" s="9" t="s">
        <v>9</v>
      </c>
      <c r="C2493" s="9">
        <v>1926</v>
      </c>
      <c r="D2493" s="10">
        <v>45722</v>
      </c>
      <c r="E2493" s="11" t="str">
        <f>+HYPERLINK("http://trademark.i-assist.jp/data/china/image_1926th/82510446.pdf","82510446")</f>
        <v>82510446</v>
      </c>
      <c r="F2493" s="9" t="s">
        <v>6825</v>
      </c>
      <c r="G2493" s="9" t="s">
        <v>6826</v>
      </c>
      <c r="H2493" s="9" t="s">
        <v>6827</v>
      </c>
      <c r="I2493" s="10">
        <v>45638</v>
      </c>
    </row>
    <row r="2494" spans="1:9" x14ac:dyDescent="0.15">
      <c r="A2494" s="9">
        <v>2493</v>
      </c>
      <c r="B2494" s="9" t="s">
        <v>9</v>
      </c>
      <c r="C2494" s="9">
        <v>1926</v>
      </c>
      <c r="D2494" s="10">
        <v>45722</v>
      </c>
      <c r="E2494" s="11" t="str">
        <f>+HYPERLINK("http://trademark.i-assist.jp/data/china/image_1926th/82510582.pdf","82510582")</f>
        <v>82510582</v>
      </c>
      <c r="F2494" s="9" t="s">
        <v>6828</v>
      </c>
      <c r="G2494" s="12" t="s">
        <v>149</v>
      </c>
      <c r="H2494" s="9" t="s">
        <v>6829</v>
      </c>
      <c r="I2494" s="10">
        <v>45638</v>
      </c>
    </row>
    <row r="2495" spans="1:9" x14ac:dyDescent="0.15">
      <c r="A2495" s="9">
        <v>2494</v>
      </c>
      <c r="B2495" s="9" t="s">
        <v>9</v>
      </c>
      <c r="C2495" s="9">
        <v>1926</v>
      </c>
      <c r="D2495" s="10">
        <v>45722</v>
      </c>
      <c r="E2495" s="11" t="str">
        <f>+HYPERLINK("http://trademark.i-assist.jp/data/china/image_1926th/82510592.pdf","82510592")</f>
        <v>82510592</v>
      </c>
      <c r="F2495" s="12" t="s">
        <v>6830</v>
      </c>
      <c r="G2495" s="9" t="s">
        <v>6818</v>
      </c>
      <c r="H2495" s="9" t="s">
        <v>6831</v>
      </c>
      <c r="I2495" s="10">
        <v>45638</v>
      </c>
    </row>
    <row r="2496" spans="1:9" x14ac:dyDescent="0.15">
      <c r="A2496" s="9">
        <v>2495</v>
      </c>
      <c r="B2496" s="9" t="s">
        <v>9</v>
      </c>
      <c r="C2496" s="9">
        <v>1926</v>
      </c>
      <c r="D2496" s="10">
        <v>45722</v>
      </c>
      <c r="E2496" s="11" t="str">
        <f>+HYPERLINK("http://trademark.i-assist.jp/data/china/image_1926th/82510693.pdf","82510693")</f>
        <v>82510693</v>
      </c>
      <c r="F2496" s="9" t="s">
        <v>6832</v>
      </c>
      <c r="G2496" s="9" t="s">
        <v>6722</v>
      </c>
      <c r="H2496" s="9" t="s">
        <v>6833</v>
      </c>
      <c r="I2496" s="10">
        <v>45638</v>
      </c>
    </row>
    <row r="2497" spans="1:9" x14ac:dyDescent="0.15">
      <c r="A2497" s="9">
        <v>2496</v>
      </c>
      <c r="B2497" s="9" t="s">
        <v>9</v>
      </c>
      <c r="C2497" s="9">
        <v>1926</v>
      </c>
      <c r="D2497" s="10">
        <v>45722</v>
      </c>
      <c r="E2497" s="11" t="str">
        <f>+HYPERLINK("http://trademark.i-assist.jp/data/china/image_1926th/82510709.pdf","82510709")</f>
        <v>82510709</v>
      </c>
      <c r="F2497" s="9" t="s">
        <v>6834</v>
      </c>
      <c r="G2497" s="12" t="s">
        <v>6835</v>
      </c>
      <c r="H2497" s="9" t="s">
        <v>6836</v>
      </c>
      <c r="I2497" s="10">
        <v>45638</v>
      </c>
    </row>
    <row r="2498" spans="1:9" x14ac:dyDescent="0.15">
      <c r="A2498" s="9">
        <v>2497</v>
      </c>
      <c r="B2498" s="9" t="s">
        <v>9</v>
      </c>
      <c r="C2498" s="9">
        <v>1926</v>
      </c>
      <c r="D2498" s="10">
        <v>45722</v>
      </c>
      <c r="E2498" s="11" t="str">
        <f>+HYPERLINK("http://trademark.i-assist.jp/data/china/image_1926th/82511007.pdf","82511007")</f>
        <v>82511007</v>
      </c>
      <c r="F2498" s="9" t="s">
        <v>6837</v>
      </c>
      <c r="G2498" s="9" t="s">
        <v>6838</v>
      </c>
      <c r="H2498" s="9" t="s">
        <v>6839</v>
      </c>
      <c r="I2498" s="10">
        <v>45638</v>
      </c>
    </row>
    <row r="2499" spans="1:9" x14ac:dyDescent="0.15">
      <c r="A2499" s="9">
        <v>2498</v>
      </c>
      <c r="B2499" s="9" t="s">
        <v>9</v>
      </c>
      <c r="C2499" s="9">
        <v>1926</v>
      </c>
      <c r="D2499" s="10">
        <v>45722</v>
      </c>
      <c r="E2499" s="11" t="str">
        <f>+HYPERLINK("http://trademark.i-assist.jp/data/china/image_1926th/82511014.pdf","82511014")</f>
        <v>82511014</v>
      </c>
      <c r="F2499" s="12" t="s">
        <v>6840</v>
      </c>
      <c r="G2499" s="9" t="s">
        <v>6841</v>
      </c>
      <c r="H2499" s="9" t="s">
        <v>6842</v>
      </c>
      <c r="I2499" s="10">
        <v>45638</v>
      </c>
    </row>
    <row r="2500" spans="1:9" x14ac:dyDescent="0.15">
      <c r="A2500" s="9">
        <v>2499</v>
      </c>
      <c r="B2500" s="9" t="s">
        <v>9</v>
      </c>
      <c r="C2500" s="9">
        <v>1926</v>
      </c>
      <c r="D2500" s="10">
        <v>45722</v>
      </c>
      <c r="E2500" s="11" t="str">
        <f>+HYPERLINK("http://trademark.i-assist.jp/data/china/image_1926th/82511906.pdf","82511906")</f>
        <v>82511906</v>
      </c>
      <c r="F2500" s="12" t="s">
        <v>6843</v>
      </c>
      <c r="G2500" s="9" t="s">
        <v>6844</v>
      </c>
      <c r="H2500" s="9" t="s">
        <v>6845</v>
      </c>
      <c r="I2500" s="10">
        <v>45638</v>
      </c>
    </row>
    <row r="2501" spans="1:9" x14ac:dyDescent="0.15">
      <c r="A2501" s="9">
        <v>2500</v>
      </c>
      <c r="B2501" s="9" t="s">
        <v>9</v>
      </c>
      <c r="C2501" s="9">
        <v>1926</v>
      </c>
      <c r="D2501" s="10">
        <v>45722</v>
      </c>
      <c r="E2501" s="11" t="str">
        <f>+HYPERLINK("http://trademark.i-assist.jp/data/china/image_1926th/82512102.pdf","82512102")</f>
        <v>82512102</v>
      </c>
      <c r="F2501" s="12" t="s">
        <v>6846</v>
      </c>
      <c r="G2501" s="9" t="s">
        <v>6809</v>
      </c>
      <c r="H2501" s="9" t="s">
        <v>6847</v>
      </c>
      <c r="I2501" s="10">
        <v>45638</v>
      </c>
    </row>
    <row r="2502" spans="1:9" x14ac:dyDescent="0.15">
      <c r="A2502" s="9">
        <v>2501</v>
      </c>
      <c r="B2502" s="9" t="s">
        <v>9</v>
      </c>
      <c r="C2502" s="9">
        <v>1926</v>
      </c>
      <c r="D2502" s="10">
        <v>45722</v>
      </c>
      <c r="E2502" s="11" t="str">
        <f>+HYPERLINK("http://trademark.i-assist.jp/data/china/image_1926th/82512182.pdf","82512182")</f>
        <v>82512182</v>
      </c>
      <c r="F2502" s="9" t="s">
        <v>6848</v>
      </c>
      <c r="G2502" s="9" t="s">
        <v>6849</v>
      </c>
      <c r="H2502" s="12" t="s">
        <v>6850</v>
      </c>
      <c r="I2502" s="10">
        <v>45638</v>
      </c>
    </row>
    <row r="2503" spans="1:9" x14ac:dyDescent="0.15">
      <c r="A2503" s="9">
        <v>2502</v>
      </c>
      <c r="B2503" s="9" t="s">
        <v>9</v>
      </c>
      <c r="C2503" s="9">
        <v>1926</v>
      </c>
      <c r="D2503" s="10">
        <v>45722</v>
      </c>
      <c r="E2503" s="11" t="str">
        <f>+HYPERLINK("http://trademark.i-assist.jp/data/china/image_1926th/82512452.pdf","82512452")</f>
        <v>82512452</v>
      </c>
      <c r="F2503" s="12" t="s">
        <v>6851</v>
      </c>
      <c r="G2503" s="9" t="s">
        <v>6852</v>
      </c>
      <c r="H2503" s="9" t="s">
        <v>6853</v>
      </c>
      <c r="I2503" s="10">
        <v>45638</v>
      </c>
    </row>
    <row r="2504" spans="1:9" x14ac:dyDescent="0.15">
      <c r="A2504" s="9">
        <v>2503</v>
      </c>
      <c r="B2504" s="9" t="s">
        <v>9</v>
      </c>
      <c r="C2504" s="9">
        <v>1926</v>
      </c>
      <c r="D2504" s="10">
        <v>45722</v>
      </c>
      <c r="E2504" s="11" t="str">
        <f>+HYPERLINK("http://trademark.i-assist.jp/data/china/image_1926th/82512733.pdf","82512733")</f>
        <v>82512733</v>
      </c>
      <c r="F2504" s="12" t="s">
        <v>6854</v>
      </c>
      <c r="G2504" s="12" t="s">
        <v>6855</v>
      </c>
      <c r="H2504" s="9" t="s">
        <v>6856</v>
      </c>
      <c r="I2504" s="10">
        <v>45638</v>
      </c>
    </row>
    <row r="2505" spans="1:9" x14ac:dyDescent="0.15">
      <c r="A2505" s="9">
        <v>2504</v>
      </c>
      <c r="B2505" s="9" t="s">
        <v>9</v>
      </c>
      <c r="C2505" s="9">
        <v>1926</v>
      </c>
      <c r="D2505" s="10">
        <v>45722</v>
      </c>
      <c r="E2505" s="11" t="str">
        <f>+HYPERLINK("http://trademark.i-assist.jp/data/china/image_1926th/82512796.pdf","82512796")</f>
        <v>82512796</v>
      </c>
      <c r="F2505" s="9" t="s">
        <v>6857</v>
      </c>
      <c r="G2505" s="9" t="s">
        <v>6767</v>
      </c>
      <c r="H2505" s="9" t="s">
        <v>6858</v>
      </c>
      <c r="I2505" s="10">
        <v>45638</v>
      </c>
    </row>
    <row r="2506" spans="1:9" x14ac:dyDescent="0.15">
      <c r="A2506" s="9">
        <v>2505</v>
      </c>
      <c r="B2506" s="9" t="s">
        <v>9</v>
      </c>
      <c r="C2506" s="9">
        <v>1926</v>
      </c>
      <c r="D2506" s="10">
        <v>45722</v>
      </c>
      <c r="E2506" s="11" t="str">
        <f>+HYPERLINK("http://trademark.i-assist.jp/data/china/image_1926th/82512803.pdf","82512803")</f>
        <v>82512803</v>
      </c>
      <c r="F2506" s="9" t="s">
        <v>6859</v>
      </c>
      <c r="G2506" s="9" t="s">
        <v>6767</v>
      </c>
      <c r="H2506" s="9" t="s">
        <v>6860</v>
      </c>
      <c r="I2506" s="10">
        <v>45638</v>
      </c>
    </row>
    <row r="2507" spans="1:9" x14ac:dyDescent="0.15">
      <c r="A2507" s="9">
        <v>2506</v>
      </c>
      <c r="B2507" s="9" t="s">
        <v>9</v>
      </c>
      <c r="C2507" s="9">
        <v>1926</v>
      </c>
      <c r="D2507" s="10">
        <v>45722</v>
      </c>
      <c r="E2507" s="11" t="str">
        <f>+HYPERLINK("http://trademark.i-assist.jp/data/china/image_1926th/82512809.pdf","82512809")</f>
        <v>82512809</v>
      </c>
      <c r="F2507" s="9" t="s">
        <v>6861</v>
      </c>
      <c r="G2507" s="9" t="s">
        <v>6767</v>
      </c>
      <c r="H2507" s="9" t="s">
        <v>6862</v>
      </c>
      <c r="I2507" s="10">
        <v>45638</v>
      </c>
    </row>
    <row r="2508" spans="1:9" x14ac:dyDescent="0.15">
      <c r="A2508" s="9">
        <v>2507</v>
      </c>
      <c r="B2508" s="9" t="s">
        <v>9</v>
      </c>
      <c r="C2508" s="9">
        <v>1926</v>
      </c>
      <c r="D2508" s="10">
        <v>45722</v>
      </c>
      <c r="E2508" s="11" t="str">
        <f>+HYPERLINK("http://trademark.i-assist.jp/data/china/image_1926th/82512924.pdf","82512924")</f>
        <v>82512924</v>
      </c>
      <c r="F2508" s="9" t="s">
        <v>6863</v>
      </c>
      <c r="G2508" s="9" t="s">
        <v>6864</v>
      </c>
      <c r="H2508" s="9" t="s">
        <v>6865</v>
      </c>
      <c r="I2508" s="10">
        <v>45638</v>
      </c>
    </row>
    <row r="2509" spans="1:9" x14ac:dyDescent="0.15">
      <c r="A2509" s="9">
        <v>2508</v>
      </c>
      <c r="B2509" s="9" t="s">
        <v>9</v>
      </c>
      <c r="C2509" s="9">
        <v>1926</v>
      </c>
      <c r="D2509" s="10">
        <v>45722</v>
      </c>
      <c r="E2509" s="11" t="str">
        <f>+HYPERLINK("http://trademark.i-assist.jp/data/china/image_1926th/82512982.pdf","82512982")</f>
        <v>82512982</v>
      </c>
      <c r="F2509" s="9" t="s">
        <v>6866</v>
      </c>
      <c r="G2509" s="12" t="s">
        <v>6867</v>
      </c>
      <c r="H2509" s="9" t="s">
        <v>6868</v>
      </c>
      <c r="I2509" s="10">
        <v>45638</v>
      </c>
    </row>
    <row r="2510" spans="1:9" x14ac:dyDescent="0.15">
      <c r="A2510" s="9">
        <v>2509</v>
      </c>
      <c r="B2510" s="9" t="s">
        <v>9</v>
      </c>
      <c r="C2510" s="9">
        <v>1926</v>
      </c>
      <c r="D2510" s="10">
        <v>45722</v>
      </c>
      <c r="E2510" s="11" t="str">
        <f>+HYPERLINK("http://trademark.i-assist.jp/data/china/image_1926th/82513764.pdf","82513764")</f>
        <v>82513764</v>
      </c>
      <c r="F2510" s="9" t="s">
        <v>6869</v>
      </c>
      <c r="G2510" s="9" t="s">
        <v>6870</v>
      </c>
      <c r="H2510" s="9" t="s">
        <v>6871</v>
      </c>
      <c r="I2510" s="10">
        <v>45638</v>
      </c>
    </row>
    <row r="2511" spans="1:9" x14ac:dyDescent="0.15">
      <c r="A2511" s="9">
        <v>2510</v>
      </c>
      <c r="B2511" s="9" t="s">
        <v>9</v>
      </c>
      <c r="C2511" s="9">
        <v>1926</v>
      </c>
      <c r="D2511" s="10">
        <v>45722</v>
      </c>
      <c r="E2511" s="11" t="str">
        <f>+HYPERLINK("http://trademark.i-assist.jp/data/china/image_1926th/82514049.pdf","82514049")</f>
        <v>82514049</v>
      </c>
      <c r="F2511" s="12" t="s">
        <v>6872</v>
      </c>
      <c r="G2511" s="12" t="s">
        <v>6873</v>
      </c>
      <c r="H2511" s="9" t="s">
        <v>6874</v>
      </c>
      <c r="I2511" s="10">
        <v>45638</v>
      </c>
    </row>
    <row r="2512" spans="1:9" x14ac:dyDescent="0.15">
      <c r="A2512" s="9">
        <v>2511</v>
      </c>
      <c r="B2512" s="9" t="s">
        <v>9</v>
      </c>
      <c r="C2512" s="9">
        <v>1926</v>
      </c>
      <c r="D2512" s="10">
        <v>45722</v>
      </c>
      <c r="E2512" s="11" t="str">
        <f>+HYPERLINK("http://trademark.i-assist.jp/data/china/image_1926th/82514488.pdf","82514488")</f>
        <v>82514488</v>
      </c>
      <c r="F2512" s="12" t="s">
        <v>6875</v>
      </c>
      <c r="G2512" s="12" t="s">
        <v>6876</v>
      </c>
      <c r="H2512" s="9" t="s">
        <v>6877</v>
      </c>
      <c r="I2512" s="10">
        <v>45638</v>
      </c>
    </row>
    <row r="2513" spans="1:9" x14ac:dyDescent="0.15">
      <c r="A2513" s="9">
        <v>2512</v>
      </c>
      <c r="B2513" s="9" t="s">
        <v>9</v>
      </c>
      <c r="C2513" s="9">
        <v>1926</v>
      </c>
      <c r="D2513" s="10">
        <v>45722</v>
      </c>
      <c r="E2513" s="11" t="str">
        <f>+HYPERLINK("http://trademark.i-assist.jp/data/china/image_1926th/82514764.pdf","82514764")</f>
        <v>82514764</v>
      </c>
      <c r="F2513" s="9" t="s">
        <v>6878</v>
      </c>
      <c r="G2513" s="9" t="s">
        <v>6879</v>
      </c>
      <c r="H2513" s="12" t="s">
        <v>6880</v>
      </c>
      <c r="I2513" s="10">
        <v>45638</v>
      </c>
    </row>
    <row r="2514" spans="1:9" x14ac:dyDescent="0.15">
      <c r="A2514" s="9">
        <v>2513</v>
      </c>
      <c r="B2514" s="9" t="s">
        <v>9</v>
      </c>
      <c r="C2514" s="9">
        <v>1926</v>
      </c>
      <c r="D2514" s="10">
        <v>45722</v>
      </c>
      <c r="E2514" s="11" t="str">
        <f>+HYPERLINK("http://trademark.i-assist.jp/data/china/image_1926th/82514885.pdf","82514885")</f>
        <v>82514885</v>
      </c>
      <c r="F2514" s="9" t="s">
        <v>6881</v>
      </c>
      <c r="G2514" s="12" t="s">
        <v>149</v>
      </c>
      <c r="H2514" s="9" t="s">
        <v>6882</v>
      </c>
      <c r="I2514" s="10">
        <v>45638</v>
      </c>
    </row>
    <row r="2515" spans="1:9" x14ac:dyDescent="0.15">
      <c r="A2515" s="9">
        <v>2514</v>
      </c>
      <c r="B2515" s="9" t="s">
        <v>9</v>
      </c>
      <c r="C2515" s="9">
        <v>1926</v>
      </c>
      <c r="D2515" s="10">
        <v>45722</v>
      </c>
      <c r="E2515" s="11" t="str">
        <f>+HYPERLINK("http://trademark.i-assist.jp/data/china/image_1926th/82515042.pdf","82515042")</f>
        <v>82515042</v>
      </c>
      <c r="F2515" s="9" t="s">
        <v>6883</v>
      </c>
      <c r="G2515" s="9" t="s">
        <v>6884</v>
      </c>
      <c r="H2515" s="9" t="s">
        <v>6885</v>
      </c>
      <c r="I2515" s="10">
        <v>45638</v>
      </c>
    </row>
    <row r="2516" spans="1:9" x14ac:dyDescent="0.15">
      <c r="A2516" s="9">
        <v>2515</v>
      </c>
      <c r="B2516" s="9" t="s">
        <v>9</v>
      </c>
      <c r="C2516" s="9">
        <v>1926</v>
      </c>
      <c r="D2516" s="10">
        <v>45722</v>
      </c>
      <c r="E2516" s="11" t="str">
        <f>+HYPERLINK("http://trademark.i-assist.jp/data/china/image_1926th/82515680.pdf","82515680")</f>
        <v>82515680</v>
      </c>
      <c r="F2516" s="9" t="s">
        <v>6886</v>
      </c>
      <c r="G2516" s="9" t="s">
        <v>6818</v>
      </c>
      <c r="H2516" s="9" t="s">
        <v>6887</v>
      </c>
      <c r="I2516" s="10">
        <v>45638</v>
      </c>
    </row>
    <row r="2517" spans="1:9" x14ac:dyDescent="0.15">
      <c r="A2517" s="9">
        <v>2516</v>
      </c>
      <c r="B2517" s="9" t="s">
        <v>9</v>
      </c>
      <c r="C2517" s="9">
        <v>1926</v>
      </c>
      <c r="D2517" s="10">
        <v>45722</v>
      </c>
      <c r="E2517" s="11" t="str">
        <f>+HYPERLINK("http://trademark.i-assist.jp/data/china/image_1926th/82515951.pdf","82515951")</f>
        <v>82515951</v>
      </c>
      <c r="F2517" s="9" t="s">
        <v>6888</v>
      </c>
      <c r="G2517" s="12" t="s">
        <v>6889</v>
      </c>
      <c r="H2517" s="9" t="s">
        <v>6890</v>
      </c>
      <c r="I2517" s="10">
        <v>45638</v>
      </c>
    </row>
    <row r="2518" spans="1:9" x14ac:dyDescent="0.15">
      <c r="A2518" s="9">
        <v>2517</v>
      </c>
      <c r="B2518" s="9" t="s">
        <v>9</v>
      </c>
      <c r="C2518" s="9">
        <v>1926</v>
      </c>
      <c r="D2518" s="10">
        <v>45722</v>
      </c>
      <c r="E2518" s="11" t="str">
        <f>+HYPERLINK("http://trademark.i-assist.jp/data/china/image_1926th/82516035.pdf","82516035")</f>
        <v>82516035</v>
      </c>
      <c r="F2518" s="9" t="s">
        <v>6891</v>
      </c>
      <c r="G2518" s="9" t="s">
        <v>6892</v>
      </c>
      <c r="H2518" s="9" t="s">
        <v>6893</v>
      </c>
      <c r="I2518" s="10">
        <v>45638</v>
      </c>
    </row>
    <row r="2519" spans="1:9" x14ac:dyDescent="0.15">
      <c r="A2519" s="9">
        <v>2518</v>
      </c>
      <c r="B2519" s="9" t="s">
        <v>9</v>
      </c>
      <c r="C2519" s="9">
        <v>1926</v>
      </c>
      <c r="D2519" s="10">
        <v>45722</v>
      </c>
      <c r="E2519" s="11" t="str">
        <f>+HYPERLINK("http://trademark.i-assist.jp/data/china/image_1926th/82516105.pdf","82516105")</f>
        <v>82516105</v>
      </c>
      <c r="F2519" s="9" t="s">
        <v>6894</v>
      </c>
      <c r="G2519" s="12" t="s">
        <v>6895</v>
      </c>
      <c r="H2519" s="9" t="s">
        <v>6896</v>
      </c>
      <c r="I2519" s="10">
        <v>45638</v>
      </c>
    </row>
    <row r="2520" spans="1:9" x14ac:dyDescent="0.15">
      <c r="A2520" s="9">
        <v>2519</v>
      </c>
      <c r="B2520" s="9" t="s">
        <v>9</v>
      </c>
      <c r="C2520" s="9">
        <v>1926</v>
      </c>
      <c r="D2520" s="10">
        <v>45722</v>
      </c>
      <c r="E2520" s="11" t="str">
        <f>+HYPERLINK("http://trademark.i-assist.jp/data/china/image_1926th/82516284.pdf","82516284")</f>
        <v>82516284</v>
      </c>
      <c r="F2520" s="9" t="s">
        <v>6897</v>
      </c>
      <c r="G2520" s="9" t="s">
        <v>6758</v>
      </c>
      <c r="H2520" s="9" t="s">
        <v>6898</v>
      </c>
      <c r="I2520" s="10">
        <v>45638</v>
      </c>
    </row>
    <row r="2521" spans="1:9" x14ac:dyDescent="0.15">
      <c r="A2521" s="9">
        <v>2520</v>
      </c>
      <c r="B2521" s="9" t="s">
        <v>9</v>
      </c>
      <c r="C2521" s="9">
        <v>1926</v>
      </c>
      <c r="D2521" s="10">
        <v>45722</v>
      </c>
      <c r="E2521" s="11" t="str">
        <f>+HYPERLINK("http://trademark.i-assist.jp/data/china/image_1926th/82516410.pdf","82516410")</f>
        <v>82516410</v>
      </c>
      <c r="F2521" s="9" t="s">
        <v>6899</v>
      </c>
      <c r="G2521" s="9" t="s">
        <v>212</v>
      </c>
      <c r="H2521" s="9" t="s">
        <v>6900</v>
      </c>
      <c r="I2521" s="10">
        <v>45638</v>
      </c>
    </row>
    <row r="2522" spans="1:9" x14ac:dyDescent="0.15">
      <c r="A2522" s="9">
        <v>2521</v>
      </c>
      <c r="B2522" s="9" t="s">
        <v>9</v>
      </c>
      <c r="C2522" s="9">
        <v>1926</v>
      </c>
      <c r="D2522" s="10">
        <v>45722</v>
      </c>
      <c r="E2522" s="11" t="str">
        <f>+HYPERLINK("http://trademark.i-assist.jp/data/china/image_1926th/82516424.pdf","82516424")</f>
        <v>82516424</v>
      </c>
      <c r="F2522" s="9" t="s">
        <v>6901</v>
      </c>
      <c r="G2522" s="9" t="s">
        <v>6902</v>
      </c>
      <c r="H2522" s="9" t="s">
        <v>6903</v>
      </c>
      <c r="I2522" s="10">
        <v>45638</v>
      </c>
    </row>
    <row r="2523" spans="1:9" x14ac:dyDescent="0.15">
      <c r="A2523" s="9">
        <v>2522</v>
      </c>
      <c r="B2523" s="9" t="s">
        <v>9</v>
      </c>
      <c r="C2523" s="9">
        <v>1926</v>
      </c>
      <c r="D2523" s="10">
        <v>45722</v>
      </c>
      <c r="E2523" s="11" t="str">
        <f>+HYPERLINK("http://trademark.i-assist.jp/data/china/image_1926th/82516433.pdf","82516433")</f>
        <v>82516433</v>
      </c>
      <c r="F2523" s="9" t="s">
        <v>6751</v>
      </c>
      <c r="G2523" s="9" t="s">
        <v>6752</v>
      </c>
      <c r="H2523" s="9" t="s">
        <v>6904</v>
      </c>
      <c r="I2523" s="10">
        <v>45638</v>
      </c>
    </row>
    <row r="2524" spans="1:9" x14ac:dyDescent="0.15">
      <c r="A2524" s="9">
        <v>2523</v>
      </c>
      <c r="B2524" s="9" t="s">
        <v>9</v>
      </c>
      <c r="C2524" s="9">
        <v>1926</v>
      </c>
      <c r="D2524" s="10">
        <v>45722</v>
      </c>
      <c r="E2524" s="11" t="str">
        <f>+HYPERLINK("http://trademark.i-assist.jp/data/china/image_1926th/82516680.pdf","82516680")</f>
        <v>82516680</v>
      </c>
      <c r="F2524" s="9" t="s">
        <v>6905</v>
      </c>
      <c r="G2524" s="12" t="s">
        <v>6906</v>
      </c>
      <c r="H2524" s="9" t="s">
        <v>6907</v>
      </c>
      <c r="I2524" s="10">
        <v>45638</v>
      </c>
    </row>
    <row r="2525" spans="1:9" x14ac:dyDescent="0.15">
      <c r="A2525" s="9">
        <v>2524</v>
      </c>
      <c r="B2525" s="9" t="s">
        <v>9</v>
      </c>
      <c r="C2525" s="9">
        <v>1926</v>
      </c>
      <c r="D2525" s="10">
        <v>45722</v>
      </c>
      <c r="E2525" s="11" t="str">
        <f>+HYPERLINK("http://trademark.i-assist.jp/data/china/image_1926th/82516904.pdf","82516904")</f>
        <v>82516904</v>
      </c>
      <c r="F2525" s="9" t="s">
        <v>6908</v>
      </c>
      <c r="G2525" s="9" t="s">
        <v>6909</v>
      </c>
      <c r="H2525" s="12" t="s">
        <v>6910</v>
      </c>
      <c r="I2525" s="10">
        <v>45638</v>
      </c>
    </row>
    <row r="2526" spans="1:9" x14ac:dyDescent="0.15">
      <c r="A2526" s="9">
        <v>2525</v>
      </c>
      <c r="B2526" s="9" t="s">
        <v>9</v>
      </c>
      <c r="C2526" s="9">
        <v>1926</v>
      </c>
      <c r="D2526" s="10">
        <v>45722</v>
      </c>
      <c r="E2526" s="11" t="str">
        <f>+HYPERLINK("http://trademark.i-assist.jp/data/china/image_1926th/82517358.pdf","82517358")</f>
        <v>82517358</v>
      </c>
      <c r="F2526" s="12" t="s">
        <v>6911</v>
      </c>
      <c r="G2526" s="12" t="s">
        <v>6912</v>
      </c>
      <c r="H2526" s="9" t="s">
        <v>6913</v>
      </c>
      <c r="I2526" s="10">
        <v>45638</v>
      </c>
    </row>
    <row r="2527" spans="1:9" x14ac:dyDescent="0.15">
      <c r="A2527" s="9">
        <v>2526</v>
      </c>
      <c r="B2527" s="9" t="s">
        <v>9</v>
      </c>
      <c r="C2527" s="9">
        <v>1926</v>
      </c>
      <c r="D2527" s="10">
        <v>45722</v>
      </c>
      <c r="E2527" s="11" t="str">
        <f>+HYPERLINK("http://trademark.i-assist.jp/data/china/image_1926th/82517911.pdf","82517911")</f>
        <v>82517911</v>
      </c>
      <c r="F2527" s="9" t="s">
        <v>6914</v>
      </c>
      <c r="G2527" s="9" t="s">
        <v>6915</v>
      </c>
      <c r="H2527" s="9" t="s">
        <v>6916</v>
      </c>
      <c r="I2527" s="10">
        <v>45638</v>
      </c>
    </row>
    <row r="2528" spans="1:9" x14ac:dyDescent="0.15">
      <c r="A2528" s="9">
        <v>2527</v>
      </c>
      <c r="B2528" s="9" t="s">
        <v>9</v>
      </c>
      <c r="C2528" s="9">
        <v>1926</v>
      </c>
      <c r="D2528" s="10">
        <v>45722</v>
      </c>
      <c r="E2528" s="11" t="str">
        <f>+HYPERLINK("http://trademark.i-assist.jp/data/china/image_1926th/82518079.pdf","82518079")</f>
        <v>82518079</v>
      </c>
      <c r="F2528" s="12" t="s">
        <v>6917</v>
      </c>
      <c r="G2528" s="9" t="s">
        <v>6918</v>
      </c>
      <c r="H2528" s="9" t="s">
        <v>6919</v>
      </c>
      <c r="I2528" s="10">
        <v>45638</v>
      </c>
    </row>
    <row r="2529" spans="1:9" x14ac:dyDescent="0.15">
      <c r="A2529" s="9">
        <v>2528</v>
      </c>
      <c r="B2529" s="9" t="s">
        <v>9</v>
      </c>
      <c r="C2529" s="9">
        <v>1926</v>
      </c>
      <c r="D2529" s="10">
        <v>45722</v>
      </c>
      <c r="E2529" s="11" t="str">
        <f>+HYPERLINK("http://trademark.i-assist.jp/data/china/image_1926th/82518141.pdf","82518141")</f>
        <v>82518141</v>
      </c>
      <c r="F2529" s="9" t="s">
        <v>6920</v>
      </c>
      <c r="G2529" s="12" t="s">
        <v>594</v>
      </c>
      <c r="H2529" s="9" t="s">
        <v>6921</v>
      </c>
      <c r="I2529" s="10">
        <v>45638</v>
      </c>
    </row>
    <row r="2530" spans="1:9" x14ac:dyDescent="0.15">
      <c r="A2530" s="9">
        <v>2529</v>
      </c>
      <c r="B2530" s="9" t="s">
        <v>9</v>
      </c>
      <c r="C2530" s="9">
        <v>1926</v>
      </c>
      <c r="D2530" s="10">
        <v>45722</v>
      </c>
      <c r="E2530" s="11" t="str">
        <f>+HYPERLINK("http://trademark.i-assist.jp/data/china/image_1926th/82518223.pdf","82518223")</f>
        <v>82518223</v>
      </c>
      <c r="F2530" s="9" t="s">
        <v>6922</v>
      </c>
      <c r="G2530" s="12" t="s">
        <v>6923</v>
      </c>
      <c r="H2530" s="9" t="s">
        <v>6924</v>
      </c>
      <c r="I2530" s="10">
        <v>45638</v>
      </c>
    </row>
    <row r="2531" spans="1:9" x14ac:dyDescent="0.15">
      <c r="A2531" s="9">
        <v>2530</v>
      </c>
      <c r="B2531" s="9" t="s">
        <v>9</v>
      </c>
      <c r="C2531" s="9">
        <v>1926</v>
      </c>
      <c r="D2531" s="10">
        <v>45722</v>
      </c>
      <c r="E2531" s="11" t="str">
        <f>+HYPERLINK("http://trademark.i-assist.jp/data/china/image_1926th/82518452.pdf","82518452")</f>
        <v>82518452</v>
      </c>
      <c r="F2531" s="9" t="s">
        <v>6925</v>
      </c>
      <c r="G2531" s="12" t="s">
        <v>6926</v>
      </c>
      <c r="H2531" s="9" t="s">
        <v>21</v>
      </c>
      <c r="I2531" s="10">
        <v>45638</v>
      </c>
    </row>
    <row r="2532" spans="1:9" x14ac:dyDescent="0.15">
      <c r="A2532" s="9">
        <v>2531</v>
      </c>
      <c r="B2532" s="9" t="s">
        <v>9</v>
      </c>
      <c r="C2532" s="9">
        <v>1926</v>
      </c>
      <c r="D2532" s="10">
        <v>45722</v>
      </c>
      <c r="E2532" s="11" t="str">
        <f>+HYPERLINK("http://trademark.i-assist.jp/data/china/image_1926th/82518622.pdf","82518622")</f>
        <v>82518622</v>
      </c>
      <c r="F2532" s="9" t="s">
        <v>6927</v>
      </c>
      <c r="G2532" s="9" t="s">
        <v>6928</v>
      </c>
      <c r="H2532" s="9" t="s">
        <v>6929</v>
      </c>
      <c r="I2532" s="10">
        <v>45638</v>
      </c>
    </row>
    <row r="2533" spans="1:9" x14ac:dyDescent="0.15">
      <c r="A2533" s="9">
        <v>2532</v>
      </c>
      <c r="B2533" s="9" t="s">
        <v>9</v>
      </c>
      <c r="C2533" s="9">
        <v>1926</v>
      </c>
      <c r="D2533" s="10">
        <v>45722</v>
      </c>
      <c r="E2533" s="11" t="str">
        <f>+HYPERLINK("http://trademark.i-assist.jp/data/china/image_1926th/82518629.pdf","82518629")</f>
        <v>82518629</v>
      </c>
      <c r="F2533" s="9" t="s">
        <v>6930</v>
      </c>
      <c r="G2533" s="9" t="s">
        <v>6931</v>
      </c>
      <c r="H2533" s="9" t="s">
        <v>6932</v>
      </c>
      <c r="I2533" s="10">
        <v>45638</v>
      </c>
    </row>
    <row r="2534" spans="1:9" x14ac:dyDescent="0.15">
      <c r="A2534" s="9">
        <v>2533</v>
      </c>
      <c r="B2534" s="9" t="s">
        <v>9</v>
      </c>
      <c r="C2534" s="9">
        <v>1926</v>
      </c>
      <c r="D2534" s="10">
        <v>45722</v>
      </c>
      <c r="E2534" s="11" t="str">
        <f>+HYPERLINK("http://trademark.i-assist.jp/data/china/image_1926th/82518647.pdf","82518647")</f>
        <v>82518647</v>
      </c>
      <c r="F2534" s="12" t="s">
        <v>6933</v>
      </c>
      <c r="G2534" s="9" t="s">
        <v>6934</v>
      </c>
      <c r="H2534" s="9" t="s">
        <v>6935</v>
      </c>
      <c r="I2534" s="10">
        <v>45638</v>
      </c>
    </row>
    <row r="2535" spans="1:9" x14ac:dyDescent="0.15">
      <c r="A2535" s="9">
        <v>2534</v>
      </c>
      <c r="B2535" s="9" t="s">
        <v>9</v>
      </c>
      <c r="C2535" s="9">
        <v>1926</v>
      </c>
      <c r="D2535" s="10">
        <v>45722</v>
      </c>
      <c r="E2535" s="11" t="str">
        <f>+HYPERLINK("http://trademark.i-assist.jp/data/china/image_1926th/82519473.pdf","82519473")</f>
        <v>82519473</v>
      </c>
      <c r="F2535" s="9" t="s">
        <v>6936</v>
      </c>
      <c r="G2535" s="12" t="s">
        <v>6937</v>
      </c>
      <c r="H2535" s="9" t="s">
        <v>6938</v>
      </c>
      <c r="I2535" s="10">
        <v>45638</v>
      </c>
    </row>
    <row r="2536" spans="1:9" x14ac:dyDescent="0.15">
      <c r="A2536" s="9">
        <v>2535</v>
      </c>
      <c r="B2536" s="9" t="s">
        <v>9</v>
      </c>
      <c r="C2536" s="9">
        <v>1926</v>
      </c>
      <c r="D2536" s="10">
        <v>45722</v>
      </c>
      <c r="E2536" s="11" t="str">
        <f>+HYPERLINK("http://trademark.i-assist.jp/data/china/image_1926th/82519653.pdf","82519653")</f>
        <v>82519653</v>
      </c>
      <c r="F2536" s="9" t="s">
        <v>6939</v>
      </c>
      <c r="G2536" s="12" t="s">
        <v>6737</v>
      </c>
      <c r="H2536" s="9" t="s">
        <v>6940</v>
      </c>
      <c r="I2536" s="10">
        <v>45638</v>
      </c>
    </row>
    <row r="2537" spans="1:9" x14ac:dyDescent="0.15">
      <c r="A2537" s="9">
        <v>2536</v>
      </c>
      <c r="B2537" s="9" t="s">
        <v>9</v>
      </c>
      <c r="C2537" s="9">
        <v>1926</v>
      </c>
      <c r="D2537" s="10">
        <v>45722</v>
      </c>
      <c r="E2537" s="11" t="str">
        <f>+HYPERLINK("http://trademark.i-assist.jp/data/china/image_1926th/82519913.pdf","82519913")</f>
        <v>82519913</v>
      </c>
      <c r="F2537" s="9" t="s">
        <v>6941</v>
      </c>
      <c r="G2537" s="12" t="s">
        <v>6942</v>
      </c>
      <c r="H2537" s="9" t="s">
        <v>6943</v>
      </c>
      <c r="I2537" s="10">
        <v>45638</v>
      </c>
    </row>
    <row r="2538" spans="1:9" x14ac:dyDescent="0.15">
      <c r="A2538" s="9">
        <v>2537</v>
      </c>
      <c r="B2538" s="9" t="s">
        <v>9</v>
      </c>
      <c r="C2538" s="9">
        <v>1926</v>
      </c>
      <c r="D2538" s="10">
        <v>45722</v>
      </c>
      <c r="E2538" s="11" t="str">
        <f>+HYPERLINK("http://trademark.i-assist.jp/data/china/image_1926th/82519989.pdf","82519989")</f>
        <v>82519989</v>
      </c>
      <c r="F2538" s="9" t="s">
        <v>6944</v>
      </c>
      <c r="G2538" s="9" t="s">
        <v>6818</v>
      </c>
      <c r="H2538" s="9" t="s">
        <v>6945</v>
      </c>
      <c r="I2538" s="10">
        <v>45638</v>
      </c>
    </row>
    <row r="2539" spans="1:9" x14ac:dyDescent="0.15">
      <c r="A2539" s="9">
        <v>2538</v>
      </c>
      <c r="B2539" s="9" t="s">
        <v>9</v>
      </c>
      <c r="C2539" s="9">
        <v>1926</v>
      </c>
      <c r="D2539" s="10">
        <v>45722</v>
      </c>
      <c r="E2539" s="11" t="str">
        <f>+HYPERLINK("http://trademark.i-assist.jp/data/china/image_1926th/82520051.pdf","82520051")</f>
        <v>82520051</v>
      </c>
      <c r="F2539" s="9" t="s">
        <v>6946</v>
      </c>
      <c r="G2539" s="9" t="s">
        <v>6809</v>
      </c>
      <c r="H2539" s="9" t="s">
        <v>6947</v>
      </c>
      <c r="I2539" s="10">
        <v>45638</v>
      </c>
    </row>
    <row r="2540" spans="1:9" x14ac:dyDescent="0.15">
      <c r="A2540" s="9">
        <v>2539</v>
      </c>
      <c r="B2540" s="9" t="s">
        <v>9</v>
      </c>
      <c r="C2540" s="9">
        <v>1926</v>
      </c>
      <c r="D2540" s="10">
        <v>45722</v>
      </c>
      <c r="E2540" s="11" t="str">
        <f>+HYPERLINK("http://trademark.i-assist.jp/data/china/image_1926th/82520416.pdf","82520416")</f>
        <v>82520416</v>
      </c>
      <c r="F2540" s="9" t="s">
        <v>6948</v>
      </c>
      <c r="G2540" s="12" t="s">
        <v>6949</v>
      </c>
      <c r="H2540" s="9" t="s">
        <v>6950</v>
      </c>
      <c r="I2540" s="10">
        <v>45638</v>
      </c>
    </row>
    <row r="2541" spans="1:9" x14ac:dyDescent="0.15">
      <c r="A2541" s="9">
        <v>2540</v>
      </c>
      <c r="B2541" s="9" t="s">
        <v>9</v>
      </c>
      <c r="C2541" s="9">
        <v>1926</v>
      </c>
      <c r="D2541" s="10">
        <v>45722</v>
      </c>
      <c r="E2541" s="11" t="str">
        <f>+HYPERLINK("http://trademark.i-assist.jp/data/china/image_1926th/82521054.pdf","82521054")</f>
        <v>82521054</v>
      </c>
      <c r="F2541" s="9" t="s">
        <v>6951</v>
      </c>
      <c r="G2541" s="9" t="s">
        <v>6952</v>
      </c>
      <c r="H2541" s="9" t="s">
        <v>6953</v>
      </c>
      <c r="I2541" s="10">
        <v>45638</v>
      </c>
    </row>
    <row r="2542" spans="1:9" x14ac:dyDescent="0.15">
      <c r="A2542" s="9">
        <v>2541</v>
      </c>
      <c r="B2542" s="9" t="s">
        <v>9</v>
      </c>
      <c r="C2542" s="9">
        <v>1926</v>
      </c>
      <c r="D2542" s="10">
        <v>45722</v>
      </c>
      <c r="E2542" s="11" t="str">
        <f>+HYPERLINK("http://trademark.i-assist.jp/data/china/image_1926th/82521168.pdf","82521168")</f>
        <v>82521168</v>
      </c>
      <c r="F2542" s="9" t="s">
        <v>6954</v>
      </c>
      <c r="G2542" s="12" t="s">
        <v>6955</v>
      </c>
      <c r="H2542" s="12" t="s">
        <v>6956</v>
      </c>
      <c r="I2542" s="10">
        <v>45638</v>
      </c>
    </row>
    <row r="2543" spans="1:9" x14ac:dyDescent="0.15">
      <c r="A2543" s="9">
        <v>2542</v>
      </c>
      <c r="B2543" s="9" t="s">
        <v>9</v>
      </c>
      <c r="C2543" s="9">
        <v>1926</v>
      </c>
      <c r="D2543" s="10">
        <v>45722</v>
      </c>
      <c r="E2543" s="11" t="str">
        <f>+HYPERLINK("http://trademark.i-assist.jp/data/china/image_1926th/82521459.pdf","82521459")</f>
        <v>82521459</v>
      </c>
      <c r="F2543" s="9" t="s">
        <v>6957</v>
      </c>
      <c r="G2543" s="9" t="s">
        <v>173</v>
      </c>
      <c r="H2543" s="9" t="s">
        <v>6958</v>
      </c>
      <c r="I2543" s="10">
        <v>45638</v>
      </c>
    </row>
    <row r="2544" spans="1:9" x14ac:dyDescent="0.15">
      <c r="A2544" s="9">
        <v>2543</v>
      </c>
      <c r="B2544" s="9" t="s">
        <v>9</v>
      </c>
      <c r="C2544" s="9">
        <v>1926</v>
      </c>
      <c r="D2544" s="10">
        <v>45722</v>
      </c>
      <c r="E2544" s="11" t="str">
        <f>+HYPERLINK("http://trademark.i-assist.jp/data/china/image_1926th/82521464.pdf","82521464")</f>
        <v>82521464</v>
      </c>
      <c r="F2544" s="9" t="s">
        <v>6959</v>
      </c>
      <c r="G2544" s="12" t="s">
        <v>6835</v>
      </c>
      <c r="H2544" s="9" t="s">
        <v>6960</v>
      </c>
      <c r="I2544" s="10">
        <v>45638</v>
      </c>
    </row>
    <row r="2545" spans="1:9" x14ac:dyDescent="0.15">
      <c r="A2545" s="9">
        <v>2544</v>
      </c>
      <c r="B2545" s="9" t="s">
        <v>9</v>
      </c>
      <c r="C2545" s="9">
        <v>1926</v>
      </c>
      <c r="D2545" s="10">
        <v>45722</v>
      </c>
      <c r="E2545" s="11" t="str">
        <f>+HYPERLINK("http://trademark.i-assist.jp/data/china/image_1926th/82521590.pdf","82521590")</f>
        <v>82521590</v>
      </c>
      <c r="F2545" s="9" t="s">
        <v>6961</v>
      </c>
      <c r="G2545" s="9" t="s">
        <v>6962</v>
      </c>
      <c r="H2545" s="9" t="s">
        <v>6963</v>
      </c>
      <c r="I2545" s="10">
        <v>45638</v>
      </c>
    </row>
    <row r="2546" spans="1:9" x14ac:dyDescent="0.15">
      <c r="A2546" s="9">
        <v>2545</v>
      </c>
      <c r="B2546" s="9" t="s">
        <v>9</v>
      </c>
      <c r="C2546" s="9">
        <v>1926</v>
      </c>
      <c r="D2546" s="10">
        <v>45722</v>
      </c>
      <c r="E2546" s="11" t="str">
        <f>+HYPERLINK("http://trademark.i-assist.jp/data/china/image_1926th/82522036.pdf","82522036")</f>
        <v>82522036</v>
      </c>
      <c r="F2546" s="9" t="s">
        <v>6964</v>
      </c>
      <c r="G2546" s="9" t="s">
        <v>6965</v>
      </c>
      <c r="H2546" s="9" t="s">
        <v>6966</v>
      </c>
      <c r="I2546" s="10">
        <v>45638</v>
      </c>
    </row>
    <row r="2547" spans="1:9" x14ac:dyDescent="0.15">
      <c r="A2547" s="9">
        <v>2546</v>
      </c>
      <c r="B2547" s="9" t="s">
        <v>9</v>
      </c>
      <c r="C2547" s="9">
        <v>1926</v>
      </c>
      <c r="D2547" s="10">
        <v>45722</v>
      </c>
      <c r="E2547" s="11" t="str">
        <f>+HYPERLINK("http://trademark.i-assist.jp/data/china/image_1926th/82522365.pdf","82522365")</f>
        <v>82522365</v>
      </c>
      <c r="F2547" s="9" t="s">
        <v>6967</v>
      </c>
      <c r="G2547" s="12" t="s">
        <v>6923</v>
      </c>
      <c r="H2547" s="9" t="s">
        <v>6968</v>
      </c>
      <c r="I2547" s="10">
        <v>45638</v>
      </c>
    </row>
    <row r="2548" spans="1:9" x14ac:dyDescent="0.15">
      <c r="A2548" s="9">
        <v>2547</v>
      </c>
      <c r="B2548" s="9" t="s">
        <v>9</v>
      </c>
      <c r="C2548" s="9">
        <v>1926</v>
      </c>
      <c r="D2548" s="10">
        <v>45722</v>
      </c>
      <c r="E2548" s="11" t="str">
        <f>+HYPERLINK("http://trademark.i-assist.jp/data/china/image_1926th/82523598.pdf","82523598")</f>
        <v>82523598</v>
      </c>
      <c r="F2548" s="9" t="s">
        <v>210</v>
      </c>
      <c r="G2548" s="9" t="s">
        <v>211</v>
      </c>
      <c r="H2548" s="9" t="s">
        <v>6969</v>
      </c>
      <c r="I2548" s="10">
        <v>45638</v>
      </c>
    </row>
    <row r="2549" spans="1:9" x14ac:dyDescent="0.15">
      <c r="A2549" s="9">
        <v>2548</v>
      </c>
      <c r="B2549" s="9" t="s">
        <v>9</v>
      </c>
      <c r="C2549" s="9">
        <v>1926</v>
      </c>
      <c r="D2549" s="10">
        <v>45722</v>
      </c>
      <c r="E2549" s="11" t="str">
        <f>+HYPERLINK("http://trademark.i-assist.jp/data/china/image_1926th/82523708.pdf","82523708")</f>
        <v>82523708</v>
      </c>
      <c r="F2549" s="9" t="s">
        <v>6970</v>
      </c>
      <c r="G2549" s="9" t="s">
        <v>6971</v>
      </c>
      <c r="H2549" s="12" t="s">
        <v>6972</v>
      </c>
      <c r="I2549" s="10">
        <v>45638</v>
      </c>
    </row>
    <row r="2550" spans="1:9" x14ac:dyDescent="0.15">
      <c r="A2550" s="9">
        <v>2549</v>
      </c>
      <c r="B2550" s="9" t="s">
        <v>9</v>
      </c>
      <c r="C2550" s="9">
        <v>1926</v>
      </c>
      <c r="D2550" s="10">
        <v>45722</v>
      </c>
      <c r="E2550" s="11" t="str">
        <f>+HYPERLINK("http://trademark.i-assist.jp/data/china/image_1926th/82524305.pdf","82524305")</f>
        <v>82524305</v>
      </c>
      <c r="F2550" s="9" t="s">
        <v>6973</v>
      </c>
      <c r="G2550" s="9" t="s">
        <v>6792</v>
      </c>
      <c r="H2550" s="9" t="s">
        <v>6974</v>
      </c>
      <c r="I2550" s="10">
        <v>45638</v>
      </c>
    </row>
    <row r="2551" spans="1:9" x14ac:dyDescent="0.15">
      <c r="A2551" s="9">
        <v>2550</v>
      </c>
      <c r="B2551" s="9" t="s">
        <v>9</v>
      </c>
      <c r="C2551" s="9">
        <v>1926</v>
      </c>
      <c r="D2551" s="10">
        <v>45722</v>
      </c>
      <c r="E2551" s="11" t="str">
        <f>+HYPERLINK("http://trademark.i-assist.jp/data/china/image_1926th/82524321.pdf","82524321")</f>
        <v>82524321</v>
      </c>
      <c r="F2551" s="9" t="s">
        <v>6975</v>
      </c>
      <c r="G2551" s="12" t="s">
        <v>6976</v>
      </c>
      <c r="H2551" s="12" t="s">
        <v>6977</v>
      </c>
      <c r="I2551" s="10">
        <v>45638</v>
      </c>
    </row>
    <row r="2552" spans="1:9" x14ac:dyDescent="0.15">
      <c r="A2552" s="9">
        <v>2551</v>
      </c>
      <c r="B2552" s="9" t="s">
        <v>9</v>
      </c>
      <c r="C2552" s="9">
        <v>1926</v>
      </c>
      <c r="D2552" s="10">
        <v>45722</v>
      </c>
      <c r="E2552" s="11" t="str">
        <f>+HYPERLINK("http://trademark.i-assist.jp/data/china/image_1926th/82524497.pdf","82524497")</f>
        <v>82524497</v>
      </c>
      <c r="F2552" s="12" t="s">
        <v>6978</v>
      </c>
      <c r="G2552" s="12" t="s">
        <v>6979</v>
      </c>
      <c r="H2552" s="9" t="s">
        <v>6980</v>
      </c>
      <c r="I2552" s="10">
        <v>45638</v>
      </c>
    </row>
    <row r="2553" spans="1:9" x14ac:dyDescent="0.15">
      <c r="A2553" s="9">
        <v>2552</v>
      </c>
      <c r="B2553" s="9" t="s">
        <v>9</v>
      </c>
      <c r="C2553" s="9">
        <v>1926</v>
      </c>
      <c r="D2553" s="10">
        <v>45722</v>
      </c>
      <c r="E2553" s="11" t="str">
        <f>+HYPERLINK("http://trademark.i-assist.jp/data/china/image_1926th/82524639.pdf","82524639")</f>
        <v>82524639</v>
      </c>
      <c r="F2553" s="9" t="s">
        <v>6981</v>
      </c>
      <c r="G2553" s="9" t="s">
        <v>6982</v>
      </c>
      <c r="H2553" s="9" t="s">
        <v>6983</v>
      </c>
      <c r="I2553" s="10">
        <v>45638</v>
      </c>
    </row>
    <row r="2554" spans="1:9" x14ac:dyDescent="0.15">
      <c r="A2554" s="9">
        <v>2553</v>
      </c>
      <c r="B2554" s="9" t="s">
        <v>9</v>
      </c>
      <c r="C2554" s="9">
        <v>1926</v>
      </c>
      <c r="D2554" s="10">
        <v>45722</v>
      </c>
      <c r="E2554" s="11" t="str">
        <f>+HYPERLINK("http://trademark.i-assist.jp/data/china/image_1926th/82524709.pdf","82524709")</f>
        <v>82524709</v>
      </c>
      <c r="F2554" s="9" t="s">
        <v>6984</v>
      </c>
      <c r="G2554" s="12" t="s">
        <v>6949</v>
      </c>
      <c r="H2554" s="9" t="s">
        <v>6985</v>
      </c>
      <c r="I2554" s="10">
        <v>45638</v>
      </c>
    </row>
    <row r="2555" spans="1:9" x14ac:dyDescent="0.15">
      <c r="A2555" s="9">
        <v>2554</v>
      </c>
      <c r="B2555" s="9" t="s">
        <v>9</v>
      </c>
      <c r="C2555" s="9">
        <v>1926</v>
      </c>
      <c r="D2555" s="10">
        <v>45722</v>
      </c>
      <c r="E2555" s="11" t="str">
        <f>+HYPERLINK("http://trademark.i-assist.jp/data/china/image_1926th/82525170.pdf","82525170")</f>
        <v>82525170</v>
      </c>
      <c r="F2555" s="9" t="s">
        <v>6986</v>
      </c>
      <c r="G2555" s="9" t="s">
        <v>6767</v>
      </c>
      <c r="H2555" s="9" t="s">
        <v>6987</v>
      </c>
      <c r="I2555" s="10">
        <v>45638</v>
      </c>
    </row>
    <row r="2556" spans="1:9" x14ac:dyDescent="0.15">
      <c r="A2556" s="9">
        <v>2555</v>
      </c>
      <c r="B2556" s="9" t="s">
        <v>9</v>
      </c>
      <c r="C2556" s="9">
        <v>1926</v>
      </c>
      <c r="D2556" s="10">
        <v>45722</v>
      </c>
      <c r="E2556" s="11" t="str">
        <f>+HYPERLINK("http://trademark.i-assist.jp/data/china/image_1926th/82525756.pdf","82525756")</f>
        <v>82525756</v>
      </c>
      <c r="F2556" s="9" t="s">
        <v>6988</v>
      </c>
      <c r="G2556" s="9" t="s">
        <v>6989</v>
      </c>
      <c r="H2556" s="9" t="s">
        <v>6990</v>
      </c>
      <c r="I2556" s="10">
        <v>45639</v>
      </c>
    </row>
    <row r="2557" spans="1:9" x14ac:dyDescent="0.15">
      <c r="A2557" s="9">
        <v>2556</v>
      </c>
      <c r="B2557" s="9" t="s">
        <v>9</v>
      </c>
      <c r="C2557" s="9">
        <v>1926</v>
      </c>
      <c r="D2557" s="10">
        <v>45722</v>
      </c>
      <c r="E2557" s="11" t="str">
        <f>+HYPERLINK("http://trademark.i-assist.jp/data/china/image_1926th/82525920.pdf","82525920")</f>
        <v>82525920</v>
      </c>
      <c r="F2557" s="9" t="s">
        <v>6991</v>
      </c>
      <c r="G2557" s="9" t="s">
        <v>6992</v>
      </c>
      <c r="H2557" s="9" t="s">
        <v>6993</v>
      </c>
      <c r="I2557" s="10">
        <v>45639</v>
      </c>
    </row>
    <row r="2558" spans="1:9" x14ac:dyDescent="0.15">
      <c r="A2558" s="9">
        <v>2557</v>
      </c>
      <c r="B2558" s="9" t="s">
        <v>9</v>
      </c>
      <c r="C2558" s="9">
        <v>1926</v>
      </c>
      <c r="D2558" s="10">
        <v>45722</v>
      </c>
      <c r="E2558" s="11" t="str">
        <f>+HYPERLINK("http://trademark.i-assist.jp/data/china/image_1926th/82526396.pdf","82526396")</f>
        <v>82526396</v>
      </c>
      <c r="F2558" s="9" t="s">
        <v>6994</v>
      </c>
      <c r="G2558" s="12" t="s">
        <v>6995</v>
      </c>
      <c r="H2558" s="9" t="s">
        <v>6996</v>
      </c>
      <c r="I2558" s="10">
        <v>45639</v>
      </c>
    </row>
    <row r="2559" spans="1:9" x14ac:dyDescent="0.15">
      <c r="A2559" s="9">
        <v>2558</v>
      </c>
      <c r="B2559" s="9" t="s">
        <v>9</v>
      </c>
      <c r="C2559" s="9">
        <v>1926</v>
      </c>
      <c r="D2559" s="10">
        <v>45722</v>
      </c>
      <c r="E2559" s="11" t="str">
        <f>+HYPERLINK("http://trademark.i-assist.jp/data/china/image_1926th/82526650.pdf","82526650")</f>
        <v>82526650</v>
      </c>
      <c r="F2559" s="9" t="s">
        <v>6997</v>
      </c>
      <c r="G2559" s="9" t="s">
        <v>6998</v>
      </c>
      <c r="H2559" s="12" t="s">
        <v>6999</v>
      </c>
      <c r="I2559" s="10">
        <v>45639</v>
      </c>
    </row>
    <row r="2560" spans="1:9" x14ac:dyDescent="0.15">
      <c r="A2560" s="9">
        <v>2559</v>
      </c>
      <c r="B2560" s="9" t="s">
        <v>9</v>
      </c>
      <c r="C2560" s="9">
        <v>1926</v>
      </c>
      <c r="D2560" s="10">
        <v>45722</v>
      </c>
      <c r="E2560" s="11" t="str">
        <f>+HYPERLINK("http://trademark.i-assist.jp/data/china/image_1926th/82526900.pdf","82526900")</f>
        <v>82526900</v>
      </c>
      <c r="F2560" s="9" t="s">
        <v>7000</v>
      </c>
      <c r="G2560" s="9" t="s">
        <v>7001</v>
      </c>
      <c r="H2560" s="9" t="s">
        <v>7002</v>
      </c>
      <c r="I2560" s="10">
        <v>45639</v>
      </c>
    </row>
    <row r="2561" spans="1:9" x14ac:dyDescent="0.15">
      <c r="A2561" s="9">
        <v>2560</v>
      </c>
      <c r="B2561" s="9" t="s">
        <v>9</v>
      </c>
      <c r="C2561" s="9">
        <v>1926</v>
      </c>
      <c r="D2561" s="10">
        <v>45722</v>
      </c>
      <c r="E2561" s="11" t="str">
        <f>+HYPERLINK("http://trademark.i-assist.jp/data/china/image_1926th/82526922.pdf","82526922")</f>
        <v>82526922</v>
      </c>
      <c r="F2561" s="9" t="s">
        <v>7003</v>
      </c>
      <c r="G2561" s="9" t="s">
        <v>15</v>
      </c>
      <c r="H2561" s="9" t="s">
        <v>7004</v>
      </c>
      <c r="I2561" s="10">
        <v>45639</v>
      </c>
    </row>
    <row r="2562" spans="1:9" x14ac:dyDescent="0.15">
      <c r="A2562" s="9">
        <v>2561</v>
      </c>
      <c r="B2562" s="9" t="s">
        <v>9</v>
      </c>
      <c r="C2562" s="9">
        <v>1926</v>
      </c>
      <c r="D2562" s="10">
        <v>45722</v>
      </c>
      <c r="E2562" s="11" t="str">
        <f>+HYPERLINK("http://trademark.i-assist.jp/data/china/image_1926th/82527282.pdf","82527282")</f>
        <v>82527282</v>
      </c>
      <c r="F2562" s="9" t="s">
        <v>7005</v>
      </c>
      <c r="G2562" s="9" t="s">
        <v>7006</v>
      </c>
      <c r="H2562" s="9" t="s">
        <v>7007</v>
      </c>
      <c r="I2562" s="10">
        <v>45639</v>
      </c>
    </row>
    <row r="2563" spans="1:9" x14ac:dyDescent="0.15">
      <c r="A2563" s="9">
        <v>2562</v>
      </c>
      <c r="B2563" s="9" t="s">
        <v>9</v>
      </c>
      <c r="C2563" s="9">
        <v>1926</v>
      </c>
      <c r="D2563" s="10">
        <v>45722</v>
      </c>
      <c r="E2563" s="11" t="str">
        <f>+HYPERLINK("http://trademark.i-assist.jp/data/china/image_1926th/82527296.pdf","82527296")</f>
        <v>82527296</v>
      </c>
      <c r="F2563" s="12" t="s">
        <v>7008</v>
      </c>
      <c r="G2563" s="9" t="s">
        <v>7009</v>
      </c>
      <c r="H2563" s="9" t="s">
        <v>7010</v>
      </c>
      <c r="I2563" s="10">
        <v>45639</v>
      </c>
    </row>
    <row r="2564" spans="1:9" x14ac:dyDescent="0.15">
      <c r="A2564" s="9">
        <v>2563</v>
      </c>
      <c r="B2564" s="9" t="s">
        <v>9</v>
      </c>
      <c r="C2564" s="9">
        <v>1926</v>
      </c>
      <c r="D2564" s="10">
        <v>45722</v>
      </c>
      <c r="E2564" s="11" t="str">
        <f>+HYPERLINK("http://trademark.i-assist.jp/data/china/image_1926th/82527566.pdf","82527566")</f>
        <v>82527566</v>
      </c>
      <c r="F2564" s="9" t="s">
        <v>7011</v>
      </c>
      <c r="G2564" s="9" t="s">
        <v>7012</v>
      </c>
      <c r="H2564" s="9" t="s">
        <v>7013</v>
      </c>
      <c r="I2564" s="10">
        <v>45639</v>
      </c>
    </row>
    <row r="2565" spans="1:9" x14ac:dyDescent="0.15">
      <c r="A2565" s="9">
        <v>2564</v>
      </c>
      <c r="B2565" s="9" t="s">
        <v>9</v>
      </c>
      <c r="C2565" s="9">
        <v>1926</v>
      </c>
      <c r="D2565" s="10">
        <v>45722</v>
      </c>
      <c r="E2565" s="11" t="str">
        <f>+HYPERLINK("http://trademark.i-assist.jp/data/china/image_1926th/82528241.pdf","82528241")</f>
        <v>82528241</v>
      </c>
      <c r="F2565" s="12" t="s">
        <v>7014</v>
      </c>
      <c r="G2565" s="9" t="s">
        <v>7015</v>
      </c>
      <c r="H2565" s="9" t="s">
        <v>7016</v>
      </c>
      <c r="I2565" s="10">
        <v>45639</v>
      </c>
    </row>
    <row r="2566" spans="1:9" x14ac:dyDescent="0.15">
      <c r="A2566" s="9">
        <v>2565</v>
      </c>
      <c r="B2566" s="9" t="s">
        <v>9</v>
      </c>
      <c r="C2566" s="9">
        <v>1926</v>
      </c>
      <c r="D2566" s="10">
        <v>45722</v>
      </c>
      <c r="E2566" s="11" t="str">
        <f>+HYPERLINK("http://trademark.i-assist.jp/data/china/image_1926th/82528351.pdf","82528351")</f>
        <v>82528351</v>
      </c>
      <c r="F2566" s="9" t="s">
        <v>7017</v>
      </c>
      <c r="G2566" s="9" t="s">
        <v>7018</v>
      </c>
      <c r="H2566" s="9" t="s">
        <v>7019</v>
      </c>
      <c r="I2566" s="10">
        <v>45639</v>
      </c>
    </row>
    <row r="2567" spans="1:9" x14ac:dyDescent="0.15">
      <c r="A2567" s="9">
        <v>2566</v>
      </c>
      <c r="B2567" s="9" t="s">
        <v>9</v>
      </c>
      <c r="C2567" s="9">
        <v>1926</v>
      </c>
      <c r="D2567" s="10">
        <v>45722</v>
      </c>
      <c r="E2567" s="11" t="str">
        <f>+HYPERLINK("http://trademark.i-assist.jp/data/china/image_1926th/82528518.pdf","82528518")</f>
        <v>82528518</v>
      </c>
      <c r="F2567" s="9" t="s">
        <v>7020</v>
      </c>
      <c r="G2567" s="9" t="s">
        <v>7021</v>
      </c>
      <c r="H2567" s="9" t="s">
        <v>7022</v>
      </c>
      <c r="I2567" s="10">
        <v>45639</v>
      </c>
    </row>
    <row r="2568" spans="1:9" x14ac:dyDescent="0.15">
      <c r="A2568" s="9">
        <v>2567</v>
      </c>
      <c r="B2568" s="9" t="s">
        <v>9</v>
      </c>
      <c r="C2568" s="9">
        <v>1926</v>
      </c>
      <c r="D2568" s="10">
        <v>45722</v>
      </c>
      <c r="E2568" s="11" t="str">
        <f>+HYPERLINK("http://trademark.i-assist.jp/data/china/image_1926th/82528724.pdf","82528724")</f>
        <v>82528724</v>
      </c>
      <c r="F2568" s="12" t="s">
        <v>20</v>
      </c>
      <c r="G2568" s="12" t="s">
        <v>7023</v>
      </c>
      <c r="H2568" s="12" t="s">
        <v>7024</v>
      </c>
      <c r="I2568" s="10">
        <v>45639</v>
      </c>
    </row>
    <row r="2569" spans="1:9" x14ac:dyDescent="0.15">
      <c r="A2569" s="9">
        <v>2568</v>
      </c>
      <c r="B2569" s="9" t="s">
        <v>9</v>
      </c>
      <c r="C2569" s="9">
        <v>1926</v>
      </c>
      <c r="D2569" s="10">
        <v>45722</v>
      </c>
      <c r="E2569" s="11" t="str">
        <f>+HYPERLINK("http://trademark.i-assist.jp/data/china/image_1926th/82529552.pdf","82529552")</f>
        <v>82529552</v>
      </c>
      <c r="F2569" s="12" t="s">
        <v>7025</v>
      </c>
      <c r="G2569" s="9" t="s">
        <v>7026</v>
      </c>
      <c r="H2569" s="9" t="s">
        <v>7027</v>
      </c>
      <c r="I2569" s="10">
        <v>45639</v>
      </c>
    </row>
    <row r="2570" spans="1:9" x14ac:dyDescent="0.15">
      <c r="A2570" s="9">
        <v>2569</v>
      </c>
      <c r="B2570" s="9" t="s">
        <v>9</v>
      </c>
      <c r="C2570" s="9">
        <v>1926</v>
      </c>
      <c r="D2570" s="10">
        <v>45722</v>
      </c>
      <c r="E2570" s="11" t="str">
        <f>+HYPERLINK("http://trademark.i-assist.jp/data/china/image_1926th/82529555.pdf","82529555")</f>
        <v>82529555</v>
      </c>
      <c r="F2570" s="12" t="s">
        <v>20</v>
      </c>
      <c r="G2570" s="9" t="s">
        <v>7028</v>
      </c>
      <c r="H2570" s="9" t="s">
        <v>7029</v>
      </c>
      <c r="I2570" s="10">
        <v>45639</v>
      </c>
    </row>
    <row r="2571" spans="1:9" x14ac:dyDescent="0.15">
      <c r="A2571" s="9">
        <v>2570</v>
      </c>
      <c r="B2571" s="9" t="s">
        <v>9</v>
      </c>
      <c r="C2571" s="9">
        <v>1926</v>
      </c>
      <c r="D2571" s="10">
        <v>45722</v>
      </c>
      <c r="E2571" s="11" t="str">
        <f>+HYPERLINK("http://trademark.i-assist.jp/data/china/image_1926th/82530019.pdf","82530019")</f>
        <v>82530019</v>
      </c>
      <c r="F2571" s="9" t="s">
        <v>7030</v>
      </c>
      <c r="G2571" s="9" t="s">
        <v>153</v>
      </c>
      <c r="H2571" s="9" t="s">
        <v>7031</v>
      </c>
      <c r="I2571" s="10">
        <v>45639</v>
      </c>
    </row>
    <row r="2572" spans="1:9" x14ac:dyDescent="0.15">
      <c r="A2572" s="9">
        <v>2571</v>
      </c>
      <c r="B2572" s="9" t="s">
        <v>9</v>
      </c>
      <c r="C2572" s="9">
        <v>1926</v>
      </c>
      <c r="D2572" s="10">
        <v>45722</v>
      </c>
      <c r="E2572" s="11" t="str">
        <f>+HYPERLINK("http://trademark.i-assist.jp/data/china/image_1926th/82530222.pdf","82530222")</f>
        <v>82530222</v>
      </c>
      <c r="F2572" s="9" t="s">
        <v>7032</v>
      </c>
      <c r="G2572" s="9" t="s">
        <v>7033</v>
      </c>
      <c r="H2572" s="9" t="s">
        <v>7034</v>
      </c>
      <c r="I2572" s="10">
        <v>45639</v>
      </c>
    </row>
    <row r="2573" spans="1:9" x14ac:dyDescent="0.15">
      <c r="A2573" s="9">
        <v>2572</v>
      </c>
      <c r="B2573" s="9" t="s">
        <v>9</v>
      </c>
      <c r="C2573" s="9">
        <v>1926</v>
      </c>
      <c r="D2573" s="10">
        <v>45722</v>
      </c>
      <c r="E2573" s="11" t="str">
        <f>+HYPERLINK("http://trademark.i-assist.jp/data/china/image_1926th/82530281.pdf","82530281")</f>
        <v>82530281</v>
      </c>
      <c r="F2573" s="9" t="s">
        <v>7035</v>
      </c>
      <c r="G2573" s="12" t="s">
        <v>7036</v>
      </c>
      <c r="H2573" s="9" t="s">
        <v>7037</v>
      </c>
      <c r="I2573" s="10">
        <v>45639</v>
      </c>
    </row>
    <row r="2574" spans="1:9" x14ac:dyDescent="0.15">
      <c r="A2574" s="9">
        <v>2573</v>
      </c>
      <c r="B2574" s="9" t="s">
        <v>9</v>
      </c>
      <c r="C2574" s="9">
        <v>1926</v>
      </c>
      <c r="D2574" s="10">
        <v>45722</v>
      </c>
      <c r="E2574" s="11" t="str">
        <f>+HYPERLINK("http://trademark.i-assist.jp/data/china/image_1926th/82530369.pdf","82530369")</f>
        <v>82530369</v>
      </c>
      <c r="F2574" s="9" t="s">
        <v>7038</v>
      </c>
      <c r="G2574" s="9" t="s">
        <v>7039</v>
      </c>
      <c r="H2574" s="9" t="s">
        <v>7040</v>
      </c>
      <c r="I2574" s="10">
        <v>45639</v>
      </c>
    </row>
    <row r="2575" spans="1:9" x14ac:dyDescent="0.15">
      <c r="A2575" s="9">
        <v>2574</v>
      </c>
      <c r="B2575" s="9" t="s">
        <v>9</v>
      </c>
      <c r="C2575" s="9">
        <v>1926</v>
      </c>
      <c r="D2575" s="10">
        <v>45722</v>
      </c>
      <c r="E2575" s="11" t="str">
        <f>+HYPERLINK("http://trademark.i-assist.jp/data/china/image_1926th/82531403.pdf","82531403")</f>
        <v>82531403</v>
      </c>
      <c r="F2575" s="9" t="s">
        <v>7041</v>
      </c>
      <c r="G2575" s="9" t="s">
        <v>7042</v>
      </c>
      <c r="H2575" s="9" t="s">
        <v>7043</v>
      </c>
      <c r="I2575" s="10">
        <v>45639</v>
      </c>
    </row>
    <row r="2576" spans="1:9" x14ac:dyDescent="0.15">
      <c r="A2576" s="9">
        <v>2575</v>
      </c>
      <c r="B2576" s="9" t="s">
        <v>9</v>
      </c>
      <c r="C2576" s="9">
        <v>1926</v>
      </c>
      <c r="D2576" s="10">
        <v>45722</v>
      </c>
      <c r="E2576" s="11" t="str">
        <f>+HYPERLINK("http://trademark.i-assist.jp/data/china/image_1926th/82531648.pdf","82531648")</f>
        <v>82531648</v>
      </c>
      <c r="F2576" s="9" t="s">
        <v>7044</v>
      </c>
      <c r="G2576" s="12" t="s">
        <v>7045</v>
      </c>
      <c r="H2576" s="9" t="s">
        <v>7046</v>
      </c>
      <c r="I2576" s="10">
        <v>45639</v>
      </c>
    </row>
    <row r="2577" spans="1:9" x14ac:dyDescent="0.15">
      <c r="A2577" s="9">
        <v>2576</v>
      </c>
      <c r="B2577" s="9" t="s">
        <v>9</v>
      </c>
      <c r="C2577" s="9">
        <v>1926</v>
      </c>
      <c r="D2577" s="10">
        <v>45722</v>
      </c>
      <c r="E2577" s="11" t="str">
        <f>+HYPERLINK("http://trademark.i-assist.jp/data/china/image_1926th/82531752.pdf","82531752")</f>
        <v>82531752</v>
      </c>
      <c r="F2577" s="12" t="s">
        <v>7047</v>
      </c>
      <c r="G2577" s="12" t="s">
        <v>7048</v>
      </c>
      <c r="H2577" s="9" t="s">
        <v>7049</v>
      </c>
      <c r="I2577" s="10">
        <v>45639</v>
      </c>
    </row>
    <row r="2578" spans="1:9" x14ac:dyDescent="0.15">
      <c r="A2578" s="9">
        <v>2577</v>
      </c>
      <c r="B2578" s="9" t="s">
        <v>9</v>
      </c>
      <c r="C2578" s="9">
        <v>1926</v>
      </c>
      <c r="D2578" s="10">
        <v>45722</v>
      </c>
      <c r="E2578" s="11" t="str">
        <f>+HYPERLINK("http://trademark.i-assist.jp/data/china/image_1926th/82531923.pdf","82531923")</f>
        <v>82531923</v>
      </c>
      <c r="F2578" s="9" t="s">
        <v>7050</v>
      </c>
      <c r="G2578" s="9" t="s">
        <v>7051</v>
      </c>
      <c r="H2578" s="9" t="s">
        <v>7052</v>
      </c>
      <c r="I2578" s="10">
        <v>45639</v>
      </c>
    </row>
    <row r="2579" spans="1:9" x14ac:dyDescent="0.15">
      <c r="A2579" s="9">
        <v>2578</v>
      </c>
      <c r="B2579" s="9" t="s">
        <v>9</v>
      </c>
      <c r="C2579" s="9">
        <v>1926</v>
      </c>
      <c r="D2579" s="10">
        <v>45722</v>
      </c>
      <c r="E2579" s="11" t="str">
        <f>+HYPERLINK("http://trademark.i-assist.jp/data/china/image_1926th/82533060.pdf","82533060")</f>
        <v>82533060</v>
      </c>
      <c r="F2579" s="9" t="s">
        <v>7053</v>
      </c>
      <c r="G2579" s="9" t="s">
        <v>6998</v>
      </c>
      <c r="H2579" s="12" t="s">
        <v>7054</v>
      </c>
      <c r="I2579" s="10">
        <v>45639</v>
      </c>
    </row>
    <row r="2580" spans="1:9" x14ac:dyDescent="0.15">
      <c r="A2580" s="9">
        <v>2579</v>
      </c>
      <c r="B2580" s="9" t="s">
        <v>9</v>
      </c>
      <c r="C2580" s="9">
        <v>1926</v>
      </c>
      <c r="D2580" s="10">
        <v>45722</v>
      </c>
      <c r="E2580" s="11" t="str">
        <f>+HYPERLINK("http://trademark.i-assist.jp/data/china/image_1926th/82533317.pdf","82533317")</f>
        <v>82533317</v>
      </c>
      <c r="F2580" s="9" t="s">
        <v>7055</v>
      </c>
      <c r="G2580" s="12" t="s">
        <v>167</v>
      </c>
      <c r="H2580" s="9" t="s">
        <v>7056</v>
      </c>
      <c r="I2580" s="10">
        <v>45639</v>
      </c>
    </row>
    <row r="2581" spans="1:9" x14ac:dyDescent="0.15">
      <c r="A2581" s="9">
        <v>2580</v>
      </c>
      <c r="B2581" s="9" t="s">
        <v>9</v>
      </c>
      <c r="C2581" s="9">
        <v>1926</v>
      </c>
      <c r="D2581" s="10">
        <v>45722</v>
      </c>
      <c r="E2581" s="11" t="str">
        <f>+HYPERLINK("http://trademark.i-assist.jp/data/china/image_1926th/82533475.pdf","82533475")</f>
        <v>82533475</v>
      </c>
      <c r="F2581" s="9" t="s">
        <v>7057</v>
      </c>
      <c r="G2581" s="9" t="s">
        <v>7051</v>
      </c>
      <c r="H2581" s="9" t="s">
        <v>7058</v>
      </c>
      <c r="I2581" s="10">
        <v>45639</v>
      </c>
    </row>
    <row r="2582" spans="1:9" x14ac:dyDescent="0.15">
      <c r="A2582" s="9">
        <v>2581</v>
      </c>
      <c r="B2582" s="9" t="s">
        <v>9</v>
      </c>
      <c r="C2582" s="9">
        <v>1926</v>
      </c>
      <c r="D2582" s="10">
        <v>45722</v>
      </c>
      <c r="E2582" s="11" t="str">
        <f>+HYPERLINK("http://trademark.i-assist.jp/data/china/image_1926th/82534079.pdf","82534079")</f>
        <v>82534079</v>
      </c>
      <c r="F2582" s="9" t="s">
        <v>7059</v>
      </c>
      <c r="G2582" s="9" t="s">
        <v>7015</v>
      </c>
      <c r="H2582" s="9" t="s">
        <v>7060</v>
      </c>
      <c r="I2582" s="10">
        <v>45639</v>
      </c>
    </row>
    <row r="2583" spans="1:9" x14ac:dyDescent="0.15">
      <c r="A2583" s="9">
        <v>2582</v>
      </c>
      <c r="B2583" s="9" t="s">
        <v>9</v>
      </c>
      <c r="C2583" s="9">
        <v>1926</v>
      </c>
      <c r="D2583" s="10">
        <v>45722</v>
      </c>
      <c r="E2583" s="11" t="str">
        <f>+HYPERLINK("http://trademark.i-assist.jp/data/china/image_1926th/82534439.pdf","82534439")</f>
        <v>82534439</v>
      </c>
      <c r="F2583" s="12" t="s">
        <v>7061</v>
      </c>
      <c r="G2583" s="9" t="s">
        <v>7062</v>
      </c>
      <c r="H2583" s="9" t="s">
        <v>7063</v>
      </c>
      <c r="I2583" s="10">
        <v>45639</v>
      </c>
    </row>
    <row r="2584" spans="1:9" x14ac:dyDescent="0.15">
      <c r="A2584" s="9">
        <v>2583</v>
      </c>
      <c r="B2584" s="9" t="s">
        <v>9</v>
      </c>
      <c r="C2584" s="9">
        <v>1926</v>
      </c>
      <c r="D2584" s="10">
        <v>45722</v>
      </c>
      <c r="E2584" s="11" t="str">
        <f>+HYPERLINK("http://trademark.i-assist.jp/data/china/image_1926th/82535134.pdf","82535134")</f>
        <v>82535134</v>
      </c>
      <c r="F2584" s="9" t="s">
        <v>7064</v>
      </c>
      <c r="G2584" s="9" t="s">
        <v>7015</v>
      </c>
      <c r="H2584" s="9" t="s">
        <v>7065</v>
      </c>
      <c r="I2584" s="10">
        <v>45639</v>
      </c>
    </row>
    <row r="2585" spans="1:9" x14ac:dyDescent="0.15">
      <c r="A2585" s="9">
        <v>2584</v>
      </c>
      <c r="B2585" s="9" t="s">
        <v>9</v>
      </c>
      <c r="C2585" s="9">
        <v>1926</v>
      </c>
      <c r="D2585" s="10">
        <v>45722</v>
      </c>
      <c r="E2585" s="11" t="str">
        <f>+HYPERLINK("http://trademark.i-assist.jp/data/china/image_1926th/82535137.pdf","82535137")</f>
        <v>82535137</v>
      </c>
      <c r="F2585" s="9" t="s">
        <v>7066</v>
      </c>
      <c r="G2585" s="9" t="s">
        <v>7015</v>
      </c>
      <c r="H2585" s="9" t="s">
        <v>7067</v>
      </c>
      <c r="I2585" s="10">
        <v>45639</v>
      </c>
    </row>
    <row r="2586" spans="1:9" x14ac:dyDescent="0.15">
      <c r="A2586" s="9">
        <v>2585</v>
      </c>
      <c r="B2586" s="9" t="s">
        <v>9</v>
      </c>
      <c r="C2586" s="9">
        <v>1926</v>
      </c>
      <c r="D2586" s="10">
        <v>45722</v>
      </c>
      <c r="E2586" s="11" t="str">
        <f>+HYPERLINK("http://trademark.i-assist.jp/data/china/image_1926th/82535420.pdf","82535420")</f>
        <v>82535420</v>
      </c>
      <c r="F2586" s="9" t="s">
        <v>7068</v>
      </c>
      <c r="G2586" s="9" t="s">
        <v>7069</v>
      </c>
      <c r="H2586" s="9" t="s">
        <v>7070</v>
      </c>
      <c r="I2586" s="10">
        <v>45639</v>
      </c>
    </row>
    <row r="2587" spans="1:9" x14ac:dyDescent="0.15">
      <c r="A2587" s="9">
        <v>2586</v>
      </c>
      <c r="B2587" s="9" t="s">
        <v>9</v>
      </c>
      <c r="C2587" s="9">
        <v>1926</v>
      </c>
      <c r="D2587" s="10">
        <v>45722</v>
      </c>
      <c r="E2587" s="11" t="str">
        <f>+HYPERLINK("http://trademark.i-assist.jp/data/china/image_1926th/82535752.pdf","82535752")</f>
        <v>82535752</v>
      </c>
      <c r="F2587" s="12" t="s">
        <v>7071</v>
      </c>
      <c r="G2587" s="9" t="s">
        <v>7072</v>
      </c>
      <c r="H2587" s="9" t="s">
        <v>7073</v>
      </c>
      <c r="I2587" s="10">
        <v>45639</v>
      </c>
    </row>
    <row r="2588" spans="1:9" x14ac:dyDescent="0.15">
      <c r="A2588" s="9">
        <v>2587</v>
      </c>
      <c r="B2588" s="9" t="s">
        <v>9</v>
      </c>
      <c r="C2588" s="9">
        <v>1926</v>
      </c>
      <c r="D2588" s="10">
        <v>45722</v>
      </c>
      <c r="E2588" s="11" t="str">
        <f>+HYPERLINK("http://trademark.i-assist.jp/data/china/image_1926th/82535971.pdf","82535971")</f>
        <v>82535971</v>
      </c>
      <c r="F2588" s="9" t="s">
        <v>7074</v>
      </c>
      <c r="G2588" s="9" t="s">
        <v>7075</v>
      </c>
      <c r="H2588" s="9" t="s">
        <v>7076</v>
      </c>
      <c r="I2588" s="10">
        <v>45639</v>
      </c>
    </row>
    <row r="2589" spans="1:9" x14ac:dyDescent="0.15">
      <c r="A2589" s="9">
        <v>2588</v>
      </c>
      <c r="B2589" s="9" t="s">
        <v>9</v>
      </c>
      <c r="C2589" s="9">
        <v>1926</v>
      </c>
      <c r="D2589" s="10">
        <v>45722</v>
      </c>
      <c r="E2589" s="11" t="str">
        <f>+HYPERLINK("http://trademark.i-assist.jp/data/china/image_1926th/82536200.pdf","82536200")</f>
        <v>82536200</v>
      </c>
      <c r="F2589" s="12" t="s">
        <v>20</v>
      </c>
      <c r="G2589" s="9" t="s">
        <v>7077</v>
      </c>
      <c r="H2589" s="9" t="s">
        <v>21</v>
      </c>
      <c r="I2589" s="10">
        <v>45639</v>
      </c>
    </row>
    <row r="2590" spans="1:9" x14ac:dyDescent="0.15">
      <c r="A2590" s="9">
        <v>2589</v>
      </c>
      <c r="B2590" s="9" t="s">
        <v>9</v>
      </c>
      <c r="C2590" s="9">
        <v>1926</v>
      </c>
      <c r="D2590" s="10">
        <v>45722</v>
      </c>
      <c r="E2590" s="11" t="str">
        <f>+HYPERLINK("http://trademark.i-assist.jp/data/china/image_1926th/82536475.pdf","82536475")</f>
        <v>82536475</v>
      </c>
      <c r="F2590" s="9" t="s">
        <v>7078</v>
      </c>
      <c r="G2590" s="9" t="s">
        <v>7079</v>
      </c>
      <c r="H2590" s="9" t="s">
        <v>7080</v>
      </c>
      <c r="I2590" s="10">
        <v>45639</v>
      </c>
    </row>
    <row r="2591" spans="1:9" x14ac:dyDescent="0.15">
      <c r="A2591" s="9">
        <v>2590</v>
      </c>
      <c r="B2591" s="9" t="s">
        <v>9</v>
      </c>
      <c r="C2591" s="9">
        <v>1926</v>
      </c>
      <c r="D2591" s="10">
        <v>45722</v>
      </c>
      <c r="E2591" s="11" t="str">
        <f>+HYPERLINK("http://trademark.i-assist.jp/data/china/image_1926th/82537077.pdf","82537077")</f>
        <v>82537077</v>
      </c>
      <c r="F2591" s="9" t="s">
        <v>7081</v>
      </c>
      <c r="G2591" s="12" t="s">
        <v>149</v>
      </c>
      <c r="H2591" s="9" t="s">
        <v>7082</v>
      </c>
      <c r="I2591" s="10">
        <v>45639</v>
      </c>
    </row>
    <row r="2592" spans="1:9" x14ac:dyDescent="0.15">
      <c r="A2592" s="9">
        <v>2591</v>
      </c>
      <c r="B2592" s="9" t="s">
        <v>9</v>
      </c>
      <c r="C2592" s="9">
        <v>1926</v>
      </c>
      <c r="D2592" s="10">
        <v>45722</v>
      </c>
      <c r="E2592" s="11" t="str">
        <f>+HYPERLINK("http://trademark.i-assist.jp/data/china/image_1926th/82537100.pdf","82537100")</f>
        <v>82537100</v>
      </c>
      <c r="F2592" s="9" t="s">
        <v>7083</v>
      </c>
      <c r="G2592" s="12" t="s">
        <v>149</v>
      </c>
      <c r="H2592" s="9" t="s">
        <v>7084</v>
      </c>
      <c r="I2592" s="10">
        <v>45639</v>
      </c>
    </row>
    <row r="2593" spans="1:9" x14ac:dyDescent="0.15">
      <c r="A2593" s="9">
        <v>2592</v>
      </c>
      <c r="B2593" s="9" t="s">
        <v>9</v>
      </c>
      <c r="C2593" s="9">
        <v>1926</v>
      </c>
      <c r="D2593" s="10">
        <v>45722</v>
      </c>
      <c r="E2593" s="11" t="str">
        <f>+HYPERLINK("http://trademark.i-assist.jp/data/china/image_1926th/82538520.pdf","82538520")</f>
        <v>82538520</v>
      </c>
      <c r="F2593" s="9" t="s">
        <v>7085</v>
      </c>
      <c r="G2593" s="9" t="s">
        <v>7086</v>
      </c>
      <c r="H2593" s="9" t="s">
        <v>7087</v>
      </c>
      <c r="I2593" s="10">
        <v>45639</v>
      </c>
    </row>
    <row r="2594" spans="1:9" x14ac:dyDescent="0.15">
      <c r="A2594" s="9">
        <v>2593</v>
      </c>
      <c r="B2594" s="9" t="s">
        <v>9</v>
      </c>
      <c r="C2594" s="9">
        <v>1926</v>
      </c>
      <c r="D2594" s="10">
        <v>45722</v>
      </c>
      <c r="E2594" s="11" t="str">
        <f>+HYPERLINK("http://trademark.i-assist.jp/data/china/image_1926th/82538716.pdf","82538716")</f>
        <v>82538716</v>
      </c>
      <c r="F2594" s="12" t="s">
        <v>7088</v>
      </c>
      <c r="G2594" s="9" t="s">
        <v>7089</v>
      </c>
      <c r="H2594" s="9" t="s">
        <v>7090</v>
      </c>
      <c r="I2594" s="10">
        <v>45639</v>
      </c>
    </row>
    <row r="2595" spans="1:9" x14ac:dyDescent="0.15">
      <c r="A2595" s="9">
        <v>2594</v>
      </c>
      <c r="B2595" s="9" t="s">
        <v>9</v>
      </c>
      <c r="C2595" s="9">
        <v>1926</v>
      </c>
      <c r="D2595" s="10">
        <v>45722</v>
      </c>
      <c r="E2595" s="11" t="str">
        <f>+HYPERLINK("http://trademark.i-assist.jp/data/china/image_1926th/82539302.pdf","82539302")</f>
        <v>82539302</v>
      </c>
      <c r="F2595" s="9" t="s">
        <v>7091</v>
      </c>
      <c r="G2595" s="9" t="s">
        <v>7092</v>
      </c>
      <c r="H2595" s="9" t="s">
        <v>7093</v>
      </c>
      <c r="I2595" s="10">
        <v>45639</v>
      </c>
    </row>
    <row r="2596" spans="1:9" x14ac:dyDescent="0.15">
      <c r="A2596" s="9">
        <v>2595</v>
      </c>
      <c r="B2596" s="9" t="s">
        <v>9</v>
      </c>
      <c r="C2596" s="9">
        <v>1926</v>
      </c>
      <c r="D2596" s="10">
        <v>45722</v>
      </c>
      <c r="E2596" s="11" t="str">
        <f>+HYPERLINK("http://trademark.i-assist.jp/data/china/image_1926th/82539406.pdf","82539406")</f>
        <v>82539406</v>
      </c>
      <c r="F2596" s="9" t="s">
        <v>7094</v>
      </c>
      <c r="G2596" s="9" t="s">
        <v>7095</v>
      </c>
      <c r="H2596" s="9" t="s">
        <v>7096</v>
      </c>
      <c r="I2596" s="10">
        <v>45639</v>
      </c>
    </row>
    <row r="2597" spans="1:9" x14ac:dyDescent="0.15">
      <c r="A2597" s="9">
        <v>2596</v>
      </c>
      <c r="B2597" s="9" t="s">
        <v>9</v>
      </c>
      <c r="C2597" s="9">
        <v>1926</v>
      </c>
      <c r="D2597" s="10">
        <v>45722</v>
      </c>
      <c r="E2597" s="11" t="str">
        <f>+HYPERLINK("http://trademark.i-assist.jp/data/china/image_1926th/82539665.pdf","82539665")</f>
        <v>82539665</v>
      </c>
      <c r="F2597" s="9" t="s">
        <v>7097</v>
      </c>
      <c r="G2597" s="9" t="s">
        <v>7098</v>
      </c>
      <c r="H2597" s="12" t="s">
        <v>7099</v>
      </c>
      <c r="I2597" s="10">
        <v>45639</v>
      </c>
    </row>
    <row r="2598" spans="1:9" x14ac:dyDescent="0.15">
      <c r="A2598" s="9">
        <v>2597</v>
      </c>
      <c r="B2598" s="9" t="s">
        <v>9</v>
      </c>
      <c r="C2598" s="9">
        <v>1926</v>
      </c>
      <c r="D2598" s="10">
        <v>45722</v>
      </c>
      <c r="E2598" s="11" t="str">
        <f>+HYPERLINK("http://trademark.i-assist.jp/data/china/image_1926th/82540250.pdf","82540250")</f>
        <v>82540250</v>
      </c>
      <c r="F2598" s="12" t="s">
        <v>7100</v>
      </c>
      <c r="G2598" s="9" t="s">
        <v>7015</v>
      </c>
      <c r="H2598" s="9" t="s">
        <v>7101</v>
      </c>
      <c r="I2598" s="10">
        <v>45639</v>
      </c>
    </row>
    <row r="2599" spans="1:9" x14ac:dyDescent="0.15">
      <c r="A2599" s="9">
        <v>2598</v>
      </c>
      <c r="B2599" s="9" t="s">
        <v>9</v>
      </c>
      <c r="C2599" s="9">
        <v>1926</v>
      </c>
      <c r="D2599" s="10">
        <v>45722</v>
      </c>
      <c r="E2599" s="11" t="str">
        <f>+HYPERLINK("http://trademark.i-assist.jp/data/china/image_1926th/82540387.pdf","82540387")</f>
        <v>82540387</v>
      </c>
      <c r="F2599" s="9" t="s">
        <v>7102</v>
      </c>
      <c r="G2599" s="9" t="s">
        <v>7103</v>
      </c>
      <c r="H2599" s="9" t="s">
        <v>7104</v>
      </c>
      <c r="I2599" s="10">
        <v>45639</v>
      </c>
    </row>
    <row r="2600" spans="1:9" x14ac:dyDescent="0.15">
      <c r="A2600" s="9">
        <v>2599</v>
      </c>
      <c r="B2600" s="9" t="s">
        <v>9</v>
      </c>
      <c r="C2600" s="9">
        <v>1926</v>
      </c>
      <c r="D2600" s="10">
        <v>45722</v>
      </c>
      <c r="E2600" s="11" t="str">
        <f>+HYPERLINK("http://trademark.i-assist.jp/data/china/image_1926th/82540528.pdf","82540528")</f>
        <v>82540528</v>
      </c>
      <c r="F2600" s="9" t="s">
        <v>7105</v>
      </c>
      <c r="G2600" s="9" t="s">
        <v>7106</v>
      </c>
      <c r="H2600" s="9" t="s">
        <v>7107</v>
      </c>
      <c r="I2600" s="10">
        <v>45639</v>
      </c>
    </row>
    <row r="2601" spans="1:9" x14ac:dyDescent="0.15">
      <c r="A2601" s="9">
        <v>2600</v>
      </c>
      <c r="B2601" s="9" t="s">
        <v>9</v>
      </c>
      <c r="C2601" s="9">
        <v>1926</v>
      </c>
      <c r="D2601" s="10">
        <v>45722</v>
      </c>
      <c r="E2601" s="11" t="str">
        <f>+HYPERLINK("http://trademark.i-assist.jp/data/china/image_1926th/82540579.pdf","82540579")</f>
        <v>82540579</v>
      </c>
      <c r="F2601" s="9" t="s">
        <v>7108</v>
      </c>
      <c r="G2601" s="9" t="s">
        <v>7109</v>
      </c>
      <c r="H2601" s="9" t="s">
        <v>7110</v>
      </c>
      <c r="I2601" s="10">
        <v>45639</v>
      </c>
    </row>
    <row r="2602" spans="1:9" x14ac:dyDescent="0.15">
      <c r="A2602" s="9">
        <v>2601</v>
      </c>
      <c r="B2602" s="9" t="s">
        <v>9</v>
      </c>
      <c r="C2602" s="9">
        <v>1926</v>
      </c>
      <c r="D2602" s="10">
        <v>45722</v>
      </c>
      <c r="E2602" s="11" t="str">
        <f>+HYPERLINK("http://trademark.i-assist.jp/data/china/image_1926th/82540660.pdf","82540660")</f>
        <v>82540660</v>
      </c>
      <c r="F2602" s="9" t="s">
        <v>7111</v>
      </c>
      <c r="G2602" s="9" t="s">
        <v>7112</v>
      </c>
      <c r="H2602" s="9" t="s">
        <v>7113</v>
      </c>
      <c r="I2602" s="10">
        <v>45639</v>
      </c>
    </row>
    <row r="2603" spans="1:9" x14ac:dyDescent="0.15">
      <c r="A2603" s="9">
        <v>2602</v>
      </c>
      <c r="B2603" s="9" t="s">
        <v>9</v>
      </c>
      <c r="C2603" s="9">
        <v>1926</v>
      </c>
      <c r="D2603" s="10">
        <v>45722</v>
      </c>
      <c r="E2603" s="11" t="str">
        <f>+HYPERLINK("http://trademark.i-assist.jp/data/china/image_1926th/82541344.pdf","82541344")</f>
        <v>82541344</v>
      </c>
      <c r="F2603" s="9" t="s">
        <v>7114</v>
      </c>
      <c r="G2603" s="9" t="s">
        <v>7115</v>
      </c>
      <c r="H2603" s="9" t="s">
        <v>7116</v>
      </c>
      <c r="I2603" s="10">
        <v>45639</v>
      </c>
    </row>
    <row r="2604" spans="1:9" x14ac:dyDescent="0.15">
      <c r="A2604" s="9">
        <v>2603</v>
      </c>
      <c r="B2604" s="9" t="s">
        <v>9</v>
      </c>
      <c r="C2604" s="9">
        <v>1926</v>
      </c>
      <c r="D2604" s="10">
        <v>45722</v>
      </c>
      <c r="E2604" s="11" t="str">
        <f>+HYPERLINK("http://trademark.i-assist.jp/data/china/image_1926th/82541352.pdf","82541352")</f>
        <v>82541352</v>
      </c>
      <c r="F2604" s="12" t="s">
        <v>7117</v>
      </c>
      <c r="G2604" s="9" t="s">
        <v>7115</v>
      </c>
      <c r="H2604" s="9" t="s">
        <v>7118</v>
      </c>
      <c r="I2604" s="10">
        <v>45639</v>
      </c>
    </row>
    <row r="2605" spans="1:9" x14ac:dyDescent="0.15">
      <c r="A2605" s="9">
        <v>2604</v>
      </c>
      <c r="B2605" s="9" t="s">
        <v>9</v>
      </c>
      <c r="C2605" s="9">
        <v>1926</v>
      </c>
      <c r="D2605" s="10">
        <v>45722</v>
      </c>
      <c r="E2605" s="11" t="str">
        <f>+HYPERLINK("http://trademark.i-assist.jp/data/china/image_1926th/82541367.pdf","82541367")</f>
        <v>82541367</v>
      </c>
      <c r="F2605" s="9" t="s">
        <v>7119</v>
      </c>
      <c r="G2605" s="9" t="s">
        <v>7115</v>
      </c>
      <c r="H2605" s="9" t="s">
        <v>7120</v>
      </c>
      <c r="I2605" s="10">
        <v>45639</v>
      </c>
    </row>
    <row r="2606" spans="1:9" x14ac:dyDescent="0.15">
      <c r="A2606" s="9">
        <v>2605</v>
      </c>
      <c r="B2606" s="9" t="s">
        <v>9</v>
      </c>
      <c r="C2606" s="9">
        <v>1926</v>
      </c>
      <c r="D2606" s="10">
        <v>45722</v>
      </c>
      <c r="E2606" s="11" t="str">
        <f>+HYPERLINK("http://trademark.i-assist.jp/data/china/image_1926th/82541389.pdf","82541389")</f>
        <v>82541389</v>
      </c>
      <c r="F2606" s="9" t="s">
        <v>7121</v>
      </c>
      <c r="G2606" s="9" t="s">
        <v>7122</v>
      </c>
      <c r="H2606" s="9" t="s">
        <v>7123</v>
      </c>
      <c r="I2606" s="10">
        <v>45639</v>
      </c>
    </row>
    <row r="2607" spans="1:9" x14ac:dyDescent="0.15">
      <c r="A2607" s="9">
        <v>2606</v>
      </c>
      <c r="B2607" s="9" t="s">
        <v>9</v>
      </c>
      <c r="C2607" s="9">
        <v>1926</v>
      </c>
      <c r="D2607" s="10">
        <v>45722</v>
      </c>
      <c r="E2607" s="11" t="str">
        <f>+HYPERLINK("http://trademark.i-assist.jp/data/china/image_1926th/82541434.pdf","82541434")</f>
        <v>82541434</v>
      </c>
      <c r="F2607" s="9" t="s">
        <v>7124</v>
      </c>
      <c r="G2607" s="12" t="s">
        <v>7125</v>
      </c>
      <c r="H2607" s="9" t="s">
        <v>7126</v>
      </c>
      <c r="I2607" s="10">
        <v>45639</v>
      </c>
    </row>
    <row r="2608" spans="1:9" x14ac:dyDescent="0.15">
      <c r="A2608" s="9">
        <v>2607</v>
      </c>
      <c r="B2608" s="9" t="s">
        <v>9</v>
      </c>
      <c r="C2608" s="9">
        <v>1926</v>
      </c>
      <c r="D2608" s="10">
        <v>45722</v>
      </c>
      <c r="E2608" s="11" t="str">
        <f>+HYPERLINK("http://trademark.i-assist.jp/data/china/image_1926th/82541687.pdf","82541687")</f>
        <v>82541687</v>
      </c>
      <c r="F2608" s="9" t="s">
        <v>7127</v>
      </c>
      <c r="G2608" s="9" t="s">
        <v>7128</v>
      </c>
      <c r="H2608" s="9" t="s">
        <v>7129</v>
      </c>
      <c r="I2608" s="10">
        <v>45639</v>
      </c>
    </row>
    <row r="2609" spans="1:9" x14ac:dyDescent="0.15">
      <c r="A2609" s="9">
        <v>2608</v>
      </c>
      <c r="B2609" s="9" t="s">
        <v>9</v>
      </c>
      <c r="C2609" s="9">
        <v>1926</v>
      </c>
      <c r="D2609" s="10">
        <v>45722</v>
      </c>
      <c r="E2609" s="11" t="str">
        <f>+HYPERLINK("http://trademark.i-assist.jp/data/china/image_1926th/82542325.pdf","82542325")</f>
        <v>82542325</v>
      </c>
      <c r="F2609" s="12" t="s">
        <v>7130</v>
      </c>
      <c r="G2609" s="9" t="s">
        <v>7131</v>
      </c>
      <c r="H2609" s="9" t="s">
        <v>7132</v>
      </c>
      <c r="I2609" s="10">
        <v>45639</v>
      </c>
    </row>
    <row r="2610" spans="1:9" x14ac:dyDescent="0.15">
      <c r="A2610" s="9">
        <v>2609</v>
      </c>
      <c r="B2610" s="9" t="s">
        <v>9</v>
      </c>
      <c r="C2610" s="9">
        <v>1926</v>
      </c>
      <c r="D2610" s="10">
        <v>45722</v>
      </c>
      <c r="E2610" s="11" t="str">
        <f>+HYPERLINK("http://trademark.i-assist.jp/data/china/image_1926th/82542547.pdf","82542547")</f>
        <v>82542547</v>
      </c>
      <c r="F2610" s="12" t="s">
        <v>7133</v>
      </c>
      <c r="G2610" s="9" t="s">
        <v>7134</v>
      </c>
      <c r="H2610" s="9" t="s">
        <v>7135</v>
      </c>
      <c r="I2610" s="10">
        <v>45639</v>
      </c>
    </row>
    <row r="2611" spans="1:9" x14ac:dyDescent="0.15">
      <c r="A2611" s="9">
        <v>2610</v>
      </c>
      <c r="B2611" s="9" t="s">
        <v>9</v>
      </c>
      <c r="C2611" s="9">
        <v>1926</v>
      </c>
      <c r="D2611" s="10">
        <v>45722</v>
      </c>
      <c r="E2611" s="11" t="str">
        <f>+HYPERLINK("http://trademark.i-assist.jp/data/china/image_1926th/82543080.pdf","82543080")</f>
        <v>82543080</v>
      </c>
      <c r="F2611" s="9" t="s">
        <v>7136</v>
      </c>
      <c r="G2611" s="9" t="s">
        <v>7137</v>
      </c>
      <c r="H2611" s="9" t="s">
        <v>7138</v>
      </c>
      <c r="I2611" s="10">
        <v>45639</v>
      </c>
    </row>
    <row r="2612" spans="1:9" x14ac:dyDescent="0.15">
      <c r="A2612" s="9">
        <v>2611</v>
      </c>
      <c r="B2612" s="9" t="s">
        <v>9</v>
      </c>
      <c r="C2612" s="9">
        <v>1926</v>
      </c>
      <c r="D2612" s="10">
        <v>45722</v>
      </c>
      <c r="E2612" s="11" t="str">
        <f>+HYPERLINK("http://trademark.i-assist.jp/data/china/image_1926th/82543404.pdf","82543404")</f>
        <v>82543404</v>
      </c>
      <c r="F2612" s="9" t="s">
        <v>7139</v>
      </c>
      <c r="G2612" s="9" t="s">
        <v>7140</v>
      </c>
      <c r="H2612" s="9" t="s">
        <v>7141</v>
      </c>
      <c r="I2612" s="10">
        <v>45639</v>
      </c>
    </row>
    <row r="2613" spans="1:9" x14ac:dyDescent="0.15">
      <c r="A2613" s="9">
        <v>2612</v>
      </c>
      <c r="B2613" s="9" t="s">
        <v>9</v>
      </c>
      <c r="C2613" s="9">
        <v>1926</v>
      </c>
      <c r="D2613" s="10">
        <v>45722</v>
      </c>
      <c r="E2613" s="11" t="str">
        <f>+HYPERLINK("http://trademark.i-assist.jp/data/china/image_1926th/82543964.pdf","82543964")</f>
        <v>82543964</v>
      </c>
      <c r="F2613" s="12" t="s">
        <v>20</v>
      </c>
      <c r="G2613" s="9" t="s">
        <v>7142</v>
      </c>
      <c r="H2613" s="9" t="s">
        <v>7143</v>
      </c>
      <c r="I2613" s="10">
        <v>45639</v>
      </c>
    </row>
    <row r="2614" spans="1:9" x14ac:dyDescent="0.15">
      <c r="A2614" s="9">
        <v>2613</v>
      </c>
      <c r="B2614" s="9" t="s">
        <v>9</v>
      </c>
      <c r="C2614" s="9">
        <v>1926</v>
      </c>
      <c r="D2614" s="10">
        <v>45722</v>
      </c>
      <c r="E2614" s="11" t="str">
        <f>+HYPERLINK("http://trademark.i-assist.jp/data/china/image_1926th/82544389.pdf","82544389")</f>
        <v>82544389</v>
      </c>
      <c r="F2614" s="9" t="s">
        <v>7144</v>
      </c>
      <c r="G2614" s="9" t="s">
        <v>7015</v>
      </c>
      <c r="H2614" s="9" t="s">
        <v>7145</v>
      </c>
      <c r="I2614" s="10">
        <v>45639</v>
      </c>
    </row>
    <row r="2615" spans="1:9" x14ac:dyDescent="0.15">
      <c r="A2615" s="9">
        <v>2614</v>
      </c>
      <c r="B2615" s="9" t="s">
        <v>9</v>
      </c>
      <c r="C2615" s="9">
        <v>1926</v>
      </c>
      <c r="D2615" s="10">
        <v>45722</v>
      </c>
      <c r="E2615" s="11" t="str">
        <f>+HYPERLINK("http://trademark.i-assist.jp/data/china/image_1926th/82544399.pdf","82544399")</f>
        <v>82544399</v>
      </c>
      <c r="F2615" s="9" t="s">
        <v>7146</v>
      </c>
      <c r="G2615" s="9" t="s">
        <v>7015</v>
      </c>
      <c r="H2615" s="9" t="s">
        <v>7147</v>
      </c>
      <c r="I2615" s="10">
        <v>45639</v>
      </c>
    </row>
    <row r="2616" spans="1:9" x14ac:dyDescent="0.15">
      <c r="A2616" s="9">
        <v>2615</v>
      </c>
      <c r="B2616" s="9" t="s">
        <v>9</v>
      </c>
      <c r="C2616" s="9">
        <v>1926</v>
      </c>
      <c r="D2616" s="10">
        <v>45722</v>
      </c>
      <c r="E2616" s="11" t="str">
        <f>+HYPERLINK("http://trademark.i-assist.jp/data/china/image_1926th/82544665.pdf","82544665")</f>
        <v>82544665</v>
      </c>
      <c r="F2616" s="12" t="s">
        <v>7148</v>
      </c>
      <c r="G2616" s="9" t="s">
        <v>7115</v>
      </c>
      <c r="H2616" s="9" t="s">
        <v>7149</v>
      </c>
      <c r="I2616" s="10">
        <v>45639</v>
      </c>
    </row>
    <row r="2617" spans="1:9" x14ac:dyDescent="0.15">
      <c r="A2617" s="9">
        <v>2616</v>
      </c>
      <c r="B2617" s="9" t="s">
        <v>9</v>
      </c>
      <c r="C2617" s="9">
        <v>1926</v>
      </c>
      <c r="D2617" s="10">
        <v>45722</v>
      </c>
      <c r="E2617" s="11" t="str">
        <f>+HYPERLINK("http://trademark.i-assist.jp/data/china/image_1926th/82544688.pdf","82544688")</f>
        <v>82544688</v>
      </c>
      <c r="F2617" s="9" t="s">
        <v>7150</v>
      </c>
      <c r="G2617" s="9" t="s">
        <v>7151</v>
      </c>
      <c r="H2617" s="9" t="s">
        <v>7152</v>
      </c>
      <c r="I2617" s="10">
        <v>45639</v>
      </c>
    </row>
    <row r="2618" spans="1:9" x14ac:dyDescent="0.15">
      <c r="A2618" s="9">
        <v>2617</v>
      </c>
      <c r="B2618" s="9" t="s">
        <v>9</v>
      </c>
      <c r="C2618" s="9">
        <v>1926</v>
      </c>
      <c r="D2618" s="10">
        <v>45722</v>
      </c>
      <c r="E2618" s="11" t="str">
        <f>+HYPERLINK("http://trademark.i-assist.jp/data/china/image_1926th/82545919.pdf","82545919")</f>
        <v>82545919</v>
      </c>
      <c r="F2618" s="9" t="s">
        <v>7153</v>
      </c>
      <c r="G2618" s="9" t="s">
        <v>7154</v>
      </c>
      <c r="H2618" s="9" t="s">
        <v>7155</v>
      </c>
      <c r="I2618" s="10">
        <v>45639</v>
      </c>
    </row>
    <row r="2619" spans="1:9" x14ac:dyDescent="0.15">
      <c r="A2619" s="9">
        <v>2618</v>
      </c>
      <c r="B2619" s="9" t="s">
        <v>9</v>
      </c>
      <c r="C2619" s="9">
        <v>1926</v>
      </c>
      <c r="D2619" s="10">
        <v>45722</v>
      </c>
      <c r="E2619" s="11" t="str">
        <f>+HYPERLINK("http://trademark.i-assist.jp/data/china/image_1926th/82546903.pdf","82546903")</f>
        <v>82546903</v>
      </c>
      <c r="F2619" s="12" t="s">
        <v>7156</v>
      </c>
      <c r="G2619" s="9" t="s">
        <v>7157</v>
      </c>
      <c r="H2619" s="9" t="s">
        <v>7158</v>
      </c>
      <c r="I2619" s="10">
        <v>45639</v>
      </c>
    </row>
    <row r="2620" spans="1:9" x14ac:dyDescent="0.15">
      <c r="A2620" s="9">
        <v>2619</v>
      </c>
      <c r="B2620" s="9" t="s">
        <v>9</v>
      </c>
      <c r="C2620" s="9">
        <v>1926</v>
      </c>
      <c r="D2620" s="10">
        <v>45722</v>
      </c>
      <c r="E2620" s="11" t="str">
        <f>+HYPERLINK("http://trademark.i-assist.jp/data/china/image_1926th/82547123.pdf","82547123")</f>
        <v>82547123</v>
      </c>
      <c r="F2620" s="9" t="s">
        <v>7159</v>
      </c>
      <c r="G2620" s="9" t="s">
        <v>7154</v>
      </c>
      <c r="H2620" s="9" t="s">
        <v>7160</v>
      </c>
      <c r="I2620" s="10">
        <v>45639</v>
      </c>
    </row>
    <row r="2621" spans="1:9" x14ac:dyDescent="0.15">
      <c r="A2621" s="9">
        <v>2620</v>
      </c>
      <c r="B2621" s="9" t="s">
        <v>9</v>
      </c>
      <c r="C2621" s="9">
        <v>1926</v>
      </c>
      <c r="D2621" s="10">
        <v>45722</v>
      </c>
      <c r="E2621" s="11" t="str">
        <f>+HYPERLINK("http://trademark.i-assist.jp/data/china/image_1926th/82547916.pdf","82547916")</f>
        <v>82547916</v>
      </c>
      <c r="F2621" s="12" t="s">
        <v>7161</v>
      </c>
      <c r="G2621" s="9" t="s">
        <v>7162</v>
      </c>
      <c r="H2621" s="9" t="s">
        <v>7163</v>
      </c>
      <c r="I2621" s="10">
        <v>45639</v>
      </c>
    </row>
    <row r="2622" spans="1:9" x14ac:dyDescent="0.15">
      <c r="A2622" s="9">
        <v>2621</v>
      </c>
      <c r="B2622" s="9" t="s">
        <v>9</v>
      </c>
      <c r="C2622" s="9">
        <v>1926</v>
      </c>
      <c r="D2622" s="10">
        <v>45722</v>
      </c>
      <c r="E2622" s="11" t="str">
        <f>+HYPERLINK("http://trademark.i-assist.jp/data/china/image_1926th/82548700.pdf","82548700")</f>
        <v>82548700</v>
      </c>
      <c r="F2622" s="9" t="s">
        <v>7164</v>
      </c>
      <c r="G2622" s="12" t="s">
        <v>7165</v>
      </c>
      <c r="H2622" s="9" t="s">
        <v>7166</v>
      </c>
      <c r="I2622" s="10">
        <v>45639</v>
      </c>
    </row>
    <row r="2623" spans="1:9" x14ac:dyDescent="0.15">
      <c r="A2623" s="9">
        <v>2622</v>
      </c>
      <c r="B2623" s="9" t="s">
        <v>9</v>
      </c>
      <c r="C2623" s="9">
        <v>1926</v>
      </c>
      <c r="D2623" s="10">
        <v>45722</v>
      </c>
      <c r="E2623" s="11" t="str">
        <f>+HYPERLINK("http://trademark.i-assist.jp/data/china/image_1926th/82548992.pdf","82548992")</f>
        <v>82548992</v>
      </c>
      <c r="F2623" s="9" t="s">
        <v>7167</v>
      </c>
      <c r="G2623" s="12" t="s">
        <v>7168</v>
      </c>
      <c r="H2623" s="9" t="s">
        <v>7169</v>
      </c>
      <c r="I2623" s="10">
        <v>45639</v>
      </c>
    </row>
    <row r="2624" spans="1:9" x14ac:dyDescent="0.15">
      <c r="A2624" s="9">
        <v>2623</v>
      </c>
      <c r="B2624" s="9" t="s">
        <v>9</v>
      </c>
      <c r="C2624" s="9">
        <v>1926</v>
      </c>
      <c r="D2624" s="10">
        <v>45722</v>
      </c>
      <c r="E2624" s="11" t="str">
        <f>+HYPERLINK("http://trademark.i-assist.jp/data/china/image_1926th/82549022.pdf","82549022")</f>
        <v>82549022</v>
      </c>
      <c r="F2624" s="9" t="s">
        <v>7170</v>
      </c>
      <c r="G2624" s="12" t="s">
        <v>7165</v>
      </c>
      <c r="H2624" s="9" t="s">
        <v>7171</v>
      </c>
      <c r="I2624" s="10">
        <v>45639</v>
      </c>
    </row>
    <row r="2625" spans="1:9" x14ac:dyDescent="0.15">
      <c r="A2625" s="9">
        <v>2624</v>
      </c>
      <c r="B2625" s="9" t="s">
        <v>9</v>
      </c>
      <c r="C2625" s="9">
        <v>1926</v>
      </c>
      <c r="D2625" s="10">
        <v>45722</v>
      </c>
      <c r="E2625" s="11" t="str">
        <f>+HYPERLINK("http://trademark.i-assist.jp/data/china/image_1926th/82549034.pdf","82549034")</f>
        <v>82549034</v>
      </c>
      <c r="F2625" s="9" t="s">
        <v>7172</v>
      </c>
      <c r="G2625" s="9" t="s">
        <v>7173</v>
      </c>
      <c r="H2625" s="9" t="s">
        <v>7174</v>
      </c>
      <c r="I2625" s="10">
        <v>45639</v>
      </c>
    </row>
    <row r="2626" spans="1:9" x14ac:dyDescent="0.15">
      <c r="A2626" s="9">
        <v>2625</v>
      </c>
      <c r="B2626" s="9" t="s">
        <v>9</v>
      </c>
      <c r="C2626" s="9">
        <v>1926</v>
      </c>
      <c r="D2626" s="10">
        <v>45722</v>
      </c>
      <c r="E2626" s="11" t="str">
        <f>+HYPERLINK("http://trademark.i-assist.jp/data/china/image_1926th/82549195.pdf","82549195")</f>
        <v>82549195</v>
      </c>
      <c r="F2626" s="9" t="s">
        <v>7175</v>
      </c>
      <c r="G2626" s="9" t="s">
        <v>7131</v>
      </c>
      <c r="H2626" s="9" t="s">
        <v>7176</v>
      </c>
      <c r="I2626" s="10">
        <v>45639</v>
      </c>
    </row>
    <row r="2627" spans="1:9" x14ac:dyDescent="0.15">
      <c r="A2627" s="9">
        <v>2626</v>
      </c>
      <c r="B2627" s="9" t="s">
        <v>9</v>
      </c>
      <c r="C2627" s="9">
        <v>1926</v>
      </c>
      <c r="D2627" s="10">
        <v>45722</v>
      </c>
      <c r="E2627" s="11" t="str">
        <f>+HYPERLINK("http://trademark.i-assist.jp/data/china/image_1926th/82549423.pdf","82549423")</f>
        <v>82549423</v>
      </c>
      <c r="F2627" s="9" t="s">
        <v>7177</v>
      </c>
      <c r="G2627" s="9" t="s">
        <v>7051</v>
      </c>
      <c r="H2627" s="9" t="s">
        <v>7178</v>
      </c>
      <c r="I2627" s="10">
        <v>45639</v>
      </c>
    </row>
    <row r="2628" spans="1:9" x14ac:dyDescent="0.15">
      <c r="A2628" s="9">
        <v>2627</v>
      </c>
      <c r="B2628" s="9" t="s">
        <v>9</v>
      </c>
      <c r="C2628" s="9">
        <v>1926</v>
      </c>
      <c r="D2628" s="10">
        <v>45722</v>
      </c>
      <c r="E2628" s="11" t="str">
        <f>+HYPERLINK("http://trademark.i-assist.jp/data/china/image_1926th/82549955.pdf","82549955")</f>
        <v>82549955</v>
      </c>
      <c r="F2628" s="9" t="s">
        <v>7179</v>
      </c>
      <c r="G2628" s="12" t="s">
        <v>167</v>
      </c>
      <c r="H2628" s="9" t="s">
        <v>7180</v>
      </c>
      <c r="I2628" s="10">
        <v>45639</v>
      </c>
    </row>
    <row r="2629" spans="1:9" x14ac:dyDescent="0.15">
      <c r="A2629" s="9">
        <v>2628</v>
      </c>
      <c r="B2629" s="9" t="s">
        <v>9</v>
      </c>
      <c r="C2629" s="9">
        <v>1926</v>
      </c>
      <c r="D2629" s="10">
        <v>45722</v>
      </c>
      <c r="E2629" s="11" t="str">
        <f>+HYPERLINK("http://trademark.i-assist.jp/data/china/image_1926th/82552105.pdf","82552105")</f>
        <v>82552105</v>
      </c>
      <c r="F2629" s="9" t="s">
        <v>7181</v>
      </c>
      <c r="G2629" s="9" t="s">
        <v>7182</v>
      </c>
      <c r="H2629" s="12" t="s">
        <v>7183</v>
      </c>
      <c r="I2629" s="10">
        <v>45641</v>
      </c>
    </row>
    <row r="2630" spans="1:9" x14ac:dyDescent="0.15">
      <c r="A2630" s="9">
        <v>2629</v>
      </c>
      <c r="B2630" s="9" t="s">
        <v>9</v>
      </c>
      <c r="C2630" s="9">
        <v>1926</v>
      </c>
      <c r="D2630" s="10">
        <v>45722</v>
      </c>
      <c r="E2630" s="11" t="str">
        <f>+HYPERLINK("http://trademark.i-assist.jp/data/china/image_1926th/82552206.pdf","82552206")</f>
        <v>82552206</v>
      </c>
      <c r="F2630" s="9" t="s">
        <v>7184</v>
      </c>
      <c r="G2630" s="9" t="s">
        <v>7185</v>
      </c>
      <c r="H2630" s="9" t="s">
        <v>7186</v>
      </c>
      <c r="I2630" s="10">
        <v>45641</v>
      </c>
    </row>
    <row r="2631" spans="1:9" x14ac:dyDescent="0.15">
      <c r="A2631" s="9">
        <v>2630</v>
      </c>
      <c r="B2631" s="9" t="s">
        <v>9</v>
      </c>
      <c r="C2631" s="9">
        <v>1926</v>
      </c>
      <c r="D2631" s="10">
        <v>45722</v>
      </c>
      <c r="E2631" s="11" t="str">
        <f>+HYPERLINK("http://trademark.i-assist.jp/data/china/image_1926th/82553215.pdf","82553215")</f>
        <v>82553215</v>
      </c>
      <c r="F2631" s="12" t="s">
        <v>7187</v>
      </c>
      <c r="G2631" s="9" t="s">
        <v>7188</v>
      </c>
      <c r="H2631" s="9" t="s">
        <v>7189</v>
      </c>
      <c r="I2631" s="10">
        <v>45642</v>
      </c>
    </row>
    <row r="2632" spans="1:9" x14ac:dyDescent="0.15">
      <c r="A2632" s="9">
        <v>2631</v>
      </c>
      <c r="B2632" s="9" t="s">
        <v>9</v>
      </c>
      <c r="C2632" s="9">
        <v>1926</v>
      </c>
      <c r="D2632" s="10">
        <v>45722</v>
      </c>
      <c r="E2632" s="11" t="str">
        <f>+HYPERLINK("http://trademark.i-assist.jp/data/china/image_1926th/82553329.pdf","82553329")</f>
        <v>82553329</v>
      </c>
      <c r="F2632" s="12" t="s">
        <v>20</v>
      </c>
      <c r="G2632" s="9" t="s">
        <v>7190</v>
      </c>
      <c r="H2632" s="9" t="s">
        <v>7191</v>
      </c>
      <c r="I2632" s="10">
        <v>45641</v>
      </c>
    </row>
    <row r="2633" spans="1:9" x14ac:dyDescent="0.15">
      <c r="A2633" s="9">
        <v>2632</v>
      </c>
      <c r="B2633" s="9" t="s">
        <v>9</v>
      </c>
      <c r="C2633" s="9">
        <v>1926</v>
      </c>
      <c r="D2633" s="10">
        <v>45722</v>
      </c>
      <c r="E2633" s="11" t="str">
        <f>+HYPERLINK("http://trademark.i-assist.jp/data/china/image_1926th/82553734.pdf","82553734")</f>
        <v>82553734</v>
      </c>
      <c r="F2633" s="9" t="s">
        <v>7192</v>
      </c>
      <c r="G2633" s="9" t="s">
        <v>7193</v>
      </c>
      <c r="H2633" s="9" t="s">
        <v>7194</v>
      </c>
      <c r="I2633" s="10">
        <v>45642</v>
      </c>
    </row>
    <row r="2634" spans="1:9" x14ac:dyDescent="0.15">
      <c r="A2634" s="9">
        <v>2633</v>
      </c>
      <c r="B2634" s="9" t="s">
        <v>9</v>
      </c>
      <c r="C2634" s="9">
        <v>1926</v>
      </c>
      <c r="D2634" s="10">
        <v>45722</v>
      </c>
      <c r="E2634" s="11" t="str">
        <f>+HYPERLINK("http://trademark.i-assist.jp/data/china/image_1926th/82554121.pdf","82554121")</f>
        <v>82554121</v>
      </c>
      <c r="F2634" s="12" t="s">
        <v>7195</v>
      </c>
      <c r="G2634" s="9" t="s">
        <v>7196</v>
      </c>
      <c r="H2634" s="9" t="s">
        <v>7197</v>
      </c>
      <c r="I2634" s="10">
        <v>45642</v>
      </c>
    </row>
    <row r="2635" spans="1:9" x14ac:dyDescent="0.15">
      <c r="A2635" s="9">
        <v>2634</v>
      </c>
      <c r="B2635" s="9" t="s">
        <v>9</v>
      </c>
      <c r="C2635" s="9">
        <v>1926</v>
      </c>
      <c r="D2635" s="10">
        <v>45722</v>
      </c>
      <c r="E2635" s="11" t="str">
        <f>+HYPERLINK("http://trademark.i-assist.jp/data/china/image_1926th/82554225.pdf","82554225")</f>
        <v>82554225</v>
      </c>
      <c r="F2635" s="9" t="s">
        <v>7198</v>
      </c>
      <c r="G2635" s="9" t="s">
        <v>7199</v>
      </c>
      <c r="H2635" s="12" t="s">
        <v>7200</v>
      </c>
      <c r="I2635" s="10">
        <v>45642</v>
      </c>
    </row>
    <row r="2636" spans="1:9" x14ac:dyDescent="0.15">
      <c r="A2636" s="9">
        <v>2635</v>
      </c>
      <c r="B2636" s="9" t="s">
        <v>9</v>
      </c>
      <c r="C2636" s="9">
        <v>1926</v>
      </c>
      <c r="D2636" s="10">
        <v>45722</v>
      </c>
      <c r="E2636" s="11" t="str">
        <f>+HYPERLINK("http://trademark.i-assist.jp/data/china/image_1926th/82554460.pdf","82554460")</f>
        <v>82554460</v>
      </c>
      <c r="F2636" s="9" t="s">
        <v>7201</v>
      </c>
      <c r="G2636" s="9" t="s">
        <v>7202</v>
      </c>
      <c r="H2636" s="9" t="s">
        <v>7203</v>
      </c>
      <c r="I2636" s="10">
        <v>45642</v>
      </c>
    </row>
    <row r="2637" spans="1:9" x14ac:dyDescent="0.15">
      <c r="A2637" s="9">
        <v>2636</v>
      </c>
      <c r="B2637" s="9" t="s">
        <v>9</v>
      </c>
      <c r="C2637" s="9">
        <v>1926</v>
      </c>
      <c r="D2637" s="10">
        <v>45722</v>
      </c>
      <c r="E2637" s="11" t="str">
        <f>+HYPERLINK("http://trademark.i-assist.jp/data/china/image_1926th/82554610.pdf","82554610")</f>
        <v>82554610</v>
      </c>
      <c r="F2637" s="9" t="s">
        <v>7204</v>
      </c>
      <c r="G2637" s="9" t="s">
        <v>7205</v>
      </c>
      <c r="H2637" s="9" t="s">
        <v>7206</v>
      </c>
      <c r="I2637" s="10">
        <v>45642</v>
      </c>
    </row>
    <row r="2638" spans="1:9" x14ac:dyDescent="0.15">
      <c r="A2638" s="9">
        <v>2637</v>
      </c>
      <c r="B2638" s="9" t="s">
        <v>9</v>
      </c>
      <c r="C2638" s="9">
        <v>1926</v>
      </c>
      <c r="D2638" s="10">
        <v>45722</v>
      </c>
      <c r="E2638" s="11" t="str">
        <f>+HYPERLINK("http://trademark.i-assist.jp/data/china/image_1926th/82554818.pdf","82554818")</f>
        <v>82554818</v>
      </c>
      <c r="F2638" s="12" t="s">
        <v>7207</v>
      </c>
      <c r="G2638" s="12" t="s">
        <v>7208</v>
      </c>
      <c r="H2638" s="9" t="s">
        <v>7209</v>
      </c>
      <c r="I2638" s="10">
        <v>45642</v>
      </c>
    </row>
    <row r="2639" spans="1:9" x14ac:dyDescent="0.15">
      <c r="A2639" s="9">
        <v>2638</v>
      </c>
      <c r="B2639" s="9" t="s">
        <v>9</v>
      </c>
      <c r="C2639" s="9">
        <v>1926</v>
      </c>
      <c r="D2639" s="10">
        <v>45722</v>
      </c>
      <c r="E2639" s="11" t="str">
        <f>+HYPERLINK("http://trademark.i-assist.jp/data/china/image_1926th/82555044.pdf","82555044")</f>
        <v>82555044</v>
      </c>
      <c r="F2639" s="9" t="s">
        <v>7210</v>
      </c>
      <c r="G2639" s="12" t="s">
        <v>27</v>
      </c>
      <c r="H2639" s="9" t="s">
        <v>7211</v>
      </c>
      <c r="I2639" s="10">
        <v>45642</v>
      </c>
    </row>
    <row r="2640" spans="1:9" x14ac:dyDescent="0.15">
      <c r="A2640" s="9">
        <v>2639</v>
      </c>
      <c r="B2640" s="9" t="s">
        <v>9</v>
      </c>
      <c r="C2640" s="9">
        <v>1926</v>
      </c>
      <c r="D2640" s="10">
        <v>45722</v>
      </c>
      <c r="E2640" s="11" t="str">
        <f>+HYPERLINK("http://trademark.i-assist.jp/data/china/image_1926th/82556438.pdf","82556438")</f>
        <v>82556438</v>
      </c>
      <c r="F2640" s="9" t="s">
        <v>7212</v>
      </c>
      <c r="G2640" s="12" t="s">
        <v>7213</v>
      </c>
      <c r="H2640" s="9" t="s">
        <v>7214</v>
      </c>
      <c r="I2640" s="10">
        <v>45641</v>
      </c>
    </row>
    <row r="2641" spans="1:9" x14ac:dyDescent="0.15">
      <c r="A2641" s="9">
        <v>2640</v>
      </c>
      <c r="B2641" s="9" t="s">
        <v>9</v>
      </c>
      <c r="C2641" s="9">
        <v>1926</v>
      </c>
      <c r="D2641" s="10">
        <v>45722</v>
      </c>
      <c r="E2641" s="11" t="str">
        <f>+HYPERLINK("http://trademark.i-assist.jp/data/china/image_1926th/82557020.pdf","82557020")</f>
        <v>82557020</v>
      </c>
      <c r="F2641" s="9" t="s">
        <v>7215</v>
      </c>
      <c r="G2641" s="12" t="s">
        <v>7216</v>
      </c>
      <c r="H2641" s="9" t="s">
        <v>7217</v>
      </c>
      <c r="I2641" s="10">
        <v>45642</v>
      </c>
    </row>
    <row r="2642" spans="1:9" x14ac:dyDescent="0.15">
      <c r="A2642" s="9">
        <v>2641</v>
      </c>
      <c r="B2642" s="9" t="s">
        <v>9</v>
      </c>
      <c r="C2642" s="9">
        <v>1926</v>
      </c>
      <c r="D2642" s="10">
        <v>45722</v>
      </c>
      <c r="E2642" s="11" t="str">
        <f>+HYPERLINK("http://trademark.i-assist.jp/data/china/image_1926th/82557077.pdf","82557077")</f>
        <v>82557077</v>
      </c>
      <c r="F2642" s="12" t="s">
        <v>7218</v>
      </c>
      <c r="G2642" s="12" t="s">
        <v>27</v>
      </c>
      <c r="H2642" s="9" t="s">
        <v>7219</v>
      </c>
      <c r="I2642" s="10">
        <v>45642</v>
      </c>
    </row>
    <row r="2643" spans="1:9" x14ac:dyDescent="0.15">
      <c r="A2643" s="9">
        <v>2642</v>
      </c>
      <c r="B2643" s="9" t="s">
        <v>9</v>
      </c>
      <c r="C2643" s="9">
        <v>1926</v>
      </c>
      <c r="D2643" s="10">
        <v>45722</v>
      </c>
      <c r="E2643" s="11" t="str">
        <f>+HYPERLINK("http://trademark.i-assist.jp/data/china/image_1926th/82557094.pdf","82557094")</f>
        <v>82557094</v>
      </c>
      <c r="F2643" s="9" t="s">
        <v>7220</v>
      </c>
      <c r="G2643" s="9" t="s">
        <v>7221</v>
      </c>
      <c r="H2643" s="12" t="s">
        <v>7222</v>
      </c>
      <c r="I2643" s="10">
        <v>45642</v>
      </c>
    </row>
    <row r="2644" spans="1:9" x14ac:dyDescent="0.15">
      <c r="A2644" s="9">
        <v>2643</v>
      </c>
      <c r="B2644" s="9" t="s">
        <v>9</v>
      </c>
      <c r="C2644" s="9">
        <v>1926</v>
      </c>
      <c r="D2644" s="10">
        <v>45722</v>
      </c>
      <c r="E2644" s="11" t="str">
        <f>+HYPERLINK("http://trademark.i-assist.jp/data/china/image_1926th/82557563.pdf","82557563")</f>
        <v>82557563</v>
      </c>
      <c r="F2644" s="9" t="s">
        <v>7223</v>
      </c>
      <c r="G2644" s="9" t="s">
        <v>7224</v>
      </c>
      <c r="H2644" s="9" t="s">
        <v>7225</v>
      </c>
      <c r="I2644" s="10">
        <v>45642</v>
      </c>
    </row>
    <row r="2645" spans="1:9" x14ac:dyDescent="0.15">
      <c r="A2645" s="9">
        <v>2644</v>
      </c>
      <c r="B2645" s="9" t="s">
        <v>9</v>
      </c>
      <c r="C2645" s="9">
        <v>1926</v>
      </c>
      <c r="D2645" s="10">
        <v>45722</v>
      </c>
      <c r="E2645" s="11" t="str">
        <f>+HYPERLINK("http://trademark.i-assist.jp/data/china/image_1926th/82558030.pdf","82558030")</f>
        <v>82558030</v>
      </c>
      <c r="F2645" s="12" t="s">
        <v>7226</v>
      </c>
      <c r="G2645" s="9" t="s">
        <v>7227</v>
      </c>
      <c r="H2645" s="9" t="s">
        <v>7228</v>
      </c>
      <c r="I2645" s="10">
        <v>45642</v>
      </c>
    </row>
    <row r="2646" spans="1:9" x14ac:dyDescent="0.15">
      <c r="A2646" s="9">
        <v>2645</v>
      </c>
      <c r="B2646" s="9" t="s">
        <v>9</v>
      </c>
      <c r="C2646" s="9">
        <v>1926</v>
      </c>
      <c r="D2646" s="10">
        <v>45722</v>
      </c>
      <c r="E2646" s="11" t="str">
        <f>+HYPERLINK("http://trademark.i-assist.jp/data/china/image_1926th/82558081.pdf","82558081")</f>
        <v>82558081</v>
      </c>
      <c r="F2646" s="9" t="s">
        <v>7229</v>
      </c>
      <c r="G2646" s="9" t="s">
        <v>7230</v>
      </c>
      <c r="H2646" s="9" t="s">
        <v>7231</v>
      </c>
      <c r="I2646" s="10">
        <v>45642</v>
      </c>
    </row>
    <row r="2647" spans="1:9" x14ac:dyDescent="0.15">
      <c r="A2647" s="9">
        <v>2646</v>
      </c>
      <c r="B2647" s="9" t="s">
        <v>9</v>
      </c>
      <c r="C2647" s="9">
        <v>1926</v>
      </c>
      <c r="D2647" s="10">
        <v>45722</v>
      </c>
      <c r="E2647" s="11" t="str">
        <f>+HYPERLINK("http://trademark.i-assist.jp/data/china/image_1926th/82558472.pdf","82558472")</f>
        <v>82558472</v>
      </c>
      <c r="F2647" s="9" t="s">
        <v>7232</v>
      </c>
      <c r="G2647" s="9" t="s">
        <v>7233</v>
      </c>
      <c r="H2647" s="9" t="s">
        <v>7234</v>
      </c>
      <c r="I2647" s="10">
        <v>45642</v>
      </c>
    </row>
    <row r="2648" spans="1:9" x14ac:dyDescent="0.15">
      <c r="A2648" s="9">
        <v>2647</v>
      </c>
      <c r="B2648" s="9" t="s">
        <v>9</v>
      </c>
      <c r="C2648" s="9">
        <v>1926</v>
      </c>
      <c r="D2648" s="10">
        <v>45722</v>
      </c>
      <c r="E2648" s="11" t="str">
        <f>+HYPERLINK("http://trademark.i-assist.jp/data/china/image_1926th/82558728.pdf","82558728")</f>
        <v>82558728</v>
      </c>
      <c r="F2648" s="9" t="s">
        <v>7235</v>
      </c>
      <c r="G2648" s="12" t="s">
        <v>7236</v>
      </c>
      <c r="H2648" s="9" t="s">
        <v>7237</v>
      </c>
      <c r="I2648" s="10">
        <v>45642</v>
      </c>
    </row>
    <row r="2649" spans="1:9" x14ac:dyDescent="0.15">
      <c r="A2649" s="9">
        <v>2648</v>
      </c>
      <c r="B2649" s="9" t="s">
        <v>9</v>
      </c>
      <c r="C2649" s="9">
        <v>1926</v>
      </c>
      <c r="D2649" s="10">
        <v>45722</v>
      </c>
      <c r="E2649" s="11" t="str">
        <f>+HYPERLINK("http://trademark.i-assist.jp/data/china/image_1926th/82558853.pdf","82558853")</f>
        <v>82558853</v>
      </c>
      <c r="F2649" s="12" t="s">
        <v>20</v>
      </c>
      <c r="G2649" s="9" t="s">
        <v>6792</v>
      </c>
      <c r="H2649" s="9" t="s">
        <v>7238</v>
      </c>
      <c r="I2649" s="10">
        <v>45642</v>
      </c>
    </row>
    <row r="2650" spans="1:9" x14ac:dyDescent="0.15">
      <c r="A2650" s="9">
        <v>2649</v>
      </c>
      <c r="B2650" s="9" t="s">
        <v>9</v>
      </c>
      <c r="C2650" s="9">
        <v>1926</v>
      </c>
      <c r="D2650" s="10">
        <v>45722</v>
      </c>
      <c r="E2650" s="11" t="str">
        <f>+HYPERLINK("http://trademark.i-assist.jp/data/china/image_1926th/82558873.pdf","82558873")</f>
        <v>82558873</v>
      </c>
      <c r="F2650" s="9" t="s">
        <v>7239</v>
      </c>
      <c r="G2650" s="9" t="s">
        <v>3904</v>
      </c>
      <c r="H2650" s="9" t="s">
        <v>7240</v>
      </c>
      <c r="I2650" s="10">
        <v>45642</v>
      </c>
    </row>
    <row r="2651" spans="1:9" x14ac:dyDescent="0.15">
      <c r="A2651" s="9">
        <v>2650</v>
      </c>
      <c r="B2651" s="9" t="s">
        <v>9</v>
      </c>
      <c r="C2651" s="9">
        <v>1926</v>
      </c>
      <c r="D2651" s="10">
        <v>45722</v>
      </c>
      <c r="E2651" s="11" t="str">
        <f>+HYPERLINK("http://trademark.i-assist.jp/data/china/image_1926th/82559344.pdf","82559344")</f>
        <v>82559344</v>
      </c>
      <c r="F2651" s="9" t="s">
        <v>7241</v>
      </c>
      <c r="G2651" s="9" t="s">
        <v>7242</v>
      </c>
      <c r="H2651" s="12" t="s">
        <v>7243</v>
      </c>
      <c r="I2651" s="10">
        <v>45642</v>
      </c>
    </row>
    <row r="2652" spans="1:9" x14ac:dyDescent="0.15">
      <c r="A2652" s="9">
        <v>2651</v>
      </c>
      <c r="B2652" s="9" t="s">
        <v>9</v>
      </c>
      <c r="C2652" s="9">
        <v>1926</v>
      </c>
      <c r="D2652" s="10">
        <v>45722</v>
      </c>
      <c r="E2652" s="11" t="str">
        <f>+HYPERLINK("http://trademark.i-assist.jp/data/china/image_1926th/82560668.pdf","82560668")</f>
        <v>82560668</v>
      </c>
      <c r="F2652" s="9" t="s">
        <v>7244</v>
      </c>
      <c r="G2652" s="9" t="s">
        <v>7245</v>
      </c>
      <c r="H2652" s="9" t="s">
        <v>7246</v>
      </c>
      <c r="I2652" s="10">
        <v>45642</v>
      </c>
    </row>
    <row r="2653" spans="1:9" x14ac:dyDescent="0.15">
      <c r="A2653" s="9">
        <v>2652</v>
      </c>
      <c r="B2653" s="9" t="s">
        <v>9</v>
      </c>
      <c r="C2653" s="9">
        <v>1926</v>
      </c>
      <c r="D2653" s="10">
        <v>45722</v>
      </c>
      <c r="E2653" s="11" t="str">
        <f>+HYPERLINK("http://trademark.i-assist.jp/data/china/image_1926th/82560782.pdf","82560782")</f>
        <v>82560782</v>
      </c>
      <c r="F2653" s="9" t="s">
        <v>7247</v>
      </c>
      <c r="G2653" s="9" t="s">
        <v>7248</v>
      </c>
      <c r="H2653" s="9" t="s">
        <v>7249</v>
      </c>
      <c r="I2653" s="10">
        <v>45642</v>
      </c>
    </row>
    <row r="2654" spans="1:9" x14ac:dyDescent="0.15">
      <c r="A2654" s="9">
        <v>2653</v>
      </c>
      <c r="B2654" s="9" t="s">
        <v>9</v>
      </c>
      <c r="C2654" s="9">
        <v>1926</v>
      </c>
      <c r="D2654" s="10">
        <v>45722</v>
      </c>
      <c r="E2654" s="11" t="str">
        <f>+HYPERLINK("http://trademark.i-assist.jp/data/china/image_1926th/82561109.pdf","82561109")</f>
        <v>82561109</v>
      </c>
      <c r="F2654" s="9" t="s">
        <v>7250</v>
      </c>
      <c r="G2654" s="9" t="s">
        <v>7251</v>
      </c>
      <c r="H2654" s="9" t="s">
        <v>7252</v>
      </c>
      <c r="I2654" s="10">
        <v>45642</v>
      </c>
    </row>
    <row r="2655" spans="1:9" x14ac:dyDescent="0.15">
      <c r="A2655" s="9">
        <v>2654</v>
      </c>
      <c r="B2655" s="9" t="s">
        <v>9</v>
      </c>
      <c r="C2655" s="9">
        <v>1926</v>
      </c>
      <c r="D2655" s="10">
        <v>45722</v>
      </c>
      <c r="E2655" s="11" t="str">
        <f>+HYPERLINK("http://trademark.i-assist.jp/data/china/image_1926th/82561700.pdf","82561700")</f>
        <v>82561700</v>
      </c>
      <c r="F2655" s="9" t="s">
        <v>7253</v>
      </c>
      <c r="G2655" s="9" t="s">
        <v>7242</v>
      </c>
      <c r="H2655" s="9" t="s">
        <v>7254</v>
      </c>
      <c r="I2655" s="10">
        <v>45642</v>
      </c>
    </row>
    <row r="2656" spans="1:9" x14ac:dyDescent="0.15">
      <c r="A2656" s="9">
        <v>2655</v>
      </c>
      <c r="B2656" s="9" t="s">
        <v>9</v>
      </c>
      <c r="C2656" s="9">
        <v>1926</v>
      </c>
      <c r="D2656" s="10">
        <v>45722</v>
      </c>
      <c r="E2656" s="11" t="str">
        <f>+HYPERLINK("http://trademark.i-assist.jp/data/china/image_1926th/82561768.pdf","82561768")</f>
        <v>82561768</v>
      </c>
      <c r="F2656" s="9" t="s">
        <v>7255</v>
      </c>
      <c r="G2656" s="9" t="s">
        <v>7256</v>
      </c>
      <c r="H2656" s="9" t="s">
        <v>7257</v>
      </c>
      <c r="I2656" s="10">
        <v>45642</v>
      </c>
    </row>
    <row r="2657" spans="1:9" x14ac:dyDescent="0.15">
      <c r="A2657" s="9">
        <v>2656</v>
      </c>
      <c r="B2657" s="9" t="s">
        <v>9</v>
      </c>
      <c r="C2657" s="9">
        <v>1926</v>
      </c>
      <c r="D2657" s="10">
        <v>45722</v>
      </c>
      <c r="E2657" s="11" t="str">
        <f>+HYPERLINK("http://trademark.i-assist.jp/data/china/image_1926th/82562083.pdf","82562083")</f>
        <v>82562083</v>
      </c>
      <c r="F2657" s="12" t="s">
        <v>7258</v>
      </c>
      <c r="G2657" s="9" t="s">
        <v>7259</v>
      </c>
      <c r="H2657" s="9" t="s">
        <v>7260</v>
      </c>
      <c r="I2657" s="10">
        <v>45642</v>
      </c>
    </row>
    <row r="2658" spans="1:9" x14ac:dyDescent="0.15">
      <c r="A2658" s="9">
        <v>2657</v>
      </c>
      <c r="B2658" s="9" t="s">
        <v>9</v>
      </c>
      <c r="C2658" s="9">
        <v>1926</v>
      </c>
      <c r="D2658" s="10">
        <v>45722</v>
      </c>
      <c r="E2658" s="11" t="str">
        <f>+HYPERLINK("http://trademark.i-assist.jp/data/china/image_1926th/82562374.pdf","82562374")</f>
        <v>82562374</v>
      </c>
      <c r="F2658" s="9" t="s">
        <v>7261</v>
      </c>
      <c r="G2658" s="9" t="s">
        <v>7262</v>
      </c>
      <c r="H2658" s="9" t="s">
        <v>7263</v>
      </c>
      <c r="I2658" s="10">
        <v>45642</v>
      </c>
    </row>
    <row r="2659" spans="1:9" x14ac:dyDescent="0.15">
      <c r="A2659" s="9">
        <v>2658</v>
      </c>
      <c r="B2659" s="9" t="s">
        <v>9</v>
      </c>
      <c r="C2659" s="9">
        <v>1926</v>
      </c>
      <c r="D2659" s="10">
        <v>45722</v>
      </c>
      <c r="E2659" s="11" t="str">
        <f>+HYPERLINK("http://trademark.i-assist.jp/data/china/image_1926th/82562624.pdf","82562624")</f>
        <v>82562624</v>
      </c>
      <c r="F2659" s="9" t="s">
        <v>7264</v>
      </c>
      <c r="G2659" s="12" t="s">
        <v>7265</v>
      </c>
      <c r="H2659" s="9" t="s">
        <v>7266</v>
      </c>
      <c r="I2659" s="10">
        <v>45642</v>
      </c>
    </row>
    <row r="2660" spans="1:9" x14ac:dyDescent="0.15">
      <c r="A2660" s="9">
        <v>2659</v>
      </c>
      <c r="B2660" s="9" t="s">
        <v>9</v>
      </c>
      <c r="C2660" s="9">
        <v>1926</v>
      </c>
      <c r="D2660" s="10">
        <v>45722</v>
      </c>
      <c r="E2660" s="11" t="str">
        <f>+HYPERLINK("http://trademark.i-assist.jp/data/china/image_1926th/82562792.pdf","82562792")</f>
        <v>82562792</v>
      </c>
      <c r="F2660" s="12" t="s">
        <v>7267</v>
      </c>
      <c r="G2660" s="12" t="s">
        <v>7268</v>
      </c>
      <c r="H2660" s="9" t="s">
        <v>7269</v>
      </c>
      <c r="I2660" s="10">
        <v>45642</v>
      </c>
    </row>
    <row r="2661" spans="1:9" x14ac:dyDescent="0.15">
      <c r="A2661" s="9">
        <v>2660</v>
      </c>
      <c r="B2661" s="9" t="s">
        <v>9</v>
      </c>
      <c r="C2661" s="9">
        <v>1926</v>
      </c>
      <c r="D2661" s="10">
        <v>45722</v>
      </c>
      <c r="E2661" s="11" t="str">
        <f>+HYPERLINK("http://trademark.i-assist.jp/data/china/image_1926th/82562831.pdf","82562831")</f>
        <v>82562831</v>
      </c>
      <c r="F2661" s="9" t="s">
        <v>7270</v>
      </c>
      <c r="G2661" s="12" t="s">
        <v>2512</v>
      </c>
      <c r="H2661" s="9" t="s">
        <v>7271</v>
      </c>
      <c r="I2661" s="10">
        <v>45642</v>
      </c>
    </row>
    <row r="2662" spans="1:9" x14ac:dyDescent="0.15">
      <c r="A2662" s="9">
        <v>2661</v>
      </c>
      <c r="B2662" s="9" t="s">
        <v>9</v>
      </c>
      <c r="C2662" s="9">
        <v>1926</v>
      </c>
      <c r="D2662" s="10">
        <v>45722</v>
      </c>
      <c r="E2662" s="11" t="str">
        <f>+HYPERLINK("http://trademark.i-assist.jp/data/china/image_1926th/82563011.pdf","82563011")</f>
        <v>82563011</v>
      </c>
      <c r="F2662" s="12" t="s">
        <v>7272</v>
      </c>
      <c r="G2662" s="9" t="s">
        <v>7273</v>
      </c>
      <c r="H2662" s="9" t="s">
        <v>7274</v>
      </c>
      <c r="I2662" s="10">
        <v>45642</v>
      </c>
    </row>
    <row r="2663" spans="1:9" x14ac:dyDescent="0.15">
      <c r="A2663" s="9">
        <v>2662</v>
      </c>
      <c r="B2663" s="9" t="s">
        <v>9</v>
      </c>
      <c r="C2663" s="9">
        <v>1926</v>
      </c>
      <c r="D2663" s="10">
        <v>45722</v>
      </c>
      <c r="E2663" s="11" t="str">
        <f>+HYPERLINK("http://trademark.i-assist.jp/data/china/image_1926th/82563318.pdf","82563318")</f>
        <v>82563318</v>
      </c>
      <c r="F2663" s="9" t="s">
        <v>7275</v>
      </c>
      <c r="G2663" s="9" t="s">
        <v>7276</v>
      </c>
      <c r="H2663" s="9" t="s">
        <v>7277</v>
      </c>
      <c r="I2663" s="10">
        <v>45642</v>
      </c>
    </row>
    <row r="2664" spans="1:9" x14ac:dyDescent="0.15">
      <c r="A2664" s="9">
        <v>2663</v>
      </c>
      <c r="B2664" s="9" t="s">
        <v>9</v>
      </c>
      <c r="C2664" s="9">
        <v>1926</v>
      </c>
      <c r="D2664" s="10">
        <v>45722</v>
      </c>
      <c r="E2664" s="11" t="str">
        <f>+HYPERLINK("http://trademark.i-assist.jp/data/china/image_1926th/82563448.pdf","82563448")</f>
        <v>82563448</v>
      </c>
      <c r="F2664" s="12" t="s">
        <v>7278</v>
      </c>
      <c r="G2664" s="12" t="s">
        <v>27</v>
      </c>
      <c r="H2664" s="9" t="s">
        <v>7279</v>
      </c>
      <c r="I2664" s="10">
        <v>45642</v>
      </c>
    </row>
    <row r="2665" spans="1:9" x14ac:dyDescent="0.15">
      <c r="A2665" s="9">
        <v>2664</v>
      </c>
      <c r="B2665" s="9" t="s">
        <v>9</v>
      </c>
      <c r="C2665" s="9">
        <v>1926</v>
      </c>
      <c r="D2665" s="10">
        <v>45722</v>
      </c>
      <c r="E2665" s="11" t="str">
        <f>+HYPERLINK("http://trademark.i-assist.jp/data/china/image_1926th/82563465.pdf","82563465")</f>
        <v>82563465</v>
      </c>
      <c r="F2665" s="12" t="s">
        <v>7280</v>
      </c>
      <c r="G2665" s="12" t="s">
        <v>27</v>
      </c>
      <c r="H2665" s="9" t="s">
        <v>7281</v>
      </c>
      <c r="I2665" s="10">
        <v>45642</v>
      </c>
    </row>
    <row r="2666" spans="1:9" x14ac:dyDescent="0.15">
      <c r="A2666" s="9">
        <v>2665</v>
      </c>
      <c r="B2666" s="9" t="s">
        <v>9</v>
      </c>
      <c r="C2666" s="9">
        <v>1926</v>
      </c>
      <c r="D2666" s="10">
        <v>45722</v>
      </c>
      <c r="E2666" s="11" t="str">
        <f>+HYPERLINK("http://trademark.i-assist.jp/data/china/image_1926th/82563499.pdf","82563499")</f>
        <v>82563499</v>
      </c>
      <c r="F2666" s="9" t="s">
        <v>7282</v>
      </c>
      <c r="G2666" s="9" t="s">
        <v>7283</v>
      </c>
      <c r="H2666" s="9" t="s">
        <v>7284</v>
      </c>
      <c r="I2666" s="10">
        <v>45642</v>
      </c>
    </row>
    <row r="2667" spans="1:9" x14ac:dyDescent="0.15">
      <c r="A2667" s="9">
        <v>2666</v>
      </c>
      <c r="B2667" s="9" t="s">
        <v>9</v>
      </c>
      <c r="C2667" s="9">
        <v>1926</v>
      </c>
      <c r="D2667" s="10">
        <v>45722</v>
      </c>
      <c r="E2667" s="11" t="str">
        <f>+HYPERLINK("http://trademark.i-assist.jp/data/china/image_1926th/82564093.pdf","82564093")</f>
        <v>82564093</v>
      </c>
      <c r="F2667" s="9" t="s">
        <v>7285</v>
      </c>
      <c r="G2667" s="9" t="s">
        <v>7286</v>
      </c>
      <c r="H2667" s="9" t="s">
        <v>7287</v>
      </c>
      <c r="I2667" s="10">
        <v>45642</v>
      </c>
    </row>
    <row r="2668" spans="1:9" x14ac:dyDescent="0.15">
      <c r="A2668" s="9">
        <v>2667</v>
      </c>
      <c r="B2668" s="9" t="s">
        <v>9</v>
      </c>
      <c r="C2668" s="9">
        <v>1926</v>
      </c>
      <c r="D2668" s="10">
        <v>45722</v>
      </c>
      <c r="E2668" s="11" t="str">
        <f>+HYPERLINK("http://trademark.i-assist.jp/data/china/image_1926th/82564943.pdf","82564943")</f>
        <v>82564943</v>
      </c>
      <c r="F2668" s="9" t="s">
        <v>7288</v>
      </c>
      <c r="G2668" s="9" t="s">
        <v>7289</v>
      </c>
      <c r="H2668" s="9" t="s">
        <v>7290</v>
      </c>
      <c r="I2668" s="10">
        <v>45641</v>
      </c>
    </row>
    <row r="2669" spans="1:9" x14ac:dyDescent="0.15">
      <c r="A2669" s="9">
        <v>2668</v>
      </c>
      <c r="B2669" s="9" t="s">
        <v>9</v>
      </c>
      <c r="C2669" s="9">
        <v>1926</v>
      </c>
      <c r="D2669" s="10">
        <v>45722</v>
      </c>
      <c r="E2669" s="11" t="str">
        <f>+HYPERLINK("http://trademark.i-assist.jp/data/china/image_1926th/82564987.pdf","82564987")</f>
        <v>82564987</v>
      </c>
      <c r="F2669" s="9" t="s">
        <v>7291</v>
      </c>
      <c r="G2669" s="9" t="s">
        <v>7292</v>
      </c>
      <c r="H2669" s="9" t="s">
        <v>7293</v>
      </c>
      <c r="I2669" s="10">
        <v>45642</v>
      </c>
    </row>
    <row r="2670" spans="1:9" x14ac:dyDescent="0.15">
      <c r="A2670" s="9">
        <v>2669</v>
      </c>
      <c r="B2670" s="9" t="s">
        <v>9</v>
      </c>
      <c r="C2670" s="9">
        <v>1926</v>
      </c>
      <c r="D2670" s="10">
        <v>45722</v>
      </c>
      <c r="E2670" s="11" t="str">
        <f>+HYPERLINK("http://trademark.i-assist.jp/data/china/image_1926th/82565002.pdf","82565002")</f>
        <v>82565002</v>
      </c>
      <c r="F2670" s="9" t="s">
        <v>7294</v>
      </c>
      <c r="G2670" s="9" t="s">
        <v>7295</v>
      </c>
      <c r="H2670" s="12" t="s">
        <v>7296</v>
      </c>
      <c r="I2670" s="10">
        <v>45642</v>
      </c>
    </row>
    <row r="2671" spans="1:9" x14ac:dyDescent="0.15">
      <c r="A2671" s="9">
        <v>2670</v>
      </c>
      <c r="B2671" s="9" t="s">
        <v>9</v>
      </c>
      <c r="C2671" s="9">
        <v>1926</v>
      </c>
      <c r="D2671" s="10">
        <v>45722</v>
      </c>
      <c r="E2671" s="11" t="str">
        <f>+HYPERLINK("http://trademark.i-assist.jp/data/china/image_1926th/82565149.pdf","82565149")</f>
        <v>82565149</v>
      </c>
      <c r="F2671" s="12" t="s">
        <v>20</v>
      </c>
      <c r="G2671" s="9" t="s">
        <v>7297</v>
      </c>
      <c r="H2671" s="9" t="s">
        <v>7298</v>
      </c>
      <c r="I2671" s="10">
        <v>45642</v>
      </c>
    </row>
    <row r="2672" spans="1:9" x14ac:dyDescent="0.15">
      <c r="A2672" s="9">
        <v>2671</v>
      </c>
      <c r="B2672" s="9" t="s">
        <v>9</v>
      </c>
      <c r="C2672" s="9">
        <v>1926</v>
      </c>
      <c r="D2672" s="10">
        <v>45722</v>
      </c>
      <c r="E2672" s="11" t="str">
        <f>+HYPERLINK("http://trademark.i-assist.jp/data/china/image_1926th/82565601.pdf","82565601")</f>
        <v>82565601</v>
      </c>
      <c r="F2672" s="9" t="s">
        <v>7299</v>
      </c>
      <c r="G2672" s="12" t="s">
        <v>7300</v>
      </c>
      <c r="H2672" s="9" t="s">
        <v>7301</v>
      </c>
      <c r="I2672" s="10">
        <v>45641</v>
      </c>
    </row>
    <row r="2673" spans="1:9" x14ac:dyDescent="0.15">
      <c r="A2673" s="9">
        <v>2672</v>
      </c>
      <c r="B2673" s="9" t="s">
        <v>9</v>
      </c>
      <c r="C2673" s="9">
        <v>1926</v>
      </c>
      <c r="D2673" s="10">
        <v>45722</v>
      </c>
      <c r="E2673" s="11" t="str">
        <f>+HYPERLINK("http://trademark.i-assist.jp/data/china/image_1926th/82566086.pdf","82566086")</f>
        <v>82566086</v>
      </c>
      <c r="F2673" s="9" t="s">
        <v>7302</v>
      </c>
      <c r="G2673" s="9" t="s">
        <v>7303</v>
      </c>
      <c r="H2673" s="9" t="s">
        <v>7304</v>
      </c>
      <c r="I2673" s="10">
        <v>45642</v>
      </c>
    </row>
    <row r="2674" spans="1:9" x14ac:dyDescent="0.15">
      <c r="A2674" s="9">
        <v>2673</v>
      </c>
      <c r="B2674" s="9" t="s">
        <v>9</v>
      </c>
      <c r="C2674" s="9">
        <v>1926</v>
      </c>
      <c r="D2674" s="10">
        <v>45722</v>
      </c>
      <c r="E2674" s="11" t="str">
        <f>+HYPERLINK("http://trademark.i-assist.jp/data/china/image_1926th/82567555.pdf","82567555")</f>
        <v>82567555</v>
      </c>
      <c r="F2674" s="9" t="s">
        <v>7305</v>
      </c>
      <c r="G2674" s="9" t="s">
        <v>7306</v>
      </c>
      <c r="H2674" s="9" t="s">
        <v>7307</v>
      </c>
      <c r="I2674" s="10">
        <v>45641</v>
      </c>
    </row>
    <row r="2675" spans="1:9" x14ac:dyDescent="0.15">
      <c r="A2675" s="9">
        <v>2674</v>
      </c>
      <c r="B2675" s="9" t="s">
        <v>9</v>
      </c>
      <c r="C2675" s="9">
        <v>1926</v>
      </c>
      <c r="D2675" s="10">
        <v>45722</v>
      </c>
      <c r="E2675" s="11" t="str">
        <f>+HYPERLINK("http://trademark.i-assist.jp/data/china/image_1926th/82567723.pdf","82567723")</f>
        <v>82567723</v>
      </c>
      <c r="F2675" s="9" t="s">
        <v>7308</v>
      </c>
      <c r="G2675" s="12" t="s">
        <v>7309</v>
      </c>
      <c r="H2675" s="9" t="s">
        <v>7310</v>
      </c>
      <c r="I2675" s="10">
        <v>45642</v>
      </c>
    </row>
    <row r="2676" spans="1:9" x14ac:dyDescent="0.15">
      <c r="A2676" s="9">
        <v>2675</v>
      </c>
      <c r="B2676" s="9" t="s">
        <v>9</v>
      </c>
      <c r="C2676" s="9">
        <v>1926</v>
      </c>
      <c r="D2676" s="10">
        <v>45722</v>
      </c>
      <c r="E2676" s="11" t="str">
        <f>+HYPERLINK("http://trademark.i-assist.jp/data/china/image_1926th/82567942.pdf","82567942")</f>
        <v>82567942</v>
      </c>
      <c r="F2676" s="9" t="s">
        <v>7311</v>
      </c>
      <c r="G2676" s="9" t="s">
        <v>7312</v>
      </c>
      <c r="H2676" s="9" t="s">
        <v>7313</v>
      </c>
      <c r="I2676" s="10">
        <v>45642</v>
      </c>
    </row>
    <row r="2677" spans="1:9" x14ac:dyDescent="0.15">
      <c r="A2677" s="9">
        <v>2676</v>
      </c>
      <c r="B2677" s="9" t="s">
        <v>9</v>
      </c>
      <c r="C2677" s="9">
        <v>1926</v>
      </c>
      <c r="D2677" s="10">
        <v>45722</v>
      </c>
      <c r="E2677" s="11" t="str">
        <f>+HYPERLINK("http://trademark.i-assist.jp/data/china/image_1926th/82567971.pdf","82567971")</f>
        <v>82567971</v>
      </c>
      <c r="F2677" s="9" t="s">
        <v>7314</v>
      </c>
      <c r="G2677" s="12" t="s">
        <v>7315</v>
      </c>
      <c r="H2677" s="9" t="s">
        <v>7316</v>
      </c>
      <c r="I2677" s="10">
        <v>45642</v>
      </c>
    </row>
    <row r="2678" spans="1:9" x14ac:dyDescent="0.15">
      <c r="A2678" s="9">
        <v>2677</v>
      </c>
      <c r="B2678" s="9" t="s">
        <v>9</v>
      </c>
      <c r="C2678" s="9">
        <v>1926</v>
      </c>
      <c r="D2678" s="10">
        <v>45722</v>
      </c>
      <c r="E2678" s="11" t="str">
        <f>+HYPERLINK("http://trademark.i-assist.jp/data/china/image_1926th/82568619.pdf","82568619")</f>
        <v>82568619</v>
      </c>
      <c r="F2678" s="9" t="s">
        <v>7317</v>
      </c>
      <c r="G2678" s="9" t="s">
        <v>7318</v>
      </c>
      <c r="H2678" s="9" t="s">
        <v>7319</v>
      </c>
      <c r="I2678" s="10">
        <v>45642</v>
      </c>
    </row>
    <row r="2679" spans="1:9" x14ac:dyDescent="0.15">
      <c r="A2679" s="9">
        <v>2678</v>
      </c>
      <c r="B2679" s="9" t="s">
        <v>9</v>
      </c>
      <c r="C2679" s="9">
        <v>1926</v>
      </c>
      <c r="D2679" s="10">
        <v>45722</v>
      </c>
      <c r="E2679" s="11" t="str">
        <f>+HYPERLINK("http://trademark.i-assist.jp/data/china/image_1926th/82569070.pdf","82569070")</f>
        <v>82569070</v>
      </c>
      <c r="F2679" s="12" t="s">
        <v>7320</v>
      </c>
      <c r="G2679" s="12" t="s">
        <v>7268</v>
      </c>
      <c r="H2679" s="9" t="s">
        <v>7321</v>
      </c>
      <c r="I2679" s="10">
        <v>45642</v>
      </c>
    </row>
    <row r="2680" spans="1:9" x14ac:dyDescent="0.15">
      <c r="A2680" s="9">
        <v>2679</v>
      </c>
      <c r="B2680" s="9" t="s">
        <v>9</v>
      </c>
      <c r="C2680" s="9">
        <v>1926</v>
      </c>
      <c r="D2680" s="10">
        <v>45722</v>
      </c>
      <c r="E2680" s="11" t="str">
        <f>+HYPERLINK("http://trademark.i-assist.jp/data/china/image_1926th/82569735.pdf","82569735")</f>
        <v>82569735</v>
      </c>
      <c r="F2680" s="9" t="s">
        <v>7322</v>
      </c>
      <c r="G2680" s="9" t="s">
        <v>7323</v>
      </c>
      <c r="H2680" s="9" t="s">
        <v>7324</v>
      </c>
      <c r="I2680" s="10">
        <v>45642</v>
      </c>
    </row>
    <row r="2681" spans="1:9" x14ac:dyDescent="0.15">
      <c r="A2681" s="9">
        <v>2680</v>
      </c>
      <c r="B2681" s="9" t="s">
        <v>9</v>
      </c>
      <c r="C2681" s="9">
        <v>1926</v>
      </c>
      <c r="D2681" s="10">
        <v>45722</v>
      </c>
      <c r="E2681" s="11" t="str">
        <f>+HYPERLINK("http://trademark.i-assist.jp/data/china/image_1926th/82569925.pdf","82569925")</f>
        <v>82569925</v>
      </c>
      <c r="F2681" s="12" t="s">
        <v>7325</v>
      </c>
      <c r="G2681" s="9" t="s">
        <v>7326</v>
      </c>
      <c r="H2681" s="9" t="s">
        <v>7327</v>
      </c>
      <c r="I2681" s="10">
        <v>45642</v>
      </c>
    </row>
    <row r="2682" spans="1:9" x14ac:dyDescent="0.15">
      <c r="A2682" s="9">
        <v>2681</v>
      </c>
      <c r="B2682" s="9" t="s">
        <v>9</v>
      </c>
      <c r="C2682" s="9">
        <v>1926</v>
      </c>
      <c r="D2682" s="10">
        <v>45722</v>
      </c>
      <c r="E2682" s="11" t="str">
        <f>+HYPERLINK("http://trademark.i-assist.jp/data/china/image_1926th/82570276.pdf","82570276")</f>
        <v>82570276</v>
      </c>
      <c r="F2682" s="9" t="s">
        <v>7328</v>
      </c>
      <c r="G2682" s="9" t="s">
        <v>7329</v>
      </c>
      <c r="H2682" s="9" t="s">
        <v>7330</v>
      </c>
      <c r="I2682" s="10">
        <v>45642</v>
      </c>
    </row>
    <row r="2683" spans="1:9" x14ac:dyDescent="0.15">
      <c r="A2683" s="9">
        <v>2682</v>
      </c>
      <c r="B2683" s="9" t="s">
        <v>9</v>
      </c>
      <c r="C2683" s="9">
        <v>1926</v>
      </c>
      <c r="D2683" s="10">
        <v>45722</v>
      </c>
      <c r="E2683" s="11" t="str">
        <f>+HYPERLINK("http://trademark.i-assist.jp/data/china/image_1926th/82570318.pdf","82570318")</f>
        <v>82570318</v>
      </c>
      <c r="F2683" s="9" t="s">
        <v>7331</v>
      </c>
      <c r="G2683" s="9" t="s">
        <v>7332</v>
      </c>
      <c r="H2683" s="9" t="s">
        <v>7333</v>
      </c>
      <c r="I2683" s="10">
        <v>45642</v>
      </c>
    </row>
    <row r="2684" spans="1:9" x14ac:dyDescent="0.15">
      <c r="A2684" s="9">
        <v>2683</v>
      </c>
      <c r="B2684" s="9" t="s">
        <v>9</v>
      </c>
      <c r="C2684" s="9">
        <v>1926</v>
      </c>
      <c r="D2684" s="10">
        <v>45722</v>
      </c>
      <c r="E2684" s="11" t="str">
        <f>+HYPERLINK("http://trademark.i-assist.jp/data/china/image_1926th/82570721.pdf","82570721")</f>
        <v>82570721</v>
      </c>
      <c r="F2684" s="9" t="s">
        <v>7334</v>
      </c>
      <c r="G2684" s="9" t="s">
        <v>7335</v>
      </c>
      <c r="H2684" s="9" t="s">
        <v>7336</v>
      </c>
      <c r="I2684" s="10">
        <v>45641</v>
      </c>
    </row>
    <row r="2685" spans="1:9" x14ac:dyDescent="0.15">
      <c r="A2685" s="9">
        <v>2684</v>
      </c>
      <c r="B2685" s="9" t="s">
        <v>9</v>
      </c>
      <c r="C2685" s="9">
        <v>1926</v>
      </c>
      <c r="D2685" s="10">
        <v>45722</v>
      </c>
      <c r="E2685" s="11" t="str">
        <f>+HYPERLINK("http://trademark.i-assist.jp/data/china/image_1926th/82571331.pdf","82571331")</f>
        <v>82571331</v>
      </c>
      <c r="F2685" s="12" t="s">
        <v>7337</v>
      </c>
      <c r="G2685" s="9" t="s">
        <v>7338</v>
      </c>
      <c r="H2685" s="9" t="s">
        <v>7339</v>
      </c>
      <c r="I2685" s="10">
        <v>45642</v>
      </c>
    </row>
    <row r="2686" spans="1:9" x14ac:dyDescent="0.15">
      <c r="A2686" s="9">
        <v>2685</v>
      </c>
      <c r="B2686" s="9" t="s">
        <v>9</v>
      </c>
      <c r="C2686" s="9">
        <v>1926</v>
      </c>
      <c r="D2686" s="10">
        <v>45722</v>
      </c>
      <c r="E2686" s="11" t="str">
        <f>+HYPERLINK("http://trademark.i-assist.jp/data/china/image_1926th/82572808.pdf","82572808")</f>
        <v>82572808</v>
      </c>
      <c r="F2686" s="9" t="s">
        <v>7340</v>
      </c>
      <c r="G2686" s="12" t="s">
        <v>7341</v>
      </c>
      <c r="H2686" s="9" t="s">
        <v>7342</v>
      </c>
      <c r="I2686" s="10">
        <v>45642</v>
      </c>
    </row>
    <row r="2687" spans="1:9" x14ac:dyDescent="0.15">
      <c r="A2687" s="9">
        <v>2686</v>
      </c>
      <c r="B2687" s="9" t="s">
        <v>9</v>
      </c>
      <c r="C2687" s="9">
        <v>1926</v>
      </c>
      <c r="D2687" s="10">
        <v>45722</v>
      </c>
      <c r="E2687" s="11" t="str">
        <f>+HYPERLINK("http://trademark.i-assist.jp/data/china/image_1926th/82574592.pdf","82574592")</f>
        <v>82574592</v>
      </c>
      <c r="F2687" s="9" t="s">
        <v>7343</v>
      </c>
      <c r="G2687" s="9" t="s">
        <v>7344</v>
      </c>
      <c r="H2687" s="12" t="s">
        <v>7345</v>
      </c>
      <c r="I2687" s="10">
        <v>45642</v>
      </c>
    </row>
    <row r="2688" spans="1:9" x14ac:dyDescent="0.15">
      <c r="A2688" s="9">
        <v>2687</v>
      </c>
      <c r="B2688" s="9" t="s">
        <v>9</v>
      </c>
      <c r="C2688" s="9">
        <v>1926</v>
      </c>
      <c r="D2688" s="10">
        <v>45722</v>
      </c>
      <c r="E2688" s="11" t="str">
        <f>+HYPERLINK("http://trademark.i-assist.jp/data/china/image_1926th/82575033.pdf","82575033")</f>
        <v>82575033</v>
      </c>
      <c r="F2688" s="9" t="s">
        <v>7346</v>
      </c>
      <c r="G2688" s="9" t="s">
        <v>7347</v>
      </c>
      <c r="H2688" s="9" t="s">
        <v>7348</v>
      </c>
      <c r="I2688" s="10">
        <v>45641</v>
      </c>
    </row>
    <row r="2689" spans="1:9" x14ac:dyDescent="0.15">
      <c r="A2689" s="9">
        <v>2688</v>
      </c>
      <c r="B2689" s="9" t="s">
        <v>9</v>
      </c>
      <c r="C2689" s="9">
        <v>1926</v>
      </c>
      <c r="D2689" s="10">
        <v>45722</v>
      </c>
      <c r="E2689" s="11" t="str">
        <f>+HYPERLINK("http://trademark.i-assist.jp/data/china/image_1926th/82575150.pdf","82575150")</f>
        <v>82575150</v>
      </c>
      <c r="F2689" s="9" t="s">
        <v>7349</v>
      </c>
      <c r="G2689" s="9" t="s">
        <v>7350</v>
      </c>
      <c r="H2689" s="9" t="s">
        <v>7351</v>
      </c>
      <c r="I2689" s="10">
        <v>45642</v>
      </c>
    </row>
    <row r="2690" spans="1:9" x14ac:dyDescent="0.15">
      <c r="A2690" s="9">
        <v>2689</v>
      </c>
      <c r="B2690" s="9" t="s">
        <v>9</v>
      </c>
      <c r="C2690" s="9">
        <v>1926</v>
      </c>
      <c r="D2690" s="10">
        <v>45722</v>
      </c>
      <c r="E2690" s="11" t="str">
        <f>+HYPERLINK("http://trademark.i-assist.jp/data/china/image_1926th/82575293.pdf","82575293")</f>
        <v>82575293</v>
      </c>
      <c r="F2690" s="9" t="s">
        <v>7352</v>
      </c>
      <c r="G2690" s="12" t="s">
        <v>7353</v>
      </c>
      <c r="H2690" s="9" t="s">
        <v>7354</v>
      </c>
      <c r="I2690" s="10">
        <v>45642</v>
      </c>
    </row>
    <row r="2691" spans="1:9" x14ac:dyDescent="0.15">
      <c r="A2691" s="9">
        <v>2690</v>
      </c>
      <c r="B2691" s="9" t="s">
        <v>9</v>
      </c>
      <c r="C2691" s="9">
        <v>1926</v>
      </c>
      <c r="D2691" s="10">
        <v>45722</v>
      </c>
      <c r="E2691" s="11" t="str">
        <f>+HYPERLINK("http://trademark.i-assist.jp/data/china/image_1926th/82575442.pdf","82575442")</f>
        <v>82575442</v>
      </c>
      <c r="F2691" s="9">
        <v>6859</v>
      </c>
      <c r="G2691" s="12" t="s">
        <v>7355</v>
      </c>
      <c r="H2691" s="9" t="s">
        <v>7356</v>
      </c>
      <c r="I2691" s="10">
        <v>45642</v>
      </c>
    </row>
    <row r="2692" spans="1:9" x14ac:dyDescent="0.15">
      <c r="A2692" s="9">
        <v>2691</v>
      </c>
      <c r="B2692" s="9" t="s">
        <v>9</v>
      </c>
      <c r="C2692" s="9">
        <v>1926</v>
      </c>
      <c r="D2692" s="10">
        <v>45722</v>
      </c>
      <c r="E2692" s="11" t="str">
        <f>+HYPERLINK("http://trademark.i-assist.jp/data/china/image_1926th/82575791.pdf","82575791")</f>
        <v>82575791</v>
      </c>
      <c r="F2692" s="13" t="s">
        <v>7357</v>
      </c>
      <c r="G2692" s="9" t="s">
        <v>7289</v>
      </c>
      <c r="H2692" s="9" t="s">
        <v>7358</v>
      </c>
      <c r="I2692" s="10">
        <v>45641</v>
      </c>
    </row>
    <row r="2693" spans="1:9" x14ac:dyDescent="0.15">
      <c r="A2693" s="9">
        <v>2692</v>
      </c>
      <c r="B2693" s="9" t="s">
        <v>9</v>
      </c>
      <c r="C2693" s="9">
        <v>1926</v>
      </c>
      <c r="D2693" s="10">
        <v>45722</v>
      </c>
      <c r="E2693" s="11" t="str">
        <f>+HYPERLINK("http://trademark.i-assist.jp/data/china/image_1926th/82576586.pdf","82576586")</f>
        <v>82576586</v>
      </c>
      <c r="F2693" s="9" t="s">
        <v>7359</v>
      </c>
      <c r="G2693" s="9" t="s">
        <v>7360</v>
      </c>
      <c r="H2693" s="9" t="s">
        <v>7361</v>
      </c>
      <c r="I2693" s="10">
        <v>45641</v>
      </c>
    </row>
    <row r="2694" spans="1:9" x14ac:dyDescent="0.15">
      <c r="A2694" s="9">
        <v>2693</v>
      </c>
      <c r="B2694" s="9" t="s">
        <v>9</v>
      </c>
      <c r="C2694" s="9">
        <v>1926</v>
      </c>
      <c r="D2694" s="10">
        <v>45722</v>
      </c>
      <c r="E2694" s="11" t="str">
        <f>+HYPERLINK("http://trademark.i-assist.jp/data/china/image_1926th/82576834.pdf","82576834")</f>
        <v>82576834</v>
      </c>
      <c r="F2694" s="9" t="s">
        <v>7362</v>
      </c>
      <c r="G2694" s="9" t="s">
        <v>7363</v>
      </c>
      <c r="H2694" s="9" t="s">
        <v>7364</v>
      </c>
      <c r="I2694" s="10">
        <v>45642</v>
      </c>
    </row>
    <row r="2695" spans="1:9" x14ac:dyDescent="0.15">
      <c r="A2695" s="9">
        <v>2694</v>
      </c>
      <c r="B2695" s="9" t="s">
        <v>9</v>
      </c>
      <c r="C2695" s="9">
        <v>1926</v>
      </c>
      <c r="D2695" s="10">
        <v>45722</v>
      </c>
      <c r="E2695" s="11" t="str">
        <f>+HYPERLINK("http://trademark.i-assist.jp/data/china/image_1926th/82576941.pdf","82576941")</f>
        <v>82576941</v>
      </c>
      <c r="F2695" s="12" t="s">
        <v>20</v>
      </c>
      <c r="G2695" s="9" t="s">
        <v>7365</v>
      </c>
      <c r="H2695" s="9" t="s">
        <v>7366</v>
      </c>
      <c r="I2695" s="10">
        <v>45642</v>
      </c>
    </row>
    <row r="2696" spans="1:9" x14ac:dyDescent="0.15">
      <c r="A2696" s="9">
        <v>2695</v>
      </c>
      <c r="B2696" s="9" t="s">
        <v>9</v>
      </c>
      <c r="C2696" s="9">
        <v>1926</v>
      </c>
      <c r="D2696" s="10">
        <v>45722</v>
      </c>
      <c r="E2696" s="11" t="str">
        <f>+HYPERLINK("http://trademark.i-assist.jp/data/china/image_1926th/82577451.pdf","82577451")</f>
        <v>82577451</v>
      </c>
      <c r="F2696" s="9" t="s">
        <v>7367</v>
      </c>
      <c r="G2696" s="9" t="s">
        <v>7368</v>
      </c>
      <c r="H2696" s="9" t="s">
        <v>7369</v>
      </c>
      <c r="I2696" s="10">
        <v>45642</v>
      </c>
    </row>
    <row r="2697" spans="1:9" x14ac:dyDescent="0.15">
      <c r="A2697" s="9">
        <v>2696</v>
      </c>
      <c r="B2697" s="9" t="s">
        <v>9</v>
      </c>
      <c r="C2697" s="9">
        <v>1926</v>
      </c>
      <c r="D2697" s="10">
        <v>45722</v>
      </c>
      <c r="E2697" s="11" t="str">
        <f>+HYPERLINK("http://trademark.i-assist.jp/data/china/image_1926th/82578978.pdf","82578978")</f>
        <v>82578978</v>
      </c>
      <c r="F2697" s="9" t="s">
        <v>7370</v>
      </c>
      <c r="G2697" s="9" t="s">
        <v>7371</v>
      </c>
      <c r="H2697" s="12" t="s">
        <v>7372</v>
      </c>
      <c r="I2697" s="10">
        <v>45641</v>
      </c>
    </row>
    <row r="2698" spans="1:9" x14ac:dyDescent="0.15">
      <c r="A2698" s="9">
        <v>2697</v>
      </c>
      <c r="B2698" s="9" t="s">
        <v>9</v>
      </c>
      <c r="C2698" s="9">
        <v>1926</v>
      </c>
      <c r="D2698" s="10">
        <v>45722</v>
      </c>
      <c r="E2698" s="11" t="str">
        <f>+HYPERLINK("http://trademark.i-assist.jp/data/china/image_1926th/82579395.pdf","82579395")</f>
        <v>82579395</v>
      </c>
      <c r="F2698" s="12" t="s">
        <v>7373</v>
      </c>
      <c r="G2698" s="12" t="s">
        <v>7374</v>
      </c>
      <c r="H2698" s="9" t="s">
        <v>7375</v>
      </c>
      <c r="I2698" s="10">
        <v>45642</v>
      </c>
    </row>
    <row r="2699" spans="1:9" x14ac:dyDescent="0.15">
      <c r="A2699" s="9">
        <v>2698</v>
      </c>
      <c r="B2699" s="9" t="s">
        <v>9</v>
      </c>
      <c r="C2699" s="9">
        <v>1926</v>
      </c>
      <c r="D2699" s="10">
        <v>45722</v>
      </c>
      <c r="E2699" s="11" t="str">
        <f>+HYPERLINK("http://trademark.i-assist.jp/data/china/image_1926th/82579938.pdf","82579938")</f>
        <v>82579938</v>
      </c>
      <c r="F2699" s="9" t="s">
        <v>7376</v>
      </c>
      <c r="G2699" s="9" t="s">
        <v>7377</v>
      </c>
      <c r="H2699" s="9" t="s">
        <v>7378</v>
      </c>
      <c r="I2699" s="10">
        <v>45642</v>
      </c>
    </row>
    <row r="2700" spans="1:9" x14ac:dyDescent="0.15">
      <c r="A2700" s="9">
        <v>2699</v>
      </c>
      <c r="B2700" s="9" t="s">
        <v>9</v>
      </c>
      <c r="C2700" s="9">
        <v>1926</v>
      </c>
      <c r="D2700" s="10">
        <v>45722</v>
      </c>
      <c r="E2700" s="11" t="str">
        <f>+HYPERLINK("http://trademark.i-assist.jp/data/china/image_1926th/82579986.pdf","82579986")</f>
        <v>82579986</v>
      </c>
      <c r="F2700" s="9" t="s">
        <v>7379</v>
      </c>
      <c r="G2700" s="9" t="s">
        <v>7380</v>
      </c>
      <c r="H2700" s="9" t="s">
        <v>7381</v>
      </c>
      <c r="I2700" s="10">
        <v>45642</v>
      </c>
    </row>
    <row r="2701" spans="1:9" x14ac:dyDescent="0.15">
      <c r="A2701" s="9">
        <v>2700</v>
      </c>
      <c r="B2701" s="9" t="s">
        <v>9</v>
      </c>
      <c r="C2701" s="9">
        <v>1926</v>
      </c>
      <c r="D2701" s="10">
        <v>45722</v>
      </c>
      <c r="E2701" s="11" t="str">
        <f>+HYPERLINK("http://trademark.i-assist.jp/data/china/image_1926th/82581441.pdf","82581441")</f>
        <v>82581441</v>
      </c>
      <c r="F2701" s="9" t="s">
        <v>7382</v>
      </c>
      <c r="G2701" s="9" t="s">
        <v>7383</v>
      </c>
      <c r="H2701" s="9" t="s">
        <v>7384</v>
      </c>
      <c r="I2701" s="10">
        <v>45641</v>
      </c>
    </row>
    <row r="2702" spans="1:9" x14ac:dyDescent="0.15">
      <c r="A2702" s="9">
        <v>2701</v>
      </c>
      <c r="B2702" s="9" t="s">
        <v>9</v>
      </c>
      <c r="C2702" s="9">
        <v>1926</v>
      </c>
      <c r="D2702" s="10">
        <v>45722</v>
      </c>
      <c r="E2702" s="11" t="str">
        <f>+HYPERLINK("http://trademark.i-assist.jp/data/china/image_1926th/82581653.pdf","82581653")</f>
        <v>82581653</v>
      </c>
      <c r="F2702" s="9" t="s">
        <v>7385</v>
      </c>
      <c r="G2702" s="12" t="s">
        <v>7386</v>
      </c>
      <c r="H2702" s="9" t="s">
        <v>7387</v>
      </c>
      <c r="I2702" s="10">
        <v>45642</v>
      </c>
    </row>
    <row r="2703" spans="1:9" x14ac:dyDescent="0.15">
      <c r="A2703" s="9">
        <v>2702</v>
      </c>
      <c r="B2703" s="9" t="s">
        <v>9</v>
      </c>
      <c r="C2703" s="9">
        <v>1926</v>
      </c>
      <c r="D2703" s="10">
        <v>45722</v>
      </c>
      <c r="E2703" s="11" t="str">
        <f>+HYPERLINK("http://trademark.i-assist.jp/data/china/image_1926th/82581691.pdf","82581691")</f>
        <v>82581691</v>
      </c>
      <c r="F2703" s="9" t="s">
        <v>7388</v>
      </c>
      <c r="G2703" s="9" t="s">
        <v>7389</v>
      </c>
      <c r="H2703" s="12" t="s">
        <v>7390</v>
      </c>
      <c r="I2703" s="10">
        <v>45642</v>
      </c>
    </row>
    <row r="2704" spans="1:9" x14ac:dyDescent="0.15">
      <c r="A2704" s="9">
        <v>2703</v>
      </c>
      <c r="B2704" s="9" t="s">
        <v>9</v>
      </c>
      <c r="C2704" s="9">
        <v>1926</v>
      </c>
      <c r="D2704" s="10">
        <v>45722</v>
      </c>
      <c r="E2704" s="11" t="str">
        <f>+HYPERLINK("http://trademark.i-assist.jp/data/china/image_1926th/82582000.pdf","82582000")</f>
        <v>82582000</v>
      </c>
      <c r="F2704" s="9" t="s">
        <v>7391</v>
      </c>
      <c r="G2704" s="9" t="s">
        <v>7259</v>
      </c>
      <c r="H2704" s="12" t="s">
        <v>7392</v>
      </c>
      <c r="I2704" s="10">
        <v>45642</v>
      </c>
    </row>
    <row r="2705" spans="1:9" x14ac:dyDescent="0.15">
      <c r="A2705" s="9">
        <v>2704</v>
      </c>
      <c r="B2705" s="9" t="s">
        <v>9</v>
      </c>
      <c r="C2705" s="9">
        <v>1926</v>
      </c>
      <c r="D2705" s="10">
        <v>45722</v>
      </c>
      <c r="E2705" s="11" t="str">
        <f>+HYPERLINK("http://trademark.i-assist.jp/data/china/image_1926th/82582213.pdf","82582213")</f>
        <v>82582213</v>
      </c>
      <c r="F2705" s="9" t="s">
        <v>7393</v>
      </c>
      <c r="G2705" s="12" t="s">
        <v>7394</v>
      </c>
      <c r="H2705" s="9" t="s">
        <v>7395</v>
      </c>
      <c r="I2705" s="10">
        <v>45642</v>
      </c>
    </row>
    <row r="2706" spans="1:9" x14ac:dyDescent="0.15">
      <c r="A2706" s="9">
        <v>2705</v>
      </c>
      <c r="B2706" s="9" t="s">
        <v>9</v>
      </c>
      <c r="C2706" s="9">
        <v>1926</v>
      </c>
      <c r="D2706" s="10">
        <v>45722</v>
      </c>
      <c r="E2706" s="11" t="str">
        <f>+HYPERLINK("http://trademark.i-assist.jp/data/china/image_1926th/82582808.pdf","82582808")</f>
        <v>82582808</v>
      </c>
      <c r="F2706" s="9" t="s">
        <v>7396</v>
      </c>
      <c r="G2706" s="9" t="s">
        <v>7397</v>
      </c>
      <c r="H2706" s="9" t="s">
        <v>7398</v>
      </c>
      <c r="I2706" s="10">
        <v>45642</v>
      </c>
    </row>
    <row r="2707" spans="1:9" x14ac:dyDescent="0.15">
      <c r="A2707" s="9">
        <v>2706</v>
      </c>
      <c r="B2707" s="9" t="s">
        <v>9</v>
      </c>
      <c r="C2707" s="9">
        <v>1926</v>
      </c>
      <c r="D2707" s="10">
        <v>45722</v>
      </c>
      <c r="E2707" s="11" t="str">
        <f>+HYPERLINK("http://trademark.i-assist.jp/data/china/image_1926th/82582899.pdf","82582899")</f>
        <v>82582899</v>
      </c>
      <c r="F2707" s="12" t="s">
        <v>7399</v>
      </c>
      <c r="G2707" s="12" t="s">
        <v>27</v>
      </c>
      <c r="H2707" s="9" t="s">
        <v>7400</v>
      </c>
      <c r="I2707" s="10">
        <v>45642</v>
      </c>
    </row>
    <row r="2708" spans="1:9" x14ac:dyDescent="0.15">
      <c r="A2708" s="9">
        <v>2707</v>
      </c>
      <c r="B2708" s="9" t="s">
        <v>9</v>
      </c>
      <c r="C2708" s="9">
        <v>1926</v>
      </c>
      <c r="D2708" s="10">
        <v>45722</v>
      </c>
      <c r="E2708" s="11" t="str">
        <f>+HYPERLINK("http://trademark.i-assist.jp/data/china/image_1926th/82582950.pdf","82582950")</f>
        <v>82582950</v>
      </c>
      <c r="F2708" s="9" t="s">
        <v>7401</v>
      </c>
      <c r="G2708" s="9" t="s">
        <v>7402</v>
      </c>
      <c r="H2708" s="9" t="s">
        <v>7403</v>
      </c>
      <c r="I2708" s="10">
        <v>45642</v>
      </c>
    </row>
    <row r="2709" spans="1:9" x14ac:dyDescent="0.15">
      <c r="A2709" s="9">
        <v>2708</v>
      </c>
      <c r="B2709" s="9" t="s">
        <v>9</v>
      </c>
      <c r="C2709" s="9">
        <v>1926</v>
      </c>
      <c r="D2709" s="10">
        <v>45722</v>
      </c>
      <c r="E2709" s="11" t="str">
        <f>+HYPERLINK("http://trademark.i-assist.jp/data/china/image_1926th/82583610.pdf","82583610")</f>
        <v>82583610</v>
      </c>
      <c r="F2709" s="9" t="s">
        <v>7404</v>
      </c>
      <c r="G2709" s="9" t="s">
        <v>7405</v>
      </c>
      <c r="H2709" s="9" t="s">
        <v>7406</v>
      </c>
      <c r="I2709" s="10">
        <v>45642</v>
      </c>
    </row>
    <row r="2710" spans="1:9" x14ac:dyDescent="0.15">
      <c r="A2710" s="9">
        <v>2709</v>
      </c>
      <c r="B2710" s="9" t="s">
        <v>9</v>
      </c>
      <c r="C2710" s="9">
        <v>1926</v>
      </c>
      <c r="D2710" s="10">
        <v>45722</v>
      </c>
      <c r="E2710" s="11" t="str">
        <f>+HYPERLINK("http://trademark.i-assist.jp/data/china/image_1926th/82583709.pdf","82583709")</f>
        <v>82583709</v>
      </c>
      <c r="F2710" s="9" t="s">
        <v>7407</v>
      </c>
      <c r="G2710" s="9" t="s">
        <v>7383</v>
      </c>
      <c r="H2710" s="9" t="s">
        <v>7408</v>
      </c>
      <c r="I2710" s="10">
        <v>45641</v>
      </c>
    </row>
    <row r="2711" spans="1:9" x14ac:dyDescent="0.15">
      <c r="A2711" s="9">
        <v>2710</v>
      </c>
      <c r="B2711" s="9" t="s">
        <v>9</v>
      </c>
      <c r="C2711" s="9">
        <v>1926</v>
      </c>
      <c r="D2711" s="10">
        <v>45722</v>
      </c>
      <c r="E2711" s="11" t="str">
        <f>+HYPERLINK("http://trademark.i-assist.jp/data/china/image_1926th/82583835.pdf","82583835")</f>
        <v>82583835</v>
      </c>
      <c r="F2711" s="9" t="s">
        <v>7409</v>
      </c>
      <c r="G2711" s="12" t="s">
        <v>27</v>
      </c>
      <c r="H2711" s="9" t="s">
        <v>7410</v>
      </c>
      <c r="I2711" s="10">
        <v>45642</v>
      </c>
    </row>
    <row r="2712" spans="1:9" x14ac:dyDescent="0.15">
      <c r="A2712" s="9">
        <v>2711</v>
      </c>
      <c r="B2712" s="9" t="s">
        <v>9</v>
      </c>
      <c r="C2712" s="9">
        <v>1926</v>
      </c>
      <c r="D2712" s="10">
        <v>45722</v>
      </c>
      <c r="E2712" s="11" t="str">
        <f>+HYPERLINK("http://trademark.i-assist.jp/data/china/image_1926th/82584809.pdf","82584809")</f>
        <v>82584809</v>
      </c>
      <c r="F2712" s="9" t="s">
        <v>7411</v>
      </c>
      <c r="G2712" s="9" t="s">
        <v>7412</v>
      </c>
      <c r="H2712" s="12" t="s">
        <v>7413</v>
      </c>
      <c r="I2712" s="10">
        <v>45642</v>
      </c>
    </row>
    <row r="2713" spans="1:9" x14ac:dyDescent="0.15">
      <c r="A2713" s="9">
        <v>2712</v>
      </c>
      <c r="B2713" s="9" t="s">
        <v>9</v>
      </c>
      <c r="C2713" s="9">
        <v>1926</v>
      </c>
      <c r="D2713" s="10">
        <v>45722</v>
      </c>
      <c r="E2713" s="11" t="str">
        <f>+HYPERLINK("http://trademark.i-assist.jp/data/china/image_1926th/82584966.pdf","82584966")</f>
        <v>82584966</v>
      </c>
      <c r="F2713" s="9" t="s">
        <v>7414</v>
      </c>
      <c r="G2713" s="9" t="s">
        <v>3975</v>
      </c>
      <c r="H2713" s="9" t="s">
        <v>7415</v>
      </c>
      <c r="I2713" s="10">
        <v>45642</v>
      </c>
    </row>
    <row r="2714" spans="1:9" x14ac:dyDescent="0.15">
      <c r="A2714" s="9">
        <v>2713</v>
      </c>
      <c r="B2714" s="9" t="s">
        <v>9</v>
      </c>
      <c r="C2714" s="9">
        <v>1926</v>
      </c>
      <c r="D2714" s="10">
        <v>45722</v>
      </c>
      <c r="E2714" s="11" t="str">
        <f>+HYPERLINK("http://trademark.i-assist.jp/data/china/image_1926th/82585381.pdf","82585381")</f>
        <v>82585381</v>
      </c>
      <c r="F2714" s="9" t="s">
        <v>7416</v>
      </c>
      <c r="G2714" s="9" t="s">
        <v>7417</v>
      </c>
      <c r="H2714" s="9" t="s">
        <v>7418</v>
      </c>
      <c r="I2714" s="10">
        <v>45643</v>
      </c>
    </row>
    <row r="2715" spans="1:9" x14ac:dyDescent="0.15">
      <c r="A2715" s="9">
        <v>2714</v>
      </c>
      <c r="B2715" s="9" t="s">
        <v>9</v>
      </c>
      <c r="C2715" s="9">
        <v>1926</v>
      </c>
      <c r="D2715" s="10">
        <v>45722</v>
      </c>
      <c r="E2715" s="11" t="str">
        <f>+HYPERLINK("http://trademark.i-assist.jp/data/china/image_1926th/82585775.pdf","82585775")</f>
        <v>82585775</v>
      </c>
      <c r="F2715" s="9" t="s">
        <v>7419</v>
      </c>
      <c r="G2715" s="9" t="s">
        <v>7420</v>
      </c>
      <c r="H2715" s="9" t="s">
        <v>7421</v>
      </c>
      <c r="I2715" s="10">
        <v>45643</v>
      </c>
    </row>
    <row r="2716" spans="1:9" x14ac:dyDescent="0.15">
      <c r="A2716" s="9">
        <v>2715</v>
      </c>
      <c r="B2716" s="9" t="s">
        <v>9</v>
      </c>
      <c r="C2716" s="9">
        <v>1926</v>
      </c>
      <c r="D2716" s="10">
        <v>45722</v>
      </c>
      <c r="E2716" s="11" t="str">
        <f>+HYPERLINK("http://trademark.i-assist.jp/data/china/image_1926th/82586449.pdf","82586449")</f>
        <v>82586449</v>
      </c>
      <c r="F2716" s="12" t="s">
        <v>7422</v>
      </c>
      <c r="G2716" s="9" t="s">
        <v>7423</v>
      </c>
      <c r="H2716" s="9" t="s">
        <v>7424</v>
      </c>
      <c r="I2716" s="10">
        <v>45643</v>
      </c>
    </row>
    <row r="2717" spans="1:9" x14ac:dyDescent="0.15">
      <c r="A2717" s="9">
        <v>2716</v>
      </c>
      <c r="B2717" s="9" t="s">
        <v>9</v>
      </c>
      <c r="C2717" s="9">
        <v>1926</v>
      </c>
      <c r="D2717" s="10">
        <v>45722</v>
      </c>
      <c r="E2717" s="11" t="str">
        <f>+HYPERLINK("http://trademark.i-assist.jp/data/china/image_1926th/82586570.pdf","82586570")</f>
        <v>82586570</v>
      </c>
      <c r="F2717" s="12" t="s">
        <v>7425</v>
      </c>
      <c r="G2717" s="9" t="s">
        <v>4760</v>
      </c>
      <c r="H2717" s="9" t="s">
        <v>7426</v>
      </c>
      <c r="I2717" s="10">
        <v>45643</v>
      </c>
    </row>
    <row r="2718" spans="1:9" x14ac:dyDescent="0.15">
      <c r="A2718" s="9">
        <v>2717</v>
      </c>
      <c r="B2718" s="9" t="s">
        <v>9</v>
      </c>
      <c r="C2718" s="9">
        <v>1926</v>
      </c>
      <c r="D2718" s="10">
        <v>45722</v>
      </c>
      <c r="E2718" s="11" t="str">
        <f>+HYPERLINK("http://trademark.i-assist.jp/data/china/image_1926th/82586621.pdf","82586621")</f>
        <v>82586621</v>
      </c>
      <c r="F2718" s="9" t="s">
        <v>7427</v>
      </c>
      <c r="G2718" s="12" t="s">
        <v>7428</v>
      </c>
      <c r="H2718" s="9" t="s">
        <v>7429</v>
      </c>
      <c r="I2718" s="10">
        <v>45643</v>
      </c>
    </row>
    <row r="2719" spans="1:9" x14ac:dyDescent="0.15">
      <c r="A2719" s="9">
        <v>2718</v>
      </c>
      <c r="B2719" s="9" t="s">
        <v>9</v>
      </c>
      <c r="C2719" s="9">
        <v>1926</v>
      </c>
      <c r="D2719" s="10">
        <v>45722</v>
      </c>
      <c r="E2719" s="11" t="str">
        <f>+HYPERLINK("http://trademark.i-assist.jp/data/china/image_1926th/82586855.pdf","82586855")</f>
        <v>82586855</v>
      </c>
      <c r="F2719" s="9" t="s">
        <v>7430</v>
      </c>
      <c r="G2719" s="9" t="s">
        <v>7431</v>
      </c>
      <c r="H2719" s="9" t="s">
        <v>7432</v>
      </c>
      <c r="I2719" s="10">
        <v>45643</v>
      </c>
    </row>
    <row r="2720" spans="1:9" x14ac:dyDescent="0.15">
      <c r="A2720" s="9">
        <v>2719</v>
      </c>
      <c r="B2720" s="9" t="s">
        <v>9</v>
      </c>
      <c r="C2720" s="9">
        <v>1926</v>
      </c>
      <c r="D2720" s="10">
        <v>45722</v>
      </c>
      <c r="E2720" s="11" t="str">
        <f>+HYPERLINK("http://trademark.i-assist.jp/data/china/image_1926th/82587132.pdf","82587132")</f>
        <v>82587132</v>
      </c>
      <c r="F2720" s="9" t="s">
        <v>7433</v>
      </c>
      <c r="G2720" s="9" t="s">
        <v>7434</v>
      </c>
      <c r="H2720" s="9" t="s">
        <v>7435</v>
      </c>
      <c r="I2720" s="10">
        <v>45643</v>
      </c>
    </row>
    <row r="2721" spans="1:9" x14ac:dyDescent="0.15">
      <c r="A2721" s="9">
        <v>2720</v>
      </c>
      <c r="B2721" s="9" t="s">
        <v>9</v>
      </c>
      <c r="C2721" s="9">
        <v>1926</v>
      </c>
      <c r="D2721" s="10">
        <v>45722</v>
      </c>
      <c r="E2721" s="11" t="str">
        <f>+HYPERLINK("http://trademark.i-assist.jp/data/china/image_1926th/82587256.pdf","82587256")</f>
        <v>82587256</v>
      </c>
      <c r="F2721" s="9" t="s">
        <v>7436</v>
      </c>
      <c r="G2721" s="9" t="s">
        <v>7437</v>
      </c>
      <c r="H2721" s="9" t="s">
        <v>7438</v>
      </c>
      <c r="I2721" s="10">
        <v>45643</v>
      </c>
    </row>
    <row r="2722" spans="1:9" x14ac:dyDescent="0.15">
      <c r="A2722" s="9">
        <v>2721</v>
      </c>
      <c r="B2722" s="9" t="s">
        <v>9</v>
      </c>
      <c r="C2722" s="9">
        <v>1926</v>
      </c>
      <c r="D2722" s="10">
        <v>45722</v>
      </c>
      <c r="E2722" s="11" t="str">
        <f>+HYPERLINK("http://trademark.i-assist.jp/data/china/image_1926th/82587747.pdf","82587747")</f>
        <v>82587747</v>
      </c>
      <c r="F2722" s="12" t="s">
        <v>7439</v>
      </c>
      <c r="G2722" s="9" t="s">
        <v>7440</v>
      </c>
      <c r="H2722" s="9" t="s">
        <v>7441</v>
      </c>
      <c r="I2722" s="10">
        <v>45643</v>
      </c>
    </row>
    <row r="2723" spans="1:9" x14ac:dyDescent="0.15">
      <c r="A2723" s="9">
        <v>2722</v>
      </c>
      <c r="B2723" s="9" t="s">
        <v>9</v>
      </c>
      <c r="C2723" s="9">
        <v>1926</v>
      </c>
      <c r="D2723" s="10">
        <v>45722</v>
      </c>
      <c r="E2723" s="11" t="str">
        <f>+HYPERLINK("http://trademark.i-assist.jp/data/china/image_1926th/82587777.pdf","82587777")</f>
        <v>82587777</v>
      </c>
      <c r="F2723" s="9" t="s">
        <v>7442</v>
      </c>
      <c r="G2723" s="9" t="s">
        <v>180</v>
      </c>
      <c r="H2723" s="12" t="s">
        <v>7443</v>
      </c>
      <c r="I2723" s="10">
        <v>45643</v>
      </c>
    </row>
    <row r="2724" spans="1:9" x14ac:dyDescent="0.15">
      <c r="A2724" s="9">
        <v>2723</v>
      </c>
      <c r="B2724" s="9" t="s">
        <v>9</v>
      </c>
      <c r="C2724" s="9">
        <v>1926</v>
      </c>
      <c r="D2724" s="10">
        <v>45722</v>
      </c>
      <c r="E2724" s="11" t="str">
        <f>+HYPERLINK("http://trademark.i-assist.jp/data/china/image_1926th/82587950.pdf","82587950")</f>
        <v>82587950</v>
      </c>
      <c r="F2724" s="13" t="s">
        <v>7444</v>
      </c>
      <c r="G2724" s="9" t="s">
        <v>7445</v>
      </c>
      <c r="H2724" s="12" t="s">
        <v>7446</v>
      </c>
      <c r="I2724" s="10">
        <v>45643</v>
      </c>
    </row>
    <row r="2725" spans="1:9" x14ac:dyDescent="0.15">
      <c r="A2725" s="9">
        <v>2724</v>
      </c>
      <c r="B2725" s="9" t="s">
        <v>9</v>
      </c>
      <c r="C2725" s="9">
        <v>1926</v>
      </c>
      <c r="D2725" s="10">
        <v>45722</v>
      </c>
      <c r="E2725" s="11" t="str">
        <f>+HYPERLINK("http://trademark.i-assist.jp/data/china/image_1926th/82588050.pdf","82588050")</f>
        <v>82588050</v>
      </c>
      <c r="F2725" s="9" t="s">
        <v>7447</v>
      </c>
      <c r="G2725" s="12" t="s">
        <v>7448</v>
      </c>
      <c r="H2725" s="9" t="s">
        <v>7449</v>
      </c>
      <c r="I2725" s="10">
        <v>45643</v>
      </c>
    </row>
    <row r="2726" spans="1:9" x14ac:dyDescent="0.15">
      <c r="A2726" s="9">
        <v>2725</v>
      </c>
      <c r="B2726" s="9" t="s">
        <v>9</v>
      </c>
      <c r="C2726" s="9">
        <v>1926</v>
      </c>
      <c r="D2726" s="10">
        <v>45722</v>
      </c>
      <c r="E2726" s="11" t="str">
        <f>+HYPERLINK("http://trademark.i-assist.jp/data/china/image_1926th/82588863.pdf","82588863")</f>
        <v>82588863</v>
      </c>
      <c r="F2726" s="9" t="s">
        <v>7450</v>
      </c>
      <c r="G2726" s="9" t="s">
        <v>7451</v>
      </c>
      <c r="H2726" s="9" t="s">
        <v>7452</v>
      </c>
      <c r="I2726" s="10">
        <v>45643</v>
      </c>
    </row>
    <row r="2727" spans="1:9" x14ac:dyDescent="0.15">
      <c r="A2727" s="9">
        <v>2726</v>
      </c>
      <c r="B2727" s="9" t="s">
        <v>9</v>
      </c>
      <c r="C2727" s="9">
        <v>1926</v>
      </c>
      <c r="D2727" s="10">
        <v>45722</v>
      </c>
      <c r="E2727" s="11" t="str">
        <f>+HYPERLINK("http://trademark.i-assist.jp/data/china/image_1926th/82588929.pdf","82588929")</f>
        <v>82588929</v>
      </c>
      <c r="F2727" s="12" t="s">
        <v>7453</v>
      </c>
      <c r="G2727" s="9" t="s">
        <v>7454</v>
      </c>
      <c r="H2727" s="9" t="s">
        <v>7455</v>
      </c>
      <c r="I2727" s="10">
        <v>45643</v>
      </c>
    </row>
    <row r="2728" spans="1:9" x14ac:dyDescent="0.15">
      <c r="A2728" s="9">
        <v>2727</v>
      </c>
      <c r="B2728" s="9" t="s">
        <v>9</v>
      </c>
      <c r="C2728" s="9">
        <v>1926</v>
      </c>
      <c r="D2728" s="10">
        <v>45722</v>
      </c>
      <c r="E2728" s="11" t="str">
        <f>+HYPERLINK("http://trademark.i-assist.jp/data/china/image_1926th/82589233.pdf","82589233")</f>
        <v>82589233</v>
      </c>
      <c r="F2728" s="9" t="s">
        <v>7456</v>
      </c>
      <c r="G2728" s="12" t="s">
        <v>7457</v>
      </c>
      <c r="H2728" s="9" t="s">
        <v>7458</v>
      </c>
      <c r="I2728" s="10">
        <v>45643</v>
      </c>
    </row>
    <row r="2729" spans="1:9" x14ac:dyDescent="0.15">
      <c r="A2729" s="9">
        <v>2728</v>
      </c>
      <c r="B2729" s="9" t="s">
        <v>9</v>
      </c>
      <c r="C2729" s="9">
        <v>1926</v>
      </c>
      <c r="D2729" s="10">
        <v>45722</v>
      </c>
      <c r="E2729" s="11" t="str">
        <f>+HYPERLINK("http://trademark.i-assist.jp/data/china/image_1926th/82589911.pdf","82589911")</f>
        <v>82589911</v>
      </c>
      <c r="F2729" s="12" t="s">
        <v>20</v>
      </c>
      <c r="G2729" s="9" t="s">
        <v>7459</v>
      </c>
      <c r="H2729" s="9" t="s">
        <v>7460</v>
      </c>
      <c r="I2729" s="10">
        <v>45643</v>
      </c>
    </row>
    <row r="2730" spans="1:9" x14ac:dyDescent="0.15">
      <c r="A2730" s="9">
        <v>2729</v>
      </c>
      <c r="B2730" s="9" t="s">
        <v>9</v>
      </c>
      <c r="C2730" s="9">
        <v>1926</v>
      </c>
      <c r="D2730" s="10">
        <v>45722</v>
      </c>
      <c r="E2730" s="11" t="str">
        <f>+HYPERLINK("http://trademark.i-assist.jp/data/china/image_1926th/82590184.pdf","82590184")</f>
        <v>82590184</v>
      </c>
      <c r="F2730" s="9" t="s">
        <v>7461</v>
      </c>
      <c r="G2730" s="9" t="s">
        <v>7431</v>
      </c>
      <c r="H2730" s="9" t="s">
        <v>7462</v>
      </c>
      <c r="I2730" s="10">
        <v>45643</v>
      </c>
    </row>
    <row r="2731" spans="1:9" x14ac:dyDescent="0.15">
      <c r="A2731" s="9">
        <v>2730</v>
      </c>
      <c r="B2731" s="9" t="s">
        <v>9</v>
      </c>
      <c r="C2731" s="9">
        <v>1926</v>
      </c>
      <c r="D2731" s="10">
        <v>45722</v>
      </c>
      <c r="E2731" s="11" t="str">
        <f>+HYPERLINK("http://trademark.i-assist.jp/data/china/image_1926th/82590700.pdf","82590700")</f>
        <v>82590700</v>
      </c>
      <c r="F2731" s="9" t="s">
        <v>7463</v>
      </c>
      <c r="G2731" s="9" t="s">
        <v>7464</v>
      </c>
      <c r="H2731" s="9" t="s">
        <v>7465</v>
      </c>
      <c r="I2731" s="10">
        <v>45643</v>
      </c>
    </row>
    <row r="2732" spans="1:9" x14ac:dyDescent="0.15">
      <c r="A2732" s="9">
        <v>2731</v>
      </c>
      <c r="B2732" s="9" t="s">
        <v>9</v>
      </c>
      <c r="C2732" s="9">
        <v>1926</v>
      </c>
      <c r="D2732" s="10">
        <v>45722</v>
      </c>
      <c r="E2732" s="11" t="str">
        <f>+HYPERLINK("http://trademark.i-assist.jp/data/china/image_1926th/82591742.pdf","82591742")</f>
        <v>82591742</v>
      </c>
      <c r="F2732" s="9" t="s">
        <v>7466</v>
      </c>
      <c r="G2732" s="9" t="s">
        <v>7467</v>
      </c>
      <c r="H2732" s="9" t="s">
        <v>7468</v>
      </c>
      <c r="I2732" s="10">
        <v>45643</v>
      </c>
    </row>
    <row r="2733" spans="1:9" x14ac:dyDescent="0.15">
      <c r="A2733" s="9">
        <v>2732</v>
      </c>
      <c r="B2733" s="9" t="s">
        <v>9</v>
      </c>
      <c r="C2733" s="9">
        <v>1926</v>
      </c>
      <c r="D2733" s="10">
        <v>45722</v>
      </c>
      <c r="E2733" s="11" t="str">
        <f>+HYPERLINK("http://trademark.i-assist.jp/data/china/image_1926th/82592003.pdf","82592003")</f>
        <v>82592003</v>
      </c>
      <c r="F2733" s="9" t="s">
        <v>7469</v>
      </c>
      <c r="G2733" s="9" t="s">
        <v>7470</v>
      </c>
      <c r="H2733" s="9" t="s">
        <v>7471</v>
      </c>
      <c r="I2733" s="10">
        <v>45643</v>
      </c>
    </row>
    <row r="2734" spans="1:9" x14ac:dyDescent="0.15">
      <c r="A2734" s="9">
        <v>2733</v>
      </c>
      <c r="B2734" s="9" t="s">
        <v>9</v>
      </c>
      <c r="C2734" s="9">
        <v>1926</v>
      </c>
      <c r="D2734" s="10">
        <v>45722</v>
      </c>
      <c r="E2734" s="11" t="str">
        <f>+HYPERLINK("http://trademark.i-assist.jp/data/china/image_1926th/82592481.pdf","82592481")</f>
        <v>82592481</v>
      </c>
      <c r="F2734" s="12" t="s">
        <v>7472</v>
      </c>
      <c r="G2734" s="9" t="s">
        <v>7473</v>
      </c>
      <c r="H2734" s="9" t="s">
        <v>7474</v>
      </c>
      <c r="I2734" s="10">
        <v>45643</v>
      </c>
    </row>
    <row r="2735" spans="1:9" x14ac:dyDescent="0.15">
      <c r="A2735" s="9">
        <v>2734</v>
      </c>
      <c r="B2735" s="9" t="s">
        <v>9</v>
      </c>
      <c r="C2735" s="9">
        <v>1926</v>
      </c>
      <c r="D2735" s="10">
        <v>45722</v>
      </c>
      <c r="E2735" s="11" t="str">
        <f>+HYPERLINK("http://trademark.i-assist.jp/data/china/image_1926th/82593032.pdf","82593032")</f>
        <v>82593032</v>
      </c>
      <c r="F2735" s="9" t="s">
        <v>7475</v>
      </c>
      <c r="G2735" s="9" t="s">
        <v>7470</v>
      </c>
      <c r="H2735" s="9" t="s">
        <v>7476</v>
      </c>
      <c r="I2735" s="10">
        <v>45643</v>
      </c>
    </row>
    <row r="2736" spans="1:9" x14ac:dyDescent="0.15">
      <c r="A2736" s="9">
        <v>2735</v>
      </c>
      <c r="B2736" s="9" t="s">
        <v>9</v>
      </c>
      <c r="C2736" s="9">
        <v>1926</v>
      </c>
      <c r="D2736" s="10">
        <v>45722</v>
      </c>
      <c r="E2736" s="11" t="str">
        <f>+HYPERLINK("http://trademark.i-assist.jp/data/china/image_1926th/82593099.pdf","82593099")</f>
        <v>82593099</v>
      </c>
      <c r="F2736" s="12" t="s">
        <v>7477</v>
      </c>
      <c r="G2736" s="9" t="s">
        <v>7478</v>
      </c>
      <c r="H2736" s="9" t="s">
        <v>7479</v>
      </c>
      <c r="I2736" s="10">
        <v>45643</v>
      </c>
    </row>
    <row r="2737" spans="1:9" x14ac:dyDescent="0.15">
      <c r="A2737" s="9">
        <v>2736</v>
      </c>
      <c r="B2737" s="9" t="s">
        <v>9</v>
      </c>
      <c r="C2737" s="9">
        <v>1926</v>
      </c>
      <c r="D2737" s="10">
        <v>45722</v>
      </c>
      <c r="E2737" s="11" t="str">
        <f>+HYPERLINK("http://trademark.i-assist.jp/data/china/image_1926th/82593630.pdf","82593630")</f>
        <v>82593630</v>
      </c>
      <c r="F2737" s="9" t="s">
        <v>7480</v>
      </c>
      <c r="G2737" s="9" t="s">
        <v>7481</v>
      </c>
      <c r="H2737" s="9" t="s">
        <v>7482</v>
      </c>
      <c r="I2737" s="10">
        <v>45643</v>
      </c>
    </row>
    <row r="2738" spans="1:9" x14ac:dyDescent="0.15">
      <c r="A2738" s="9">
        <v>2737</v>
      </c>
      <c r="B2738" s="9" t="s">
        <v>9</v>
      </c>
      <c r="C2738" s="9">
        <v>1926</v>
      </c>
      <c r="D2738" s="10">
        <v>45722</v>
      </c>
      <c r="E2738" s="11" t="str">
        <f>+HYPERLINK("http://trademark.i-assist.jp/data/china/image_1926th/82594392.pdf","82594392")</f>
        <v>82594392</v>
      </c>
      <c r="F2738" s="9" t="s">
        <v>7483</v>
      </c>
      <c r="G2738" s="9" t="s">
        <v>7484</v>
      </c>
      <c r="H2738" s="9" t="s">
        <v>7485</v>
      </c>
      <c r="I2738" s="10">
        <v>45643</v>
      </c>
    </row>
    <row r="2739" spans="1:9" x14ac:dyDescent="0.15">
      <c r="A2739" s="9">
        <v>2738</v>
      </c>
      <c r="B2739" s="9" t="s">
        <v>9</v>
      </c>
      <c r="C2739" s="9">
        <v>1926</v>
      </c>
      <c r="D2739" s="10">
        <v>45722</v>
      </c>
      <c r="E2739" s="11" t="str">
        <f>+HYPERLINK("http://trademark.i-assist.jp/data/china/image_1926th/82594603.pdf","82594603")</f>
        <v>82594603</v>
      </c>
      <c r="F2739" s="9" t="s">
        <v>7486</v>
      </c>
      <c r="G2739" s="12" t="s">
        <v>7487</v>
      </c>
      <c r="H2739" s="9" t="s">
        <v>7488</v>
      </c>
      <c r="I2739" s="10">
        <v>45643</v>
      </c>
    </row>
    <row r="2740" spans="1:9" x14ac:dyDescent="0.15">
      <c r="A2740" s="9">
        <v>2739</v>
      </c>
      <c r="B2740" s="9" t="s">
        <v>9</v>
      </c>
      <c r="C2740" s="9">
        <v>1926</v>
      </c>
      <c r="D2740" s="10">
        <v>45722</v>
      </c>
      <c r="E2740" s="11" t="str">
        <f>+HYPERLINK("http://trademark.i-assist.jp/data/china/image_1926th/82594637.pdf","82594637")</f>
        <v>82594637</v>
      </c>
      <c r="F2740" s="9" t="s">
        <v>7489</v>
      </c>
      <c r="G2740" s="9" t="s">
        <v>7490</v>
      </c>
      <c r="H2740" s="9" t="s">
        <v>7491</v>
      </c>
      <c r="I2740" s="10">
        <v>45643</v>
      </c>
    </row>
    <row r="2741" spans="1:9" x14ac:dyDescent="0.15">
      <c r="A2741" s="9">
        <v>2740</v>
      </c>
      <c r="B2741" s="9" t="s">
        <v>9</v>
      </c>
      <c r="C2741" s="9">
        <v>1926</v>
      </c>
      <c r="D2741" s="10">
        <v>45722</v>
      </c>
      <c r="E2741" s="11" t="str">
        <f>+HYPERLINK("http://trademark.i-assist.jp/data/china/image_1926th/82595809.pdf","82595809")</f>
        <v>82595809</v>
      </c>
      <c r="F2741" s="9" t="s">
        <v>7492</v>
      </c>
      <c r="G2741" s="12" t="s">
        <v>7493</v>
      </c>
      <c r="H2741" s="9" t="s">
        <v>7494</v>
      </c>
      <c r="I2741" s="10">
        <v>45643</v>
      </c>
    </row>
    <row r="2742" spans="1:9" x14ac:dyDescent="0.15">
      <c r="A2742" s="9">
        <v>2741</v>
      </c>
      <c r="B2742" s="9" t="s">
        <v>9</v>
      </c>
      <c r="C2742" s="9">
        <v>1926</v>
      </c>
      <c r="D2742" s="10">
        <v>45722</v>
      </c>
      <c r="E2742" s="11" t="str">
        <f>+HYPERLINK("http://trademark.i-assist.jp/data/china/image_1926th/82596160.pdf","82596160")</f>
        <v>82596160</v>
      </c>
      <c r="F2742" s="9" t="s">
        <v>7495</v>
      </c>
      <c r="G2742" s="9" t="s">
        <v>7496</v>
      </c>
      <c r="H2742" s="9" t="s">
        <v>7497</v>
      </c>
      <c r="I2742" s="10">
        <v>45643</v>
      </c>
    </row>
    <row r="2743" spans="1:9" x14ac:dyDescent="0.15">
      <c r="A2743" s="9">
        <v>2742</v>
      </c>
      <c r="B2743" s="9" t="s">
        <v>9</v>
      </c>
      <c r="C2743" s="9">
        <v>1926</v>
      </c>
      <c r="D2743" s="10">
        <v>45722</v>
      </c>
      <c r="E2743" s="11" t="str">
        <f>+HYPERLINK("http://trademark.i-assist.jp/data/china/image_1926th/82596393.pdf","82596393")</f>
        <v>82596393</v>
      </c>
      <c r="F2743" s="9" t="s">
        <v>7498</v>
      </c>
      <c r="G2743" s="9" t="s">
        <v>7499</v>
      </c>
      <c r="H2743" s="12" t="s">
        <v>7500</v>
      </c>
      <c r="I2743" s="10">
        <v>45643</v>
      </c>
    </row>
    <row r="2744" spans="1:9" x14ac:dyDescent="0.15">
      <c r="A2744" s="9">
        <v>2743</v>
      </c>
      <c r="B2744" s="9" t="s">
        <v>9</v>
      </c>
      <c r="C2744" s="9">
        <v>1926</v>
      </c>
      <c r="D2744" s="10">
        <v>45722</v>
      </c>
      <c r="E2744" s="11" t="str">
        <f>+HYPERLINK("http://trademark.i-assist.jp/data/china/image_1926th/82596795.pdf","82596795")</f>
        <v>82596795</v>
      </c>
      <c r="F2744" s="9" t="s">
        <v>7501</v>
      </c>
      <c r="G2744" s="12" t="s">
        <v>7502</v>
      </c>
      <c r="H2744" s="9" t="s">
        <v>7503</v>
      </c>
      <c r="I2744" s="10">
        <v>45643</v>
      </c>
    </row>
    <row r="2745" spans="1:9" x14ac:dyDescent="0.15">
      <c r="A2745" s="9">
        <v>2744</v>
      </c>
      <c r="B2745" s="9" t="s">
        <v>9</v>
      </c>
      <c r="C2745" s="9">
        <v>1926</v>
      </c>
      <c r="D2745" s="10">
        <v>45722</v>
      </c>
      <c r="E2745" s="11" t="str">
        <f>+HYPERLINK("http://trademark.i-assist.jp/data/china/image_1926th/82596945.pdf","82596945")</f>
        <v>82596945</v>
      </c>
      <c r="F2745" s="9" t="s">
        <v>7504</v>
      </c>
      <c r="G2745" s="9" t="s">
        <v>7015</v>
      </c>
      <c r="H2745" s="9" t="s">
        <v>7505</v>
      </c>
      <c r="I2745" s="10">
        <v>45643</v>
      </c>
    </row>
    <row r="2746" spans="1:9" x14ac:dyDescent="0.15">
      <c r="A2746" s="9">
        <v>2745</v>
      </c>
      <c r="B2746" s="9" t="s">
        <v>9</v>
      </c>
      <c r="C2746" s="9">
        <v>1926</v>
      </c>
      <c r="D2746" s="10">
        <v>45722</v>
      </c>
      <c r="E2746" s="11" t="str">
        <f>+HYPERLINK("http://trademark.i-assist.jp/data/china/image_1926th/82596956.pdf","82596956")</f>
        <v>82596956</v>
      </c>
      <c r="F2746" s="9" t="s">
        <v>7506</v>
      </c>
      <c r="G2746" s="9" t="s">
        <v>7015</v>
      </c>
      <c r="H2746" s="9" t="s">
        <v>7507</v>
      </c>
      <c r="I2746" s="10">
        <v>45643</v>
      </c>
    </row>
    <row r="2747" spans="1:9" x14ac:dyDescent="0.15">
      <c r="A2747" s="9">
        <v>2746</v>
      </c>
      <c r="B2747" s="9" t="s">
        <v>9</v>
      </c>
      <c r="C2747" s="9">
        <v>1926</v>
      </c>
      <c r="D2747" s="10">
        <v>45722</v>
      </c>
      <c r="E2747" s="11" t="str">
        <f>+HYPERLINK("http://trademark.i-assist.jp/data/china/image_1926th/82597773.pdf","82597773")</f>
        <v>82597773</v>
      </c>
      <c r="F2747" s="9" t="s">
        <v>7508</v>
      </c>
      <c r="G2747" s="9" t="s">
        <v>7509</v>
      </c>
      <c r="H2747" s="9" t="s">
        <v>7510</v>
      </c>
      <c r="I2747" s="10">
        <v>45643</v>
      </c>
    </row>
    <row r="2748" spans="1:9" x14ac:dyDescent="0.15">
      <c r="A2748" s="9">
        <v>2747</v>
      </c>
      <c r="B2748" s="9" t="s">
        <v>9</v>
      </c>
      <c r="C2748" s="9">
        <v>1926</v>
      </c>
      <c r="D2748" s="10">
        <v>45722</v>
      </c>
      <c r="E2748" s="11" t="str">
        <f>+HYPERLINK("http://trademark.i-assist.jp/data/china/image_1926th/82597849.pdf","82597849")</f>
        <v>82597849</v>
      </c>
      <c r="F2748" s="9" t="s">
        <v>7511</v>
      </c>
      <c r="G2748" s="12" t="s">
        <v>7428</v>
      </c>
      <c r="H2748" s="9" t="s">
        <v>7512</v>
      </c>
      <c r="I2748" s="10">
        <v>45643</v>
      </c>
    </row>
    <row r="2749" spans="1:9" x14ac:dyDescent="0.15">
      <c r="A2749" s="9">
        <v>2748</v>
      </c>
      <c r="B2749" s="9" t="s">
        <v>9</v>
      </c>
      <c r="C2749" s="9">
        <v>1926</v>
      </c>
      <c r="D2749" s="10">
        <v>45722</v>
      </c>
      <c r="E2749" s="11" t="str">
        <f>+HYPERLINK("http://trademark.i-assist.jp/data/china/image_1926th/82598446.pdf","82598446")</f>
        <v>82598446</v>
      </c>
      <c r="F2749" s="9" t="s">
        <v>7513</v>
      </c>
      <c r="G2749" s="9" t="s">
        <v>7514</v>
      </c>
      <c r="H2749" s="9" t="s">
        <v>7515</v>
      </c>
      <c r="I2749" s="10">
        <v>45643</v>
      </c>
    </row>
    <row r="2750" spans="1:9" x14ac:dyDescent="0.15">
      <c r="A2750" s="9">
        <v>2749</v>
      </c>
      <c r="B2750" s="9" t="s">
        <v>9</v>
      </c>
      <c r="C2750" s="9">
        <v>1926</v>
      </c>
      <c r="D2750" s="10">
        <v>45722</v>
      </c>
      <c r="E2750" s="11" t="str">
        <f>+HYPERLINK("http://trademark.i-assist.jp/data/china/image_1926th/82598581.pdf","82598581")</f>
        <v>82598581</v>
      </c>
      <c r="F2750" s="9" t="s">
        <v>7516</v>
      </c>
      <c r="G2750" s="9" t="s">
        <v>7517</v>
      </c>
      <c r="H2750" s="9" t="s">
        <v>7518</v>
      </c>
      <c r="I2750" s="10">
        <v>45643</v>
      </c>
    </row>
    <row r="2751" spans="1:9" x14ac:dyDescent="0.15">
      <c r="A2751" s="9">
        <v>2750</v>
      </c>
      <c r="B2751" s="9" t="s">
        <v>9</v>
      </c>
      <c r="C2751" s="9">
        <v>1926</v>
      </c>
      <c r="D2751" s="10">
        <v>45722</v>
      </c>
      <c r="E2751" s="11" t="str">
        <f>+HYPERLINK("http://trademark.i-assist.jp/data/china/image_1926th/82599440.pdf","82599440")</f>
        <v>82599440</v>
      </c>
      <c r="F2751" s="9" t="s">
        <v>7519</v>
      </c>
      <c r="G2751" s="9" t="s">
        <v>7520</v>
      </c>
      <c r="H2751" s="9" t="s">
        <v>7521</v>
      </c>
      <c r="I2751" s="10">
        <v>45643</v>
      </c>
    </row>
    <row r="2752" spans="1:9" x14ac:dyDescent="0.15">
      <c r="A2752" s="9">
        <v>2751</v>
      </c>
      <c r="B2752" s="9" t="s">
        <v>9</v>
      </c>
      <c r="C2752" s="9">
        <v>1926</v>
      </c>
      <c r="D2752" s="10">
        <v>45722</v>
      </c>
      <c r="E2752" s="11" t="str">
        <f>+HYPERLINK("http://trademark.i-assist.jp/data/china/image_1926th/82599630.pdf","82599630")</f>
        <v>82599630</v>
      </c>
      <c r="F2752" s="9" t="s">
        <v>7522</v>
      </c>
      <c r="G2752" s="9" t="s">
        <v>7523</v>
      </c>
      <c r="H2752" s="9" t="s">
        <v>7524</v>
      </c>
      <c r="I2752" s="10">
        <v>45643</v>
      </c>
    </row>
    <row r="2753" spans="1:9" x14ac:dyDescent="0.15">
      <c r="A2753" s="9">
        <v>2752</v>
      </c>
      <c r="B2753" s="9" t="s">
        <v>9</v>
      </c>
      <c r="C2753" s="9">
        <v>1926</v>
      </c>
      <c r="D2753" s="10">
        <v>45722</v>
      </c>
      <c r="E2753" s="11" t="str">
        <f>+HYPERLINK("http://trademark.i-assist.jp/data/china/image_1926th/82600030.pdf","82600030")</f>
        <v>82600030</v>
      </c>
      <c r="F2753" s="9" t="s">
        <v>7525</v>
      </c>
      <c r="G2753" s="9" t="s">
        <v>7015</v>
      </c>
      <c r="H2753" s="9" t="s">
        <v>7526</v>
      </c>
      <c r="I2753" s="10">
        <v>45643</v>
      </c>
    </row>
    <row r="2754" spans="1:9" x14ac:dyDescent="0.15">
      <c r="A2754" s="9">
        <v>2753</v>
      </c>
      <c r="B2754" s="9" t="s">
        <v>9</v>
      </c>
      <c r="C2754" s="9">
        <v>1926</v>
      </c>
      <c r="D2754" s="10">
        <v>45722</v>
      </c>
      <c r="E2754" s="11" t="str">
        <f>+HYPERLINK("http://trademark.i-assist.jp/data/china/image_1926th/82601687.pdf","82601687")</f>
        <v>82601687</v>
      </c>
      <c r="F2754" s="9" t="s">
        <v>7527</v>
      </c>
      <c r="G2754" s="9" t="s">
        <v>7528</v>
      </c>
      <c r="H2754" s="9" t="s">
        <v>7529</v>
      </c>
      <c r="I2754" s="10">
        <v>45643</v>
      </c>
    </row>
    <row r="2755" spans="1:9" x14ac:dyDescent="0.15">
      <c r="A2755" s="9">
        <v>2754</v>
      </c>
      <c r="B2755" s="9" t="s">
        <v>9</v>
      </c>
      <c r="C2755" s="9">
        <v>1926</v>
      </c>
      <c r="D2755" s="10">
        <v>45722</v>
      </c>
      <c r="E2755" s="11" t="str">
        <f>+HYPERLINK("http://trademark.i-assist.jp/data/china/image_1926th/82601695.pdf","82601695")</f>
        <v>82601695</v>
      </c>
      <c r="F2755" s="9" t="s">
        <v>7530</v>
      </c>
      <c r="G2755" s="9" t="s">
        <v>7531</v>
      </c>
      <c r="H2755" s="9" t="s">
        <v>7532</v>
      </c>
      <c r="I2755" s="10">
        <v>45643</v>
      </c>
    </row>
    <row r="2756" spans="1:9" x14ac:dyDescent="0.15">
      <c r="A2756" s="9">
        <v>2755</v>
      </c>
      <c r="B2756" s="9" t="s">
        <v>9</v>
      </c>
      <c r="C2756" s="9">
        <v>1926</v>
      </c>
      <c r="D2756" s="10">
        <v>45722</v>
      </c>
      <c r="E2756" s="11" t="str">
        <f>+HYPERLINK("http://trademark.i-assist.jp/data/china/image_1926th/82601844.pdf","82601844")</f>
        <v>82601844</v>
      </c>
      <c r="F2756" s="9" t="s">
        <v>7533</v>
      </c>
      <c r="G2756" s="9" t="s">
        <v>7481</v>
      </c>
      <c r="H2756" s="9" t="s">
        <v>7534</v>
      </c>
      <c r="I2756" s="10">
        <v>45643</v>
      </c>
    </row>
    <row r="2757" spans="1:9" x14ac:dyDescent="0.15">
      <c r="A2757" s="9">
        <v>2756</v>
      </c>
      <c r="B2757" s="9" t="s">
        <v>9</v>
      </c>
      <c r="C2757" s="9">
        <v>1926</v>
      </c>
      <c r="D2757" s="10">
        <v>45722</v>
      </c>
      <c r="E2757" s="11" t="str">
        <f>+HYPERLINK("http://trademark.i-assist.jp/data/china/image_1926th/82602097.pdf","82602097")</f>
        <v>82602097</v>
      </c>
      <c r="F2757" s="12" t="s">
        <v>20</v>
      </c>
      <c r="G2757" s="9" t="s">
        <v>7535</v>
      </c>
      <c r="H2757" s="9" t="s">
        <v>7536</v>
      </c>
      <c r="I2757" s="10">
        <v>45643</v>
      </c>
    </row>
    <row r="2758" spans="1:9" x14ac:dyDescent="0.15">
      <c r="A2758" s="9">
        <v>2757</v>
      </c>
      <c r="B2758" s="9" t="s">
        <v>9</v>
      </c>
      <c r="C2758" s="9">
        <v>1926</v>
      </c>
      <c r="D2758" s="10">
        <v>45722</v>
      </c>
      <c r="E2758" s="11" t="str">
        <f>+HYPERLINK("http://trademark.i-assist.jp/data/china/image_1926th/82602279.pdf","82602279")</f>
        <v>82602279</v>
      </c>
      <c r="F2758" s="9" t="s">
        <v>7537</v>
      </c>
      <c r="G2758" s="9" t="s">
        <v>7015</v>
      </c>
      <c r="H2758" s="9" t="s">
        <v>7538</v>
      </c>
      <c r="I2758" s="10">
        <v>45643</v>
      </c>
    </row>
    <row r="2759" spans="1:9" x14ac:dyDescent="0.15">
      <c r="A2759" s="9">
        <v>2758</v>
      </c>
      <c r="B2759" s="9" t="s">
        <v>9</v>
      </c>
      <c r="C2759" s="9">
        <v>1926</v>
      </c>
      <c r="D2759" s="10">
        <v>45722</v>
      </c>
      <c r="E2759" s="11" t="str">
        <f>+HYPERLINK("http://trademark.i-assist.jp/data/china/image_1926th/82602607.pdf","82602607")</f>
        <v>82602607</v>
      </c>
      <c r="F2759" s="12" t="s">
        <v>7539</v>
      </c>
      <c r="G2759" s="9" t="s">
        <v>7540</v>
      </c>
      <c r="H2759" s="9" t="s">
        <v>7541</v>
      </c>
      <c r="I2759" s="10">
        <v>45643</v>
      </c>
    </row>
    <row r="2760" spans="1:9" x14ac:dyDescent="0.15">
      <c r="A2760" s="9">
        <v>2759</v>
      </c>
      <c r="B2760" s="9" t="s">
        <v>9</v>
      </c>
      <c r="C2760" s="9">
        <v>1926</v>
      </c>
      <c r="D2760" s="10">
        <v>45722</v>
      </c>
      <c r="E2760" s="11" t="str">
        <f>+HYPERLINK("http://trademark.i-assist.jp/data/china/image_1926th/82602745.pdf","82602745")</f>
        <v>82602745</v>
      </c>
      <c r="F2760" s="9" t="s">
        <v>7542</v>
      </c>
      <c r="G2760" s="9" t="s">
        <v>7543</v>
      </c>
      <c r="H2760" s="12" t="s">
        <v>7544</v>
      </c>
      <c r="I2760" s="10">
        <v>45643</v>
      </c>
    </row>
    <row r="2761" spans="1:9" x14ac:dyDescent="0.15">
      <c r="A2761" s="9">
        <v>2760</v>
      </c>
      <c r="B2761" s="9" t="s">
        <v>9</v>
      </c>
      <c r="C2761" s="9">
        <v>1926</v>
      </c>
      <c r="D2761" s="10">
        <v>45722</v>
      </c>
      <c r="E2761" s="11" t="str">
        <f>+HYPERLINK("http://trademark.i-assist.jp/data/china/image_1926th/82602805.pdf","82602805")</f>
        <v>82602805</v>
      </c>
      <c r="F2761" s="9" t="s">
        <v>7545</v>
      </c>
      <c r="G2761" s="12" t="s">
        <v>7546</v>
      </c>
      <c r="H2761" s="9" t="s">
        <v>7547</v>
      </c>
      <c r="I2761" s="10">
        <v>45643</v>
      </c>
    </row>
    <row r="2762" spans="1:9" x14ac:dyDescent="0.15">
      <c r="A2762" s="9">
        <v>2761</v>
      </c>
      <c r="B2762" s="9" t="s">
        <v>9</v>
      </c>
      <c r="C2762" s="9">
        <v>1926</v>
      </c>
      <c r="D2762" s="10">
        <v>45722</v>
      </c>
      <c r="E2762" s="11" t="str">
        <f>+HYPERLINK("http://trademark.i-assist.jp/data/china/image_1926th/82602864.pdf","82602864")</f>
        <v>82602864</v>
      </c>
      <c r="F2762" s="12" t="s">
        <v>7548</v>
      </c>
      <c r="G2762" s="12" t="s">
        <v>7448</v>
      </c>
      <c r="H2762" s="12" t="s">
        <v>7549</v>
      </c>
      <c r="I2762" s="10">
        <v>45643</v>
      </c>
    </row>
    <row r="2763" spans="1:9" x14ac:dyDescent="0.15">
      <c r="A2763" s="9">
        <v>2762</v>
      </c>
      <c r="B2763" s="9" t="s">
        <v>9</v>
      </c>
      <c r="C2763" s="9">
        <v>1926</v>
      </c>
      <c r="D2763" s="10">
        <v>45722</v>
      </c>
      <c r="E2763" s="11" t="str">
        <f>+HYPERLINK("http://trademark.i-assist.jp/data/china/image_1926th/82602910.pdf","82602910")</f>
        <v>82602910</v>
      </c>
      <c r="F2763" s="9" t="s">
        <v>7550</v>
      </c>
      <c r="G2763" s="9" t="s">
        <v>7551</v>
      </c>
      <c r="H2763" s="9" t="s">
        <v>7552</v>
      </c>
      <c r="I2763" s="10">
        <v>45643</v>
      </c>
    </row>
    <row r="2764" spans="1:9" x14ac:dyDescent="0.15">
      <c r="A2764" s="9">
        <v>2763</v>
      </c>
      <c r="B2764" s="9" t="s">
        <v>9</v>
      </c>
      <c r="C2764" s="9">
        <v>1926</v>
      </c>
      <c r="D2764" s="10">
        <v>45722</v>
      </c>
      <c r="E2764" s="11" t="str">
        <f>+HYPERLINK("http://trademark.i-assist.jp/data/china/image_1926th/82603469.pdf","82603469")</f>
        <v>82603469</v>
      </c>
      <c r="F2764" s="9" t="s">
        <v>7553</v>
      </c>
      <c r="G2764" s="9" t="s">
        <v>7554</v>
      </c>
      <c r="H2764" s="9" t="s">
        <v>7555</v>
      </c>
      <c r="I2764" s="10">
        <v>45643</v>
      </c>
    </row>
    <row r="2765" spans="1:9" x14ac:dyDescent="0.15">
      <c r="A2765" s="9">
        <v>2764</v>
      </c>
      <c r="B2765" s="9" t="s">
        <v>9</v>
      </c>
      <c r="C2765" s="9">
        <v>1926</v>
      </c>
      <c r="D2765" s="10">
        <v>45722</v>
      </c>
      <c r="E2765" s="11" t="str">
        <f>+HYPERLINK("http://trademark.i-assist.jp/data/china/image_1926th/82603581.pdf","82603581")</f>
        <v>82603581</v>
      </c>
      <c r="F2765" s="9" t="s">
        <v>7556</v>
      </c>
      <c r="G2765" s="12" t="s">
        <v>7557</v>
      </c>
      <c r="H2765" s="9" t="s">
        <v>7558</v>
      </c>
      <c r="I2765" s="10">
        <v>45643</v>
      </c>
    </row>
    <row r="2766" spans="1:9" x14ac:dyDescent="0.15">
      <c r="A2766" s="9">
        <v>2765</v>
      </c>
      <c r="B2766" s="9" t="s">
        <v>9</v>
      </c>
      <c r="C2766" s="9">
        <v>1926</v>
      </c>
      <c r="D2766" s="10">
        <v>45722</v>
      </c>
      <c r="E2766" s="11" t="str">
        <f>+HYPERLINK("http://trademark.i-assist.jp/data/china/image_1926th/82604093.pdf","82604093")</f>
        <v>82604093</v>
      </c>
      <c r="F2766" s="9" t="s">
        <v>7559</v>
      </c>
      <c r="G2766" s="9" t="s">
        <v>7560</v>
      </c>
      <c r="H2766" s="9" t="s">
        <v>7561</v>
      </c>
      <c r="I2766" s="10">
        <v>45643</v>
      </c>
    </row>
    <row r="2767" spans="1:9" x14ac:dyDescent="0.15">
      <c r="A2767" s="9">
        <v>2766</v>
      </c>
      <c r="B2767" s="9" t="s">
        <v>9</v>
      </c>
      <c r="C2767" s="9">
        <v>1926</v>
      </c>
      <c r="D2767" s="10">
        <v>45722</v>
      </c>
      <c r="E2767" s="11" t="str">
        <f>+HYPERLINK("http://trademark.i-assist.jp/data/china/image_1926th/82604762.pdf","82604762")</f>
        <v>82604762</v>
      </c>
      <c r="F2767" s="9" t="s">
        <v>7562</v>
      </c>
      <c r="G2767" s="9" t="s">
        <v>7563</v>
      </c>
      <c r="H2767" s="9" t="s">
        <v>7564</v>
      </c>
      <c r="I2767" s="10">
        <v>45643</v>
      </c>
    </row>
    <row r="2768" spans="1:9" x14ac:dyDescent="0.15">
      <c r="A2768" s="9">
        <v>2767</v>
      </c>
      <c r="B2768" s="9" t="s">
        <v>9</v>
      </c>
      <c r="C2768" s="9">
        <v>1926</v>
      </c>
      <c r="D2768" s="10">
        <v>45722</v>
      </c>
      <c r="E2768" s="11" t="str">
        <f>+HYPERLINK("http://trademark.i-assist.jp/data/china/image_1926th/82605897.pdf","82605897")</f>
        <v>82605897</v>
      </c>
      <c r="F2768" s="9" t="s">
        <v>7565</v>
      </c>
      <c r="G2768" s="9" t="s">
        <v>7417</v>
      </c>
      <c r="H2768" s="9" t="s">
        <v>7566</v>
      </c>
      <c r="I2768" s="10">
        <v>45643</v>
      </c>
    </row>
    <row r="2769" spans="1:9" x14ac:dyDescent="0.15">
      <c r="A2769" s="9">
        <v>2768</v>
      </c>
      <c r="B2769" s="9" t="s">
        <v>9</v>
      </c>
      <c r="C2769" s="9">
        <v>1926</v>
      </c>
      <c r="D2769" s="10">
        <v>45722</v>
      </c>
      <c r="E2769" s="11" t="str">
        <f>+HYPERLINK("http://trademark.i-assist.jp/data/china/image_1926th/82606235.pdf","82606235")</f>
        <v>82606235</v>
      </c>
      <c r="F2769" s="9" t="s">
        <v>7567</v>
      </c>
      <c r="G2769" s="9" t="s">
        <v>7568</v>
      </c>
      <c r="H2769" s="12" t="s">
        <v>7569</v>
      </c>
      <c r="I2769" s="10">
        <v>45643</v>
      </c>
    </row>
    <row r="2770" spans="1:9" x14ac:dyDescent="0.15">
      <c r="A2770" s="9">
        <v>2769</v>
      </c>
      <c r="B2770" s="9" t="s">
        <v>9</v>
      </c>
      <c r="C2770" s="9">
        <v>1926</v>
      </c>
      <c r="D2770" s="10">
        <v>45722</v>
      </c>
      <c r="E2770" s="11" t="str">
        <f>+HYPERLINK("http://trademark.i-assist.jp/data/china/image_1926th/82606254.pdf","82606254")</f>
        <v>82606254</v>
      </c>
      <c r="F2770" s="9" t="s">
        <v>7570</v>
      </c>
      <c r="G2770" s="9" t="s">
        <v>7431</v>
      </c>
      <c r="H2770" s="9" t="s">
        <v>7571</v>
      </c>
      <c r="I2770" s="10">
        <v>45643</v>
      </c>
    </row>
    <row r="2771" spans="1:9" x14ac:dyDescent="0.15">
      <c r="A2771" s="9">
        <v>2770</v>
      </c>
      <c r="B2771" s="9" t="s">
        <v>9</v>
      </c>
      <c r="C2771" s="9">
        <v>1926</v>
      </c>
      <c r="D2771" s="10">
        <v>45722</v>
      </c>
      <c r="E2771" s="11" t="str">
        <f>+HYPERLINK("http://trademark.i-assist.jp/data/china/image_1926th/82606598.pdf","82606598")</f>
        <v>82606598</v>
      </c>
      <c r="F2771" s="12" t="s">
        <v>7572</v>
      </c>
      <c r="G2771" s="12" t="s">
        <v>7448</v>
      </c>
      <c r="H2771" s="9" t="s">
        <v>7573</v>
      </c>
      <c r="I2771" s="10">
        <v>45643</v>
      </c>
    </row>
    <row r="2772" spans="1:9" x14ac:dyDescent="0.15">
      <c r="A2772" s="9">
        <v>2771</v>
      </c>
      <c r="B2772" s="9" t="s">
        <v>9</v>
      </c>
      <c r="C2772" s="9">
        <v>1926</v>
      </c>
      <c r="D2772" s="10">
        <v>45722</v>
      </c>
      <c r="E2772" s="11" t="str">
        <f>+HYPERLINK("http://trademark.i-assist.jp/data/china/image_1926th/82606766.pdf","82606766")</f>
        <v>82606766</v>
      </c>
      <c r="F2772" s="9" t="s">
        <v>7574</v>
      </c>
      <c r="G2772" s="9" t="s">
        <v>7575</v>
      </c>
      <c r="H2772" s="9" t="s">
        <v>7576</v>
      </c>
      <c r="I2772" s="10">
        <v>45643</v>
      </c>
    </row>
    <row r="2773" spans="1:9" x14ac:dyDescent="0.15">
      <c r="A2773" s="9">
        <v>2772</v>
      </c>
      <c r="B2773" s="9" t="s">
        <v>9</v>
      </c>
      <c r="C2773" s="9">
        <v>1926</v>
      </c>
      <c r="D2773" s="10">
        <v>45722</v>
      </c>
      <c r="E2773" s="11" t="str">
        <f>+HYPERLINK("http://trademark.i-assist.jp/data/china/image_1926th/82606867.pdf","82606867")</f>
        <v>82606867</v>
      </c>
      <c r="F2773" s="9" t="s">
        <v>7577</v>
      </c>
      <c r="G2773" s="9" t="s">
        <v>7578</v>
      </c>
      <c r="H2773" s="12" t="s">
        <v>7579</v>
      </c>
      <c r="I2773" s="10">
        <v>45643</v>
      </c>
    </row>
    <row r="2774" spans="1:9" x14ac:dyDescent="0.15">
      <c r="A2774" s="9">
        <v>2773</v>
      </c>
      <c r="B2774" s="9" t="s">
        <v>9</v>
      </c>
      <c r="C2774" s="9">
        <v>1926</v>
      </c>
      <c r="D2774" s="10">
        <v>45722</v>
      </c>
      <c r="E2774" s="11" t="str">
        <f>+HYPERLINK("http://trademark.i-assist.jp/data/china/image_1926th/82607016.pdf","82607016")</f>
        <v>82607016</v>
      </c>
      <c r="F2774" s="9" t="s">
        <v>7580</v>
      </c>
      <c r="G2774" s="9" t="s">
        <v>7581</v>
      </c>
      <c r="H2774" s="9" t="s">
        <v>7582</v>
      </c>
      <c r="I2774" s="10">
        <v>45643</v>
      </c>
    </row>
    <row r="2775" spans="1:9" x14ac:dyDescent="0.15">
      <c r="A2775" s="9">
        <v>2774</v>
      </c>
      <c r="B2775" s="9" t="s">
        <v>9</v>
      </c>
      <c r="C2775" s="9">
        <v>1926</v>
      </c>
      <c r="D2775" s="10">
        <v>45722</v>
      </c>
      <c r="E2775" s="11" t="str">
        <f>+HYPERLINK("http://trademark.i-assist.jp/data/china/image_1926th/82607396.pdf","82607396")</f>
        <v>82607396</v>
      </c>
      <c r="F2775" s="9" t="s">
        <v>7583</v>
      </c>
      <c r="G2775" s="9" t="s">
        <v>7417</v>
      </c>
      <c r="H2775" s="9" t="s">
        <v>7584</v>
      </c>
      <c r="I2775" s="10">
        <v>45643</v>
      </c>
    </row>
    <row r="2776" spans="1:9" x14ac:dyDescent="0.15">
      <c r="A2776" s="9">
        <v>2775</v>
      </c>
      <c r="B2776" s="9" t="s">
        <v>9</v>
      </c>
      <c r="C2776" s="9">
        <v>1926</v>
      </c>
      <c r="D2776" s="10">
        <v>45722</v>
      </c>
      <c r="E2776" s="11" t="str">
        <f>+HYPERLINK("http://trademark.i-assist.jp/data/china/image_1926th/82607585.pdf","82607585")</f>
        <v>82607585</v>
      </c>
      <c r="F2776" s="12" t="s">
        <v>7585</v>
      </c>
      <c r="G2776" s="9" t="s">
        <v>7481</v>
      </c>
      <c r="H2776" s="9" t="s">
        <v>7586</v>
      </c>
      <c r="I2776" s="10">
        <v>45643</v>
      </c>
    </row>
    <row r="2777" spans="1:9" x14ac:dyDescent="0.15">
      <c r="A2777" s="9">
        <v>2776</v>
      </c>
      <c r="B2777" s="9" t="s">
        <v>9</v>
      </c>
      <c r="C2777" s="9">
        <v>1926</v>
      </c>
      <c r="D2777" s="10">
        <v>45722</v>
      </c>
      <c r="E2777" s="11" t="str">
        <f>+HYPERLINK("http://trademark.i-assist.jp/data/china/image_1926th/82607956.pdf","82607956")</f>
        <v>82607956</v>
      </c>
      <c r="F2777" s="9" t="s">
        <v>7587</v>
      </c>
      <c r="G2777" s="9" t="s">
        <v>7588</v>
      </c>
      <c r="H2777" s="9" t="s">
        <v>7589</v>
      </c>
      <c r="I2777" s="10">
        <v>45643</v>
      </c>
    </row>
    <row r="2778" spans="1:9" x14ac:dyDescent="0.15">
      <c r="A2778" s="9">
        <v>2777</v>
      </c>
      <c r="B2778" s="9" t="s">
        <v>9</v>
      </c>
      <c r="C2778" s="9">
        <v>1926</v>
      </c>
      <c r="D2778" s="10">
        <v>45722</v>
      </c>
      <c r="E2778" s="11" t="str">
        <f>+HYPERLINK("http://trademark.i-assist.jp/data/china/image_1926th/82608226.pdf","82608226")</f>
        <v>82608226</v>
      </c>
      <c r="F2778" s="12" t="s">
        <v>7590</v>
      </c>
      <c r="G2778" s="9" t="s">
        <v>7591</v>
      </c>
      <c r="H2778" s="9" t="s">
        <v>7592</v>
      </c>
      <c r="I2778" s="10">
        <v>45643</v>
      </c>
    </row>
    <row r="2779" spans="1:9" x14ac:dyDescent="0.15">
      <c r="A2779" s="9">
        <v>2778</v>
      </c>
      <c r="B2779" s="9" t="s">
        <v>9</v>
      </c>
      <c r="C2779" s="9">
        <v>1926</v>
      </c>
      <c r="D2779" s="10">
        <v>45722</v>
      </c>
      <c r="E2779" s="11" t="str">
        <f>+HYPERLINK("http://trademark.i-assist.jp/data/china/image_1926th/82609143.pdf","82609143")</f>
        <v>82609143</v>
      </c>
      <c r="F2779" s="12" t="s">
        <v>7593</v>
      </c>
      <c r="G2779" s="12" t="s">
        <v>7428</v>
      </c>
      <c r="H2779" s="9" t="s">
        <v>7594</v>
      </c>
      <c r="I2779" s="10">
        <v>45643</v>
      </c>
    </row>
    <row r="2780" spans="1:9" x14ac:dyDescent="0.15">
      <c r="A2780" s="9">
        <v>2779</v>
      </c>
      <c r="B2780" s="9" t="s">
        <v>9</v>
      </c>
      <c r="C2780" s="9">
        <v>1926</v>
      </c>
      <c r="D2780" s="10">
        <v>45722</v>
      </c>
      <c r="E2780" s="11" t="str">
        <f>+HYPERLINK("http://trademark.i-assist.jp/data/china/image_1926th/82610402.pdf","82610402")</f>
        <v>82610402</v>
      </c>
      <c r="F2780" s="9" t="s">
        <v>7595</v>
      </c>
      <c r="G2780" s="9" t="s">
        <v>7596</v>
      </c>
      <c r="H2780" s="9" t="s">
        <v>7597</v>
      </c>
      <c r="I2780" s="10">
        <v>45643</v>
      </c>
    </row>
    <row r="2781" spans="1:9" x14ac:dyDescent="0.15">
      <c r="A2781" s="9">
        <v>2780</v>
      </c>
      <c r="B2781" s="9" t="s">
        <v>9</v>
      </c>
      <c r="C2781" s="9">
        <v>1926</v>
      </c>
      <c r="D2781" s="10">
        <v>45722</v>
      </c>
      <c r="E2781" s="11" t="str">
        <f>+HYPERLINK("http://trademark.i-assist.jp/data/china/image_1926th/82611085.pdf","82611085")</f>
        <v>82611085</v>
      </c>
      <c r="F2781" s="9" t="s">
        <v>7598</v>
      </c>
      <c r="G2781" s="12" t="s">
        <v>7493</v>
      </c>
      <c r="H2781" s="9" t="s">
        <v>7599</v>
      </c>
      <c r="I2781" s="10">
        <v>45643</v>
      </c>
    </row>
    <row r="2782" spans="1:9" x14ac:dyDescent="0.15">
      <c r="A2782" s="9">
        <v>2781</v>
      </c>
      <c r="B2782" s="9" t="s">
        <v>9</v>
      </c>
      <c r="C2782" s="9">
        <v>1926</v>
      </c>
      <c r="D2782" s="10">
        <v>45722</v>
      </c>
      <c r="E2782" s="11" t="str">
        <f>+HYPERLINK("http://trademark.i-assist.jp/data/china/image_1926th/82611136.pdf","82611136")</f>
        <v>82611136</v>
      </c>
      <c r="F2782" s="9" t="s">
        <v>7600</v>
      </c>
      <c r="G2782" s="12" t="s">
        <v>7448</v>
      </c>
      <c r="H2782" s="9" t="s">
        <v>7601</v>
      </c>
      <c r="I2782" s="10">
        <v>45643</v>
      </c>
    </row>
    <row r="2783" spans="1:9" x14ac:dyDescent="0.15">
      <c r="A2783" s="9">
        <v>2782</v>
      </c>
      <c r="B2783" s="9" t="s">
        <v>9</v>
      </c>
      <c r="C2783" s="9">
        <v>1926</v>
      </c>
      <c r="D2783" s="10">
        <v>45722</v>
      </c>
      <c r="E2783" s="11" t="str">
        <f>+HYPERLINK("http://trademark.i-assist.jp/data/china/image_1926th/82611758.pdf","82611758")</f>
        <v>82611758</v>
      </c>
      <c r="F2783" s="9" t="s">
        <v>7602</v>
      </c>
      <c r="G2783" s="9" t="s">
        <v>7603</v>
      </c>
      <c r="H2783" s="9" t="s">
        <v>7604</v>
      </c>
      <c r="I2783" s="10">
        <v>45644</v>
      </c>
    </row>
    <row r="2784" spans="1:9" x14ac:dyDescent="0.15">
      <c r="A2784" s="9">
        <v>2783</v>
      </c>
      <c r="B2784" s="9" t="s">
        <v>9</v>
      </c>
      <c r="C2784" s="9">
        <v>1926</v>
      </c>
      <c r="D2784" s="10">
        <v>45722</v>
      </c>
      <c r="E2784" s="11" t="str">
        <f>+HYPERLINK("http://trademark.i-assist.jp/data/china/image_1926th/82612963.pdf","82612963")</f>
        <v>82612963</v>
      </c>
      <c r="F2784" s="9" t="s">
        <v>7605</v>
      </c>
      <c r="G2784" s="9" t="s">
        <v>7606</v>
      </c>
      <c r="H2784" s="9" t="s">
        <v>7607</v>
      </c>
      <c r="I2784" s="10">
        <v>45644</v>
      </c>
    </row>
    <row r="2785" spans="1:9" x14ac:dyDescent="0.15">
      <c r="A2785" s="9">
        <v>2784</v>
      </c>
      <c r="B2785" s="9" t="s">
        <v>9</v>
      </c>
      <c r="C2785" s="9">
        <v>1926</v>
      </c>
      <c r="D2785" s="10">
        <v>45722</v>
      </c>
      <c r="E2785" s="11" t="str">
        <f>+HYPERLINK("http://trademark.i-assist.jp/data/china/image_1926th/82613108.pdf","82613108")</f>
        <v>82613108</v>
      </c>
      <c r="F2785" s="9" t="s">
        <v>7608</v>
      </c>
      <c r="G2785" s="9" t="s">
        <v>7609</v>
      </c>
      <c r="H2785" s="9" t="s">
        <v>7610</v>
      </c>
      <c r="I2785" s="10">
        <v>45644</v>
      </c>
    </row>
    <row r="2786" spans="1:9" x14ac:dyDescent="0.15">
      <c r="A2786" s="9">
        <v>2785</v>
      </c>
      <c r="B2786" s="9" t="s">
        <v>9</v>
      </c>
      <c r="C2786" s="9">
        <v>1926</v>
      </c>
      <c r="D2786" s="10">
        <v>45722</v>
      </c>
      <c r="E2786" s="11" t="str">
        <f>+HYPERLINK("http://trademark.i-assist.jp/data/china/image_1926th/82614002.pdf","82614002")</f>
        <v>82614002</v>
      </c>
      <c r="F2786" s="9" t="s">
        <v>7611</v>
      </c>
      <c r="G2786" s="9" t="s">
        <v>7612</v>
      </c>
      <c r="H2786" s="9" t="s">
        <v>7613</v>
      </c>
      <c r="I2786" s="10">
        <v>45644</v>
      </c>
    </row>
    <row r="2787" spans="1:9" x14ac:dyDescent="0.15">
      <c r="A2787" s="9">
        <v>2786</v>
      </c>
      <c r="B2787" s="9" t="s">
        <v>9</v>
      </c>
      <c r="C2787" s="9">
        <v>1926</v>
      </c>
      <c r="D2787" s="10">
        <v>45722</v>
      </c>
      <c r="E2787" s="11" t="str">
        <f>+HYPERLINK("http://trademark.i-assist.jp/data/china/image_1926th/82614411.pdf","82614411")</f>
        <v>82614411</v>
      </c>
      <c r="F2787" s="9" t="s">
        <v>7614</v>
      </c>
      <c r="G2787" s="12" t="s">
        <v>7615</v>
      </c>
      <c r="H2787" s="9" t="s">
        <v>7616</v>
      </c>
      <c r="I2787" s="10">
        <v>45644</v>
      </c>
    </row>
    <row r="2788" spans="1:9" x14ac:dyDescent="0.15">
      <c r="A2788" s="9">
        <v>2787</v>
      </c>
      <c r="B2788" s="9" t="s">
        <v>9</v>
      </c>
      <c r="C2788" s="9">
        <v>1926</v>
      </c>
      <c r="D2788" s="10">
        <v>45722</v>
      </c>
      <c r="E2788" s="11" t="str">
        <f>+HYPERLINK("http://trademark.i-assist.jp/data/china/image_1926th/82614579.pdf","82614579")</f>
        <v>82614579</v>
      </c>
      <c r="F2788" s="9" t="s">
        <v>7617</v>
      </c>
      <c r="G2788" s="9" t="s">
        <v>7618</v>
      </c>
      <c r="H2788" s="9" t="s">
        <v>7619</v>
      </c>
      <c r="I2788" s="10">
        <v>45644</v>
      </c>
    </row>
    <row r="2789" spans="1:9" x14ac:dyDescent="0.15">
      <c r="A2789" s="9">
        <v>2788</v>
      </c>
      <c r="B2789" s="9" t="s">
        <v>9</v>
      </c>
      <c r="C2789" s="9">
        <v>1926</v>
      </c>
      <c r="D2789" s="10">
        <v>45722</v>
      </c>
      <c r="E2789" s="11" t="str">
        <f>+HYPERLINK("http://trademark.i-assist.jp/data/china/image_1926th/82614762.pdf","82614762")</f>
        <v>82614762</v>
      </c>
      <c r="F2789" s="12" t="s">
        <v>7620</v>
      </c>
      <c r="G2789" s="12" t="s">
        <v>7621</v>
      </c>
      <c r="H2789" s="9" t="s">
        <v>7622</v>
      </c>
      <c r="I2789" s="10">
        <v>45644</v>
      </c>
    </row>
    <row r="2790" spans="1:9" x14ac:dyDescent="0.15">
      <c r="A2790" s="9">
        <v>2789</v>
      </c>
      <c r="B2790" s="9" t="s">
        <v>9</v>
      </c>
      <c r="C2790" s="9">
        <v>1926</v>
      </c>
      <c r="D2790" s="10">
        <v>45722</v>
      </c>
      <c r="E2790" s="11" t="str">
        <f>+HYPERLINK("http://trademark.i-assist.jp/data/china/image_1926th/82615020.pdf","82615020")</f>
        <v>82615020</v>
      </c>
      <c r="F2790" s="9" t="s">
        <v>7623</v>
      </c>
      <c r="G2790" s="12" t="s">
        <v>7624</v>
      </c>
      <c r="H2790" s="12" t="s">
        <v>7625</v>
      </c>
      <c r="I2790" s="10">
        <v>45644</v>
      </c>
    </row>
    <row r="2791" spans="1:9" x14ac:dyDescent="0.15">
      <c r="A2791" s="9">
        <v>2790</v>
      </c>
      <c r="B2791" s="9" t="s">
        <v>9</v>
      </c>
      <c r="C2791" s="9">
        <v>1926</v>
      </c>
      <c r="D2791" s="10">
        <v>45722</v>
      </c>
      <c r="E2791" s="11" t="str">
        <f>+HYPERLINK("http://trademark.i-assist.jp/data/china/image_1926th/82615269.pdf","82615269")</f>
        <v>82615269</v>
      </c>
      <c r="F2791" s="9" t="s">
        <v>7626</v>
      </c>
      <c r="G2791" s="9" t="s">
        <v>7627</v>
      </c>
      <c r="H2791" s="9" t="s">
        <v>7628</v>
      </c>
      <c r="I2791" s="10">
        <v>45644</v>
      </c>
    </row>
    <row r="2792" spans="1:9" x14ac:dyDescent="0.15">
      <c r="A2792" s="9">
        <v>2791</v>
      </c>
      <c r="B2792" s="9" t="s">
        <v>9</v>
      </c>
      <c r="C2792" s="9">
        <v>1926</v>
      </c>
      <c r="D2792" s="10">
        <v>45722</v>
      </c>
      <c r="E2792" s="11" t="str">
        <f>+HYPERLINK("http://trademark.i-assist.jp/data/china/image_1926th/82615877.pdf","82615877")</f>
        <v>82615877</v>
      </c>
      <c r="F2792" s="12" t="s">
        <v>7629</v>
      </c>
      <c r="G2792" s="9" t="s">
        <v>7630</v>
      </c>
      <c r="H2792" s="9" t="s">
        <v>7631</v>
      </c>
      <c r="I2792" s="10">
        <v>45644</v>
      </c>
    </row>
    <row r="2793" spans="1:9" x14ac:dyDescent="0.15">
      <c r="A2793" s="9">
        <v>2792</v>
      </c>
      <c r="B2793" s="9" t="s">
        <v>9</v>
      </c>
      <c r="C2793" s="9">
        <v>1926</v>
      </c>
      <c r="D2793" s="10">
        <v>45722</v>
      </c>
      <c r="E2793" s="11" t="str">
        <f>+HYPERLINK("http://trademark.i-assist.jp/data/china/image_1926th/82616312.pdf","82616312")</f>
        <v>82616312</v>
      </c>
      <c r="F2793" s="9" t="s">
        <v>7632</v>
      </c>
      <c r="G2793" s="9" t="s">
        <v>7633</v>
      </c>
      <c r="H2793" s="9" t="s">
        <v>7634</v>
      </c>
      <c r="I2793" s="10">
        <v>45644</v>
      </c>
    </row>
    <row r="2794" spans="1:9" x14ac:dyDescent="0.15">
      <c r="A2794" s="9">
        <v>2793</v>
      </c>
      <c r="B2794" s="9" t="s">
        <v>9</v>
      </c>
      <c r="C2794" s="9">
        <v>1926</v>
      </c>
      <c r="D2794" s="10">
        <v>45722</v>
      </c>
      <c r="E2794" s="11" t="str">
        <f>+HYPERLINK("http://trademark.i-assist.jp/data/china/image_1926th/82616849.pdf","82616849")</f>
        <v>82616849</v>
      </c>
      <c r="F2794" s="9" t="s">
        <v>7635</v>
      </c>
      <c r="G2794" s="9" t="s">
        <v>7636</v>
      </c>
      <c r="H2794" s="9" t="s">
        <v>7637</v>
      </c>
      <c r="I2794" s="10">
        <v>45644</v>
      </c>
    </row>
    <row r="2795" spans="1:9" x14ac:dyDescent="0.15">
      <c r="A2795" s="9">
        <v>2794</v>
      </c>
      <c r="B2795" s="9" t="s">
        <v>9</v>
      </c>
      <c r="C2795" s="9">
        <v>1926</v>
      </c>
      <c r="D2795" s="10">
        <v>45722</v>
      </c>
      <c r="E2795" s="11" t="str">
        <f>+HYPERLINK("http://trademark.i-assist.jp/data/china/image_1926th/82616912.pdf","82616912")</f>
        <v>82616912</v>
      </c>
      <c r="F2795" s="9" t="s">
        <v>7638</v>
      </c>
      <c r="G2795" s="9" t="s">
        <v>7603</v>
      </c>
      <c r="H2795" s="9" t="s">
        <v>7639</v>
      </c>
      <c r="I2795" s="10">
        <v>45644</v>
      </c>
    </row>
    <row r="2796" spans="1:9" x14ac:dyDescent="0.15">
      <c r="A2796" s="9">
        <v>2795</v>
      </c>
      <c r="B2796" s="9" t="s">
        <v>9</v>
      </c>
      <c r="C2796" s="9">
        <v>1926</v>
      </c>
      <c r="D2796" s="10">
        <v>45722</v>
      </c>
      <c r="E2796" s="11" t="str">
        <f>+HYPERLINK("http://trademark.i-assist.jp/data/china/image_1926th/82618209.pdf","82618209")</f>
        <v>82618209</v>
      </c>
      <c r="F2796" s="9" t="s">
        <v>7640</v>
      </c>
      <c r="G2796" s="9" t="s">
        <v>7641</v>
      </c>
      <c r="H2796" s="12" t="s">
        <v>7642</v>
      </c>
      <c r="I2796" s="10">
        <v>45644</v>
      </c>
    </row>
    <row r="2797" spans="1:9" x14ac:dyDescent="0.15">
      <c r="A2797" s="9">
        <v>2796</v>
      </c>
      <c r="B2797" s="9" t="s">
        <v>9</v>
      </c>
      <c r="C2797" s="9">
        <v>1926</v>
      </c>
      <c r="D2797" s="10">
        <v>45722</v>
      </c>
      <c r="E2797" s="11" t="str">
        <f>+HYPERLINK("http://trademark.i-assist.jp/data/china/image_1926th/82618748.pdf","82618748")</f>
        <v>82618748</v>
      </c>
      <c r="F2797" s="9" t="s">
        <v>7643</v>
      </c>
      <c r="G2797" s="9" t="s">
        <v>7644</v>
      </c>
      <c r="H2797" s="9" t="s">
        <v>7645</v>
      </c>
      <c r="I2797" s="10">
        <v>45644</v>
      </c>
    </row>
    <row r="2798" spans="1:9" x14ac:dyDescent="0.15">
      <c r="A2798" s="9">
        <v>2797</v>
      </c>
      <c r="B2798" s="9" t="s">
        <v>9</v>
      </c>
      <c r="C2798" s="9">
        <v>1926</v>
      </c>
      <c r="D2798" s="10">
        <v>45722</v>
      </c>
      <c r="E2798" s="11" t="str">
        <f>+HYPERLINK("http://trademark.i-assist.jp/data/china/image_1926th/82618966.pdf","82618966")</f>
        <v>82618966</v>
      </c>
      <c r="F2798" s="9" t="s">
        <v>7646</v>
      </c>
      <c r="G2798" s="9" t="s">
        <v>7636</v>
      </c>
      <c r="H2798" s="9" t="s">
        <v>7647</v>
      </c>
      <c r="I2798" s="10">
        <v>45644</v>
      </c>
    </row>
    <row r="2799" spans="1:9" x14ac:dyDescent="0.15">
      <c r="A2799" s="9">
        <v>2798</v>
      </c>
      <c r="B2799" s="9" t="s">
        <v>9</v>
      </c>
      <c r="C2799" s="9">
        <v>1926</v>
      </c>
      <c r="D2799" s="10">
        <v>45722</v>
      </c>
      <c r="E2799" s="11" t="str">
        <f>+HYPERLINK("http://trademark.i-assist.jp/data/china/image_1926th/82620583.pdf","82620583")</f>
        <v>82620583</v>
      </c>
      <c r="F2799" s="12" t="s">
        <v>7648</v>
      </c>
      <c r="G2799" s="9" t="s">
        <v>7015</v>
      </c>
      <c r="H2799" s="9" t="s">
        <v>7649</v>
      </c>
      <c r="I2799" s="10">
        <v>45644</v>
      </c>
    </row>
    <row r="2800" spans="1:9" x14ac:dyDescent="0.15">
      <c r="A2800" s="9">
        <v>2799</v>
      </c>
      <c r="B2800" s="9" t="s">
        <v>9</v>
      </c>
      <c r="C2800" s="9">
        <v>1926</v>
      </c>
      <c r="D2800" s="10">
        <v>45722</v>
      </c>
      <c r="E2800" s="11" t="str">
        <f>+HYPERLINK("http://trademark.i-assist.jp/data/china/image_1926th/82620670.pdf","82620670")</f>
        <v>82620670</v>
      </c>
      <c r="F2800" s="12" t="s">
        <v>7650</v>
      </c>
      <c r="G2800" s="9" t="s">
        <v>7651</v>
      </c>
      <c r="H2800" s="9" t="s">
        <v>7652</v>
      </c>
      <c r="I2800" s="10">
        <v>45644</v>
      </c>
    </row>
    <row r="2801" spans="1:9" x14ac:dyDescent="0.15">
      <c r="A2801" s="9">
        <v>2800</v>
      </c>
      <c r="B2801" s="9" t="s">
        <v>9</v>
      </c>
      <c r="C2801" s="9">
        <v>1926</v>
      </c>
      <c r="D2801" s="10">
        <v>45722</v>
      </c>
      <c r="E2801" s="11" t="str">
        <f>+HYPERLINK("http://trademark.i-assist.jp/data/china/image_1926th/82620935.pdf","82620935")</f>
        <v>82620935</v>
      </c>
      <c r="F2801" s="9" t="s">
        <v>7653</v>
      </c>
      <c r="G2801" s="9" t="s">
        <v>7654</v>
      </c>
      <c r="H2801" s="9" t="s">
        <v>7655</v>
      </c>
      <c r="I2801" s="10">
        <v>45644</v>
      </c>
    </row>
    <row r="2802" spans="1:9" x14ac:dyDescent="0.15">
      <c r="A2802" s="9">
        <v>2801</v>
      </c>
      <c r="B2802" s="9" t="s">
        <v>9</v>
      </c>
      <c r="C2802" s="9">
        <v>1926</v>
      </c>
      <c r="D2802" s="10">
        <v>45722</v>
      </c>
      <c r="E2802" s="11" t="str">
        <f>+HYPERLINK("http://trademark.i-assist.jp/data/china/image_1926th/82622820.pdf","82622820")</f>
        <v>82622820</v>
      </c>
      <c r="F2802" s="9" t="s">
        <v>7656</v>
      </c>
      <c r="G2802" s="9" t="s">
        <v>7606</v>
      </c>
      <c r="H2802" s="9" t="s">
        <v>7657</v>
      </c>
      <c r="I2802" s="10">
        <v>45644</v>
      </c>
    </row>
    <row r="2803" spans="1:9" x14ac:dyDescent="0.15">
      <c r="A2803" s="9">
        <v>2802</v>
      </c>
      <c r="B2803" s="9" t="s">
        <v>9</v>
      </c>
      <c r="C2803" s="9">
        <v>1926</v>
      </c>
      <c r="D2803" s="10">
        <v>45722</v>
      </c>
      <c r="E2803" s="11" t="str">
        <f>+HYPERLINK("http://trademark.i-assist.jp/data/china/image_1926th/82622841.pdf","82622841")</f>
        <v>82622841</v>
      </c>
      <c r="F2803" s="9" t="s">
        <v>7658</v>
      </c>
      <c r="G2803" s="9" t="s">
        <v>7606</v>
      </c>
      <c r="H2803" s="9" t="s">
        <v>7659</v>
      </c>
      <c r="I2803" s="10">
        <v>45644</v>
      </c>
    </row>
    <row r="2804" spans="1:9" x14ac:dyDescent="0.15">
      <c r="A2804" s="9">
        <v>2803</v>
      </c>
      <c r="B2804" s="9" t="s">
        <v>9</v>
      </c>
      <c r="C2804" s="9">
        <v>1926</v>
      </c>
      <c r="D2804" s="10">
        <v>45722</v>
      </c>
      <c r="E2804" s="11" t="str">
        <f>+HYPERLINK("http://trademark.i-assist.jp/data/china/image_1926th/82623555.pdf","82623555")</f>
        <v>82623555</v>
      </c>
      <c r="F2804" s="12" t="s">
        <v>7660</v>
      </c>
      <c r="G2804" s="12" t="s">
        <v>7661</v>
      </c>
      <c r="H2804" s="9" t="s">
        <v>7662</v>
      </c>
      <c r="I2804" s="10">
        <v>45644</v>
      </c>
    </row>
    <row r="2805" spans="1:9" x14ac:dyDescent="0.15">
      <c r="A2805" s="9">
        <v>2804</v>
      </c>
      <c r="B2805" s="9" t="s">
        <v>9</v>
      </c>
      <c r="C2805" s="9">
        <v>1926</v>
      </c>
      <c r="D2805" s="10">
        <v>45722</v>
      </c>
      <c r="E2805" s="11" t="str">
        <f>+HYPERLINK("http://trademark.i-assist.jp/data/china/image_1926th/82623771.pdf","82623771")</f>
        <v>82623771</v>
      </c>
      <c r="F2805" s="12" t="s">
        <v>7663</v>
      </c>
      <c r="G2805" s="9" t="s">
        <v>4033</v>
      </c>
      <c r="H2805" s="9" t="s">
        <v>7664</v>
      </c>
      <c r="I2805" s="10">
        <v>45644</v>
      </c>
    </row>
    <row r="2806" spans="1:9" x14ac:dyDescent="0.15">
      <c r="A2806" s="9">
        <v>2805</v>
      </c>
      <c r="B2806" s="9" t="s">
        <v>9</v>
      </c>
      <c r="C2806" s="9">
        <v>1926</v>
      </c>
      <c r="D2806" s="10">
        <v>45722</v>
      </c>
      <c r="E2806" s="11" t="str">
        <f>+HYPERLINK("http://trademark.i-assist.jp/data/china/image_1926th/82624650.pdf","82624650")</f>
        <v>82624650</v>
      </c>
      <c r="F2806" s="12" t="s">
        <v>7665</v>
      </c>
      <c r="G2806" s="9" t="s">
        <v>7666</v>
      </c>
      <c r="H2806" s="9" t="s">
        <v>7667</v>
      </c>
      <c r="I2806" s="10">
        <v>45644</v>
      </c>
    </row>
    <row r="2807" spans="1:9" x14ac:dyDescent="0.15">
      <c r="A2807" s="9">
        <v>2806</v>
      </c>
      <c r="B2807" s="9" t="s">
        <v>9</v>
      </c>
      <c r="C2807" s="9">
        <v>1926</v>
      </c>
      <c r="D2807" s="10">
        <v>45722</v>
      </c>
      <c r="E2807" s="11" t="str">
        <f>+HYPERLINK("http://trademark.i-assist.jp/data/china/image_1926th/82626533.pdf","82626533")</f>
        <v>82626533</v>
      </c>
      <c r="F2807" s="9" t="s">
        <v>7668</v>
      </c>
      <c r="G2807" s="9" t="s">
        <v>7606</v>
      </c>
      <c r="H2807" s="9" t="s">
        <v>7669</v>
      </c>
      <c r="I2807" s="10">
        <v>45644</v>
      </c>
    </row>
    <row r="2808" spans="1:9" x14ac:dyDescent="0.15">
      <c r="A2808" s="9">
        <v>2807</v>
      </c>
      <c r="B2808" s="9" t="s">
        <v>9</v>
      </c>
      <c r="C2808" s="9">
        <v>1926</v>
      </c>
      <c r="D2808" s="10">
        <v>45722</v>
      </c>
      <c r="E2808" s="11" t="str">
        <f>+HYPERLINK("http://trademark.i-assist.jp/data/china/image_1926th/82627211.pdf","82627211")</f>
        <v>82627211</v>
      </c>
      <c r="F2808" s="9" t="s">
        <v>7670</v>
      </c>
      <c r="G2808" s="9" t="s">
        <v>7671</v>
      </c>
      <c r="H2808" s="9" t="s">
        <v>7672</v>
      </c>
      <c r="I2808" s="10">
        <v>45644</v>
      </c>
    </row>
    <row r="2809" spans="1:9" x14ac:dyDescent="0.15">
      <c r="A2809" s="9">
        <v>2808</v>
      </c>
      <c r="B2809" s="9" t="s">
        <v>9</v>
      </c>
      <c r="C2809" s="9">
        <v>1926</v>
      </c>
      <c r="D2809" s="10">
        <v>45722</v>
      </c>
      <c r="E2809" s="11" t="str">
        <f>+HYPERLINK("http://trademark.i-assist.jp/data/china/image_1926th/82627495.pdf","82627495")</f>
        <v>82627495</v>
      </c>
      <c r="F2809" s="9" t="s">
        <v>7673</v>
      </c>
      <c r="G2809" s="9" t="s">
        <v>7674</v>
      </c>
      <c r="H2809" s="9" t="s">
        <v>7675</v>
      </c>
      <c r="I2809" s="10">
        <v>45644</v>
      </c>
    </row>
    <row r="2810" spans="1:9" x14ac:dyDescent="0.15">
      <c r="A2810" s="9">
        <v>2809</v>
      </c>
      <c r="B2810" s="9" t="s">
        <v>9</v>
      </c>
      <c r="C2810" s="9">
        <v>1926</v>
      </c>
      <c r="D2810" s="10">
        <v>45722</v>
      </c>
      <c r="E2810" s="11" t="str">
        <f>+HYPERLINK("http://trademark.i-assist.jp/data/china/image_1926th/82627664.pdf","82627664")</f>
        <v>82627664</v>
      </c>
      <c r="F2810" s="9" t="s">
        <v>7676</v>
      </c>
      <c r="G2810" s="9" t="s">
        <v>7677</v>
      </c>
      <c r="H2810" s="12" t="s">
        <v>7678</v>
      </c>
      <c r="I2810" s="10">
        <v>45644</v>
      </c>
    </row>
    <row r="2811" spans="1:9" x14ac:dyDescent="0.15">
      <c r="A2811" s="9">
        <v>2810</v>
      </c>
      <c r="B2811" s="9" t="s">
        <v>9</v>
      </c>
      <c r="C2811" s="9">
        <v>1926</v>
      </c>
      <c r="D2811" s="10">
        <v>45722</v>
      </c>
      <c r="E2811" s="11" t="str">
        <f>+HYPERLINK("http://trademark.i-assist.jp/data/china/image_1926th/82628799.pdf","82628799")</f>
        <v>82628799</v>
      </c>
      <c r="F2811" s="12" t="s">
        <v>7679</v>
      </c>
      <c r="G2811" s="9" t="s">
        <v>7680</v>
      </c>
      <c r="H2811" s="9" t="s">
        <v>7681</v>
      </c>
      <c r="I2811" s="10">
        <v>45644</v>
      </c>
    </row>
    <row r="2812" spans="1:9" x14ac:dyDescent="0.15">
      <c r="A2812" s="9">
        <v>2811</v>
      </c>
      <c r="B2812" s="9" t="s">
        <v>9</v>
      </c>
      <c r="C2812" s="9">
        <v>1926</v>
      </c>
      <c r="D2812" s="10">
        <v>45722</v>
      </c>
      <c r="E2812" s="11" t="str">
        <f>+HYPERLINK("http://trademark.i-assist.jp/data/china/image_1926th/82629687.pdf","82629687")</f>
        <v>82629687</v>
      </c>
      <c r="F2812" s="9" t="s">
        <v>7682</v>
      </c>
      <c r="G2812" s="12" t="s">
        <v>7683</v>
      </c>
      <c r="H2812" s="9" t="s">
        <v>7684</v>
      </c>
      <c r="I2812" s="10">
        <v>45644</v>
      </c>
    </row>
    <row r="2813" spans="1:9" x14ac:dyDescent="0.15">
      <c r="A2813" s="9">
        <v>2812</v>
      </c>
      <c r="B2813" s="9" t="s">
        <v>9</v>
      </c>
      <c r="C2813" s="9">
        <v>1926</v>
      </c>
      <c r="D2813" s="10">
        <v>45722</v>
      </c>
      <c r="E2813" s="11" t="str">
        <f>+HYPERLINK("http://trademark.i-assist.jp/data/china/image_1926th/82630315.pdf","82630315")</f>
        <v>82630315</v>
      </c>
      <c r="F2813" s="9" t="s">
        <v>7685</v>
      </c>
      <c r="G2813" s="9" t="s">
        <v>7686</v>
      </c>
      <c r="H2813" s="9" t="s">
        <v>7687</v>
      </c>
      <c r="I2813" s="10">
        <v>45644</v>
      </c>
    </row>
    <row r="2814" spans="1:9" x14ac:dyDescent="0.15">
      <c r="A2814" s="9">
        <v>2813</v>
      </c>
      <c r="B2814" s="9" t="s">
        <v>9</v>
      </c>
      <c r="C2814" s="9">
        <v>1926</v>
      </c>
      <c r="D2814" s="10">
        <v>45722</v>
      </c>
      <c r="E2814" s="11" t="str">
        <f>+HYPERLINK("http://trademark.i-assist.jp/data/china/image_1926th/82631297.pdf","82631297")</f>
        <v>82631297</v>
      </c>
      <c r="F2814" s="12" t="s">
        <v>20</v>
      </c>
      <c r="G2814" s="9" t="s">
        <v>7688</v>
      </c>
      <c r="H2814" s="9" t="s">
        <v>7689</v>
      </c>
      <c r="I2814" s="10">
        <v>45644</v>
      </c>
    </row>
    <row r="2815" spans="1:9" x14ac:dyDescent="0.15">
      <c r="A2815" s="9">
        <v>2814</v>
      </c>
      <c r="B2815" s="9" t="s">
        <v>9</v>
      </c>
      <c r="C2815" s="9">
        <v>1926</v>
      </c>
      <c r="D2815" s="10">
        <v>45722</v>
      </c>
      <c r="E2815" s="11" t="str">
        <f>+HYPERLINK("http://trademark.i-assist.jp/data/china/image_1926th/82631465.pdf","82631465")</f>
        <v>82631465</v>
      </c>
      <c r="F2815" s="12" t="s">
        <v>7690</v>
      </c>
      <c r="G2815" s="9" t="s">
        <v>93</v>
      </c>
      <c r="H2815" s="9" t="s">
        <v>7691</v>
      </c>
      <c r="I2815" s="10">
        <v>45644</v>
      </c>
    </row>
    <row r="2816" spans="1:9" x14ac:dyDescent="0.15">
      <c r="A2816" s="9">
        <v>2815</v>
      </c>
      <c r="B2816" s="9" t="s">
        <v>9</v>
      </c>
      <c r="C2816" s="9">
        <v>1926</v>
      </c>
      <c r="D2816" s="10">
        <v>45722</v>
      </c>
      <c r="E2816" s="11" t="str">
        <f>+HYPERLINK("http://trademark.i-assist.jp/data/china/image_1926th/82632768.pdf","82632768")</f>
        <v>82632768</v>
      </c>
      <c r="F2816" s="9" t="s">
        <v>7692</v>
      </c>
      <c r="G2816" s="9" t="s">
        <v>7693</v>
      </c>
      <c r="H2816" s="9" t="s">
        <v>7694</v>
      </c>
      <c r="I2816" s="10">
        <v>45644</v>
      </c>
    </row>
    <row r="2817" spans="1:9" x14ac:dyDescent="0.15">
      <c r="A2817" s="9">
        <v>2816</v>
      </c>
      <c r="B2817" s="9" t="s">
        <v>9</v>
      </c>
      <c r="C2817" s="9">
        <v>1926</v>
      </c>
      <c r="D2817" s="10">
        <v>45722</v>
      </c>
      <c r="E2817" s="11" t="str">
        <f>+HYPERLINK("http://trademark.i-assist.jp/data/china/image_1926th/82633085.pdf","82633085")</f>
        <v>82633085</v>
      </c>
      <c r="F2817" s="9" t="s">
        <v>7695</v>
      </c>
      <c r="G2817" s="9" t="s">
        <v>7696</v>
      </c>
      <c r="H2817" s="9" t="s">
        <v>7697</v>
      </c>
      <c r="I2817" s="10">
        <v>45644</v>
      </c>
    </row>
    <row r="2818" spans="1:9" x14ac:dyDescent="0.15">
      <c r="A2818" s="9">
        <v>2817</v>
      </c>
      <c r="B2818" s="9" t="s">
        <v>9</v>
      </c>
      <c r="C2818" s="9">
        <v>1926</v>
      </c>
      <c r="D2818" s="10">
        <v>45722</v>
      </c>
      <c r="E2818" s="11" t="str">
        <f>+HYPERLINK("http://trademark.i-assist.jp/data/china/image_1926th/82633230.pdf","82633230")</f>
        <v>82633230</v>
      </c>
      <c r="F2818" s="9" t="s">
        <v>7698</v>
      </c>
      <c r="G2818" s="9" t="s">
        <v>7699</v>
      </c>
      <c r="H2818" s="9" t="s">
        <v>7700</v>
      </c>
      <c r="I2818" s="10">
        <v>45644</v>
      </c>
    </row>
    <row r="2819" spans="1:9" x14ac:dyDescent="0.15">
      <c r="A2819" s="9">
        <v>2818</v>
      </c>
      <c r="B2819" s="9" t="s">
        <v>9</v>
      </c>
      <c r="C2819" s="9">
        <v>1926</v>
      </c>
      <c r="D2819" s="10">
        <v>45722</v>
      </c>
      <c r="E2819" s="11" t="str">
        <f>+HYPERLINK("http://trademark.i-assist.jp/data/china/image_1926th/82633863.pdf","82633863")</f>
        <v>82633863</v>
      </c>
      <c r="F2819" s="12" t="s">
        <v>7701</v>
      </c>
      <c r="G2819" s="9" t="s">
        <v>7702</v>
      </c>
      <c r="H2819" s="9" t="s">
        <v>7703</v>
      </c>
      <c r="I2819" s="10">
        <v>45644</v>
      </c>
    </row>
    <row r="2820" spans="1:9" x14ac:dyDescent="0.15">
      <c r="A2820" s="9">
        <v>2819</v>
      </c>
      <c r="B2820" s="9" t="s">
        <v>9</v>
      </c>
      <c r="C2820" s="9">
        <v>1926</v>
      </c>
      <c r="D2820" s="10">
        <v>45722</v>
      </c>
      <c r="E2820" s="11" t="str">
        <f>+HYPERLINK("http://trademark.i-assist.jp/data/china/image_1926th/82634422.pdf","82634422")</f>
        <v>82634422</v>
      </c>
      <c r="F2820" s="9" t="s">
        <v>7704</v>
      </c>
      <c r="G2820" s="9" t="s">
        <v>7705</v>
      </c>
      <c r="H2820" s="9" t="s">
        <v>7706</v>
      </c>
      <c r="I2820" s="10">
        <v>45644</v>
      </c>
    </row>
    <row r="2821" spans="1:9" x14ac:dyDescent="0.15">
      <c r="A2821" s="9">
        <v>2820</v>
      </c>
      <c r="B2821" s="9" t="s">
        <v>9</v>
      </c>
      <c r="C2821" s="9">
        <v>1926</v>
      </c>
      <c r="D2821" s="10">
        <v>45722</v>
      </c>
      <c r="E2821" s="11" t="str">
        <f>+HYPERLINK("http://trademark.i-assist.jp/data/china/image_1926th/82635399.pdf","82635399")</f>
        <v>82635399</v>
      </c>
      <c r="F2821" s="9" t="s">
        <v>7707</v>
      </c>
      <c r="G2821" s="9" t="s">
        <v>7708</v>
      </c>
      <c r="H2821" s="9" t="s">
        <v>7709</v>
      </c>
      <c r="I2821" s="10">
        <v>45644</v>
      </c>
    </row>
    <row r="2822" spans="1:9" x14ac:dyDescent="0.15">
      <c r="A2822" s="9">
        <v>2821</v>
      </c>
      <c r="B2822" s="9" t="s">
        <v>9</v>
      </c>
      <c r="C2822" s="9">
        <v>1926</v>
      </c>
      <c r="D2822" s="10">
        <v>45722</v>
      </c>
      <c r="E2822" s="11" t="str">
        <f>+HYPERLINK("http://trademark.i-assist.jp/data/china/image_1926th/82636047.pdf","82636047")</f>
        <v>82636047</v>
      </c>
      <c r="F2822" s="9" t="s">
        <v>7710</v>
      </c>
      <c r="G2822" s="9" t="s">
        <v>7711</v>
      </c>
      <c r="H2822" s="9" t="s">
        <v>7712</v>
      </c>
      <c r="I2822" s="10">
        <v>45644</v>
      </c>
    </row>
    <row r="2823" spans="1:9" x14ac:dyDescent="0.15">
      <c r="A2823" s="9">
        <v>2822</v>
      </c>
      <c r="B2823" s="9" t="s">
        <v>9</v>
      </c>
      <c r="C2823" s="9">
        <v>1926</v>
      </c>
      <c r="D2823" s="10">
        <v>45722</v>
      </c>
      <c r="E2823" s="11" t="str">
        <f>+HYPERLINK("http://trademark.i-assist.jp/data/china/image_1926th/82636126.pdf","82636126")</f>
        <v>82636126</v>
      </c>
      <c r="F2823" s="9" t="s">
        <v>7713</v>
      </c>
      <c r="G2823" s="9" t="s">
        <v>7606</v>
      </c>
      <c r="H2823" s="9" t="s">
        <v>7714</v>
      </c>
      <c r="I2823" s="10">
        <v>45644</v>
      </c>
    </row>
    <row r="2824" spans="1:9" x14ac:dyDescent="0.15">
      <c r="A2824" s="9">
        <v>2823</v>
      </c>
      <c r="B2824" s="9" t="s">
        <v>9</v>
      </c>
      <c r="C2824" s="9">
        <v>1926</v>
      </c>
      <c r="D2824" s="10">
        <v>45722</v>
      </c>
      <c r="E2824" s="11" t="str">
        <f>+HYPERLINK("http://trademark.i-assist.jp/data/china/image_1926th/82637564.pdf","82637564")</f>
        <v>82637564</v>
      </c>
      <c r="F2824" s="9" t="s">
        <v>7715</v>
      </c>
      <c r="G2824" s="9" t="s">
        <v>7716</v>
      </c>
      <c r="H2824" s="9" t="s">
        <v>7717</v>
      </c>
      <c r="I2824" s="10">
        <v>45645</v>
      </c>
    </row>
    <row r="2825" spans="1:9" x14ac:dyDescent="0.15">
      <c r="A2825" s="9">
        <v>2824</v>
      </c>
      <c r="B2825" s="9" t="s">
        <v>9</v>
      </c>
      <c r="C2825" s="9">
        <v>1926</v>
      </c>
      <c r="D2825" s="10">
        <v>45722</v>
      </c>
      <c r="E2825" s="11" t="str">
        <f>+HYPERLINK("http://trademark.i-assist.jp/data/china/image_1926th/82638068.pdf","82638068")</f>
        <v>82638068</v>
      </c>
      <c r="F2825" s="9" t="s">
        <v>7718</v>
      </c>
      <c r="G2825" s="9" t="s">
        <v>7719</v>
      </c>
      <c r="H2825" s="9" t="s">
        <v>7720</v>
      </c>
      <c r="I2825" s="10">
        <v>45645</v>
      </c>
    </row>
    <row r="2826" spans="1:9" x14ac:dyDescent="0.15">
      <c r="A2826" s="9">
        <v>2825</v>
      </c>
      <c r="B2826" s="9" t="s">
        <v>9</v>
      </c>
      <c r="C2826" s="9">
        <v>1926</v>
      </c>
      <c r="D2826" s="10">
        <v>45722</v>
      </c>
      <c r="E2826" s="11" t="str">
        <f>+HYPERLINK("http://trademark.i-assist.jp/data/china/image_1926th/82640997.pdf","82640997")</f>
        <v>82640997</v>
      </c>
      <c r="F2826" s="9" t="s">
        <v>7721</v>
      </c>
      <c r="G2826" s="9" t="s">
        <v>7722</v>
      </c>
      <c r="H2826" s="9" t="s">
        <v>7723</v>
      </c>
      <c r="I2826" s="10">
        <v>45645</v>
      </c>
    </row>
    <row r="2827" spans="1:9" x14ac:dyDescent="0.15">
      <c r="A2827" s="9">
        <v>2826</v>
      </c>
      <c r="B2827" s="9" t="s">
        <v>9</v>
      </c>
      <c r="C2827" s="9">
        <v>1926</v>
      </c>
      <c r="D2827" s="10">
        <v>45722</v>
      </c>
      <c r="E2827" s="11" t="str">
        <f>+HYPERLINK("http://trademark.i-assist.jp/data/china/image_1926th/82641523.pdf","82641523")</f>
        <v>82641523</v>
      </c>
      <c r="F2827" s="12" t="s">
        <v>20</v>
      </c>
      <c r="G2827" s="9" t="s">
        <v>7724</v>
      </c>
      <c r="H2827" s="9" t="s">
        <v>7725</v>
      </c>
      <c r="I2827" s="10">
        <v>45645</v>
      </c>
    </row>
    <row r="2828" spans="1:9" x14ac:dyDescent="0.15">
      <c r="A2828" s="9">
        <v>2827</v>
      </c>
      <c r="B2828" s="9" t="s">
        <v>9</v>
      </c>
      <c r="C2828" s="9">
        <v>1926</v>
      </c>
      <c r="D2828" s="10">
        <v>45722</v>
      </c>
      <c r="E2828" s="11" t="str">
        <f>+HYPERLINK("http://trademark.i-assist.jp/data/china/image_1926th/82641583.pdf","82641583")</f>
        <v>82641583</v>
      </c>
      <c r="F2828" s="9" t="s">
        <v>7726</v>
      </c>
      <c r="G2828" s="9" t="s">
        <v>7722</v>
      </c>
      <c r="H2828" s="9" t="s">
        <v>7727</v>
      </c>
      <c r="I2828" s="10">
        <v>45645</v>
      </c>
    </row>
    <row r="2829" spans="1:9" x14ac:dyDescent="0.15">
      <c r="A2829" s="9">
        <v>2828</v>
      </c>
      <c r="B2829" s="9" t="s">
        <v>9</v>
      </c>
      <c r="C2829" s="9">
        <v>1926</v>
      </c>
      <c r="D2829" s="10">
        <v>45722</v>
      </c>
      <c r="E2829" s="11" t="str">
        <f>+HYPERLINK("http://trademark.i-assist.jp/data/china/image_1926th/82644495.pdf","82644495")</f>
        <v>82644495</v>
      </c>
      <c r="F2829" s="9" t="s">
        <v>7728</v>
      </c>
      <c r="G2829" s="9" t="s">
        <v>7729</v>
      </c>
      <c r="H2829" s="9" t="s">
        <v>7730</v>
      </c>
      <c r="I2829" s="10">
        <v>45645</v>
      </c>
    </row>
    <row r="2830" spans="1:9" x14ac:dyDescent="0.15">
      <c r="A2830" s="9">
        <v>2829</v>
      </c>
      <c r="B2830" s="9" t="s">
        <v>9</v>
      </c>
      <c r="C2830" s="9">
        <v>1926</v>
      </c>
      <c r="D2830" s="10">
        <v>45722</v>
      </c>
      <c r="E2830" s="11" t="str">
        <f>+HYPERLINK("http://trademark.i-assist.jp/data/china/image_1926th/82647797.pdf","82647797")</f>
        <v>82647797</v>
      </c>
      <c r="F2830" s="9" t="s">
        <v>7731</v>
      </c>
      <c r="G2830" s="9" t="s">
        <v>7732</v>
      </c>
      <c r="H2830" s="9" t="s">
        <v>7733</v>
      </c>
      <c r="I2830" s="10">
        <v>45645</v>
      </c>
    </row>
    <row r="2831" spans="1:9" x14ac:dyDescent="0.15">
      <c r="A2831" s="9">
        <v>2830</v>
      </c>
      <c r="B2831" s="9" t="s">
        <v>9</v>
      </c>
      <c r="C2831" s="9">
        <v>1926</v>
      </c>
      <c r="D2831" s="10">
        <v>45722</v>
      </c>
      <c r="E2831" s="11" t="str">
        <f>+HYPERLINK("http://trademark.i-assist.jp/data/china/image_1926th/82648563.pdf","82648563")</f>
        <v>82648563</v>
      </c>
      <c r="F2831" s="9" t="s">
        <v>7734</v>
      </c>
      <c r="G2831" s="9" t="s">
        <v>7735</v>
      </c>
      <c r="H2831" s="9" t="s">
        <v>7736</v>
      </c>
      <c r="I2831" s="10">
        <v>45645</v>
      </c>
    </row>
    <row r="2832" spans="1:9" x14ac:dyDescent="0.15">
      <c r="A2832" s="9">
        <v>2831</v>
      </c>
      <c r="B2832" s="9" t="s">
        <v>9</v>
      </c>
      <c r="C2832" s="9">
        <v>1926</v>
      </c>
      <c r="D2832" s="10">
        <v>45722</v>
      </c>
      <c r="E2832" s="11" t="str">
        <f>+HYPERLINK("http://trademark.i-assist.jp/data/china/image_1926th/82651871.pdf","82651871")</f>
        <v>82651871</v>
      </c>
      <c r="F2832" s="9" t="s">
        <v>7737</v>
      </c>
      <c r="G2832" s="9" t="s">
        <v>5757</v>
      </c>
      <c r="H2832" s="9" t="s">
        <v>7738</v>
      </c>
      <c r="I2832" s="10">
        <v>45645</v>
      </c>
    </row>
    <row r="2833" spans="1:9" x14ac:dyDescent="0.15">
      <c r="A2833" s="9">
        <v>2832</v>
      </c>
      <c r="B2833" s="9" t="s">
        <v>9</v>
      </c>
      <c r="C2833" s="9">
        <v>1926</v>
      </c>
      <c r="D2833" s="10">
        <v>45722</v>
      </c>
      <c r="E2833" s="11" t="str">
        <f>+HYPERLINK("http://trademark.i-assist.jp/data/china/image_1926th/82652479.pdf","82652479")</f>
        <v>82652479</v>
      </c>
      <c r="F2833" s="9" t="s">
        <v>7739</v>
      </c>
      <c r="G2833" s="9" t="s">
        <v>7740</v>
      </c>
      <c r="H2833" s="9" t="s">
        <v>7741</v>
      </c>
      <c r="I2833" s="10">
        <v>45645</v>
      </c>
    </row>
    <row r="2834" spans="1:9" x14ac:dyDescent="0.15">
      <c r="A2834" s="9">
        <v>2833</v>
      </c>
      <c r="B2834" s="9" t="s">
        <v>9</v>
      </c>
      <c r="C2834" s="9">
        <v>1926</v>
      </c>
      <c r="D2834" s="10">
        <v>45722</v>
      </c>
      <c r="E2834" s="11" t="str">
        <f>+HYPERLINK("http://trademark.i-assist.jp/data/china/image_1926th/82652916.pdf","82652916")</f>
        <v>82652916</v>
      </c>
      <c r="F2834" s="12" t="s">
        <v>7742</v>
      </c>
      <c r="G2834" s="9" t="s">
        <v>7743</v>
      </c>
      <c r="H2834" s="9" t="s">
        <v>7744</v>
      </c>
      <c r="I2834" s="10">
        <v>45645</v>
      </c>
    </row>
    <row r="2835" spans="1:9" x14ac:dyDescent="0.15">
      <c r="A2835" s="9">
        <v>2834</v>
      </c>
      <c r="B2835" s="9" t="s">
        <v>9</v>
      </c>
      <c r="C2835" s="9">
        <v>1926</v>
      </c>
      <c r="D2835" s="10">
        <v>45722</v>
      </c>
      <c r="E2835" s="11" t="str">
        <f>+HYPERLINK("http://trademark.i-assist.jp/data/china/image_1926th/82653208.pdf","82653208")</f>
        <v>82653208</v>
      </c>
      <c r="F2835" s="9" t="s">
        <v>7745</v>
      </c>
      <c r="G2835" s="9" t="s">
        <v>7746</v>
      </c>
      <c r="H2835" s="9" t="s">
        <v>7747</v>
      </c>
      <c r="I2835" s="10">
        <v>45645</v>
      </c>
    </row>
    <row r="2836" spans="1:9" x14ac:dyDescent="0.15">
      <c r="A2836" s="9">
        <v>2835</v>
      </c>
      <c r="B2836" s="9" t="s">
        <v>9</v>
      </c>
      <c r="C2836" s="9">
        <v>1926</v>
      </c>
      <c r="D2836" s="10">
        <v>45722</v>
      </c>
      <c r="E2836" s="11" t="str">
        <f>+HYPERLINK("http://trademark.i-assist.jp/data/china/image_1926th/82654473.pdf","82654473")</f>
        <v>82654473</v>
      </c>
      <c r="F2836" s="9" t="s">
        <v>7748</v>
      </c>
      <c r="G2836" s="12" t="s">
        <v>7749</v>
      </c>
      <c r="H2836" s="9" t="s">
        <v>7750</v>
      </c>
      <c r="I2836" s="10">
        <v>45645</v>
      </c>
    </row>
    <row r="2837" spans="1:9" x14ac:dyDescent="0.15">
      <c r="A2837" s="9">
        <v>2836</v>
      </c>
      <c r="B2837" s="9" t="s">
        <v>9</v>
      </c>
      <c r="C2837" s="9">
        <v>1926</v>
      </c>
      <c r="D2837" s="10">
        <v>45722</v>
      </c>
      <c r="E2837" s="11" t="str">
        <f>+HYPERLINK("http://trademark.i-assist.jp/data/china/image_1926th/82654491.pdf","82654491")</f>
        <v>82654491</v>
      </c>
      <c r="F2837" s="12" t="s">
        <v>7751</v>
      </c>
      <c r="G2837" s="12" t="s">
        <v>7752</v>
      </c>
      <c r="H2837" s="9" t="s">
        <v>7753</v>
      </c>
      <c r="I2837" s="10">
        <v>45645</v>
      </c>
    </row>
    <row r="2838" spans="1:9" x14ac:dyDescent="0.15">
      <c r="A2838" s="9">
        <v>2837</v>
      </c>
      <c r="B2838" s="9" t="s">
        <v>9</v>
      </c>
      <c r="C2838" s="9">
        <v>1926</v>
      </c>
      <c r="D2838" s="10">
        <v>45722</v>
      </c>
      <c r="E2838" s="11" t="str">
        <f>+HYPERLINK("http://trademark.i-assist.jp/data/china/image_1926th/82655807.pdf","82655807")</f>
        <v>82655807</v>
      </c>
      <c r="F2838" s="9" t="s">
        <v>7754</v>
      </c>
      <c r="G2838" s="9" t="s">
        <v>7755</v>
      </c>
      <c r="H2838" s="9" t="s">
        <v>7756</v>
      </c>
      <c r="I2838" s="10">
        <v>45645</v>
      </c>
    </row>
    <row r="2839" spans="1:9" x14ac:dyDescent="0.15">
      <c r="A2839" s="9">
        <v>2838</v>
      </c>
      <c r="B2839" s="9" t="s">
        <v>9</v>
      </c>
      <c r="C2839" s="9">
        <v>1926</v>
      </c>
      <c r="D2839" s="10">
        <v>45722</v>
      </c>
      <c r="E2839" s="11" t="str">
        <f>+HYPERLINK("http://trademark.i-assist.jp/data/china/image_1926th/82656663.pdf","82656663")</f>
        <v>82656663</v>
      </c>
      <c r="F2839" s="9" t="s">
        <v>7757</v>
      </c>
      <c r="G2839" s="9" t="s">
        <v>7746</v>
      </c>
      <c r="H2839" s="9" t="s">
        <v>7758</v>
      </c>
      <c r="I2839" s="10">
        <v>45645</v>
      </c>
    </row>
    <row r="2840" spans="1:9" x14ac:dyDescent="0.15">
      <c r="A2840" s="9">
        <v>2839</v>
      </c>
      <c r="B2840" s="9" t="s">
        <v>9</v>
      </c>
      <c r="C2840" s="9">
        <v>1926</v>
      </c>
      <c r="D2840" s="10">
        <v>45722</v>
      </c>
      <c r="E2840" s="11" t="str">
        <f>+HYPERLINK("http://trademark.i-assist.jp/data/china/image_1926th/82656861.pdf","82656861")</f>
        <v>82656861</v>
      </c>
      <c r="F2840" s="9" t="s">
        <v>7759</v>
      </c>
      <c r="G2840" s="9" t="s">
        <v>7760</v>
      </c>
      <c r="H2840" s="9" t="s">
        <v>7761</v>
      </c>
      <c r="I2840" s="10">
        <v>45645</v>
      </c>
    </row>
    <row r="2841" spans="1:9" x14ac:dyDescent="0.15">
      <c r="A2841" s="9">
        <v>2840</v>
      </c>
      <c r="B2841" s="9" t="s">
        <v>9</v>
      </c>
      <c r="C2841" s="9">
        <v>1926</v>
      </c>
      <c r="D2841" s="10">
        <v>45722</v>
      </c>
      <c r="E2841" s="11" t="str">
        <f>+HYPERLINK("http://trademark.i-assist.jp/data/china/image_1926th/82657754.pdf","82657754")</f>
        <v>82657754</v>
      </c>
      <c r="F2841" s="9" t="s">
        <v>7762</v>
      </c>
      <c r="G2841" s="9" t="s">
        <v>7763</v>
      </c>
      <c r="H2841" s="12" t="s">
        <v>7764</v>
      </c>
      <c r="I2841" s="10">
        <v>45645</v>
      </c>
    </row>
    <row r="2842" spans="1:9" x14ac:dyDescent="0.15">
      <c r="A2842" s="9">
        <v>2841</v>
      </c>
      <c r="B2842" s="9" t="s">
        <v>9</v>
      </c>
      <c r="C2842" s="9">
        <v>1926</v>
      </c>
      <c r="D2842" s="10">
        <v>45722</v>
      </c>
      <c r="E2842" s="11" t="str">
        <f>+HYPERLINK("http://trademark.i-assist.jp/data/china/image_1926th/82658442.pdf","82658442")</f>
        <v>82658442</v>
      </c>
      <c r="F2842" s="9" t="s">
        <v>7765</v>
      </c>
      <c r="G2842" s="9" t="s">
        <v>7766</v>
      </c>
      <c r="H2842" s="9" t="s">
        <v>7767</v>
      </c>
      <c r="I2842" s="10">
        <v>45645</v>
      </c>
    </row>
    <row r="2843" spans="1:9" x14ac:dyDescent="0.15">
      <c r="A2843" s="9">
        <v>2842</v>
      </c>
      <c r="B2843" s="9" t="s">
        <v>9</v>
      </c>
      <c r="C2843" s="9">
        <v>1926</v>
      </c>
      <c r="D2843" s="10">
        <v>45722</v>
      </c>
      <c r="E2843" s="11" t="str">
        <f>+HYPERLINK("http://trademark.i-assist.jp/data/china/image_1926th/82659810.pdf","82659810")</f>
        <v>82659810</v>
      </c>
      <c r="F2843" s="9" t="s">
        <v>7768</v>
      </c>
      <c r="G2843" s="9" t="s">
        <v>7769</v>
      </c>
      <c r="H2843" s="9" t="s">
        <v>7770</v>
      </c>
      <c r="I2843" s="10">
        <v>45645</v>
      </c>
    </row>
    <row r="2844" spans="1:9" x14ac:dyDescent="0.15">
      <c r="A2844" s="9">
        <v>2843</v>
      </c>
      <c r="B2844" s="9" t="s">
        <v>9</v>
      </c>
      <c r="C2844" s="9">
        <v>1926</v>
      </c>
      <c r="D2844" s="10">
        <v>45722</v>
      </c>
      <c r="E2844" s="11" t="str">
        <f>+HYPERLINK("http://trademark.i-assist.jp/data/china/image_1926th/82661037.pdf","82661037")</f>
        <v>82661037</v>
      </c>
      <c r="F2844" s="9" t="s">
        <v>7771</v>
      </c>
      <c r="G2844" s="9" t="s">
        <v>7772</v>
      </c>
      <c r="H2844" s="9" t="s">
        <v>7773</v>
      </c>
      <c r="I2844" s="10">
        <v>45645</v>
      </c>
    </row>
    <row r="2845" spans="1:9" x14ac:dyDescent="0.15">
      <c r="A2845" s="9">
        <v>2844</v>
      </c>
      <c r="B2845" s="9" t="s">
        <v>9</v>
      </c>
      <c r="C2845" s="9">
        <v>1926</v>
      </c>
      <c r="D2845" s="10">
        <v>45722</v>
      </c>
      <c r="E2845" s="11" t="str">
        <f>+HYPERLINK("http://trademark.i-assist.jp/data/china/image_1926th/82661233.pdf","82661233")</f>
        <v>82661233</v>
      </c>
      <c r="F2845" s="9" t="s">
        <v>7774</v>
      </c>
      <c r="G2845" s="9" t="s">
        <v>7775</v>
      </c>
      <c r="H2845" s="9" t="s">
        <v>7776</v>
      </c>
      <c r="I2845" s="10">
        <v>45645</v>
      </c>
    </row>
    <row r="2846" spans="1:9" x14ac:dyDescent="0.15">
      <c r="A2846" s="9">
        <v>2845</v>
      </c>
      <c r="B2846" s="9" t="s">
        <v>9</v>
      </c>
      <c r="C2846" s="9">
        <v>1926</v>
      </c>
      <c r="D2846" s="10">
        <v>45722</v>
      </c>
      <c r="E2846" s="11" t="str">
        <f>+HYPERLINK("http://trademark.i-assist.jp/data/china/image_1926th/82661646.pdf","82661646")</f>
        <v>82661646</v>
      </c>
      <c r="F2846" s="9" t="s">
        <v>7777</v>
      </c>
      <c r="G2846" s="9" t="s">
        <v>7722</v>
      </c>
      <c r="H2846" s="12" t="s">
        <v>7778</v>
      </c>
      <c r="I2846" s="10">
        <v>45645</v>
      </c>
    </row>
    <row r="2847" spans="1:9" x14ac:dyDescent="0.15">
      <c r="A2847" s="9">
        <v>2846</v>
      </c>
      <c r="B2847" s="9" t="s">
        <v>9</v>
      </c>
      <c r="C2847" s="9">
        <v>1926</v>
      </c>
      <c r="D2847" s="10">
        <v>45722</v>
      </c>
      <c r="E2847" s="11" t="str">
        <f>+HYPERLINK("http://trademark.i-assist.jp/data/china/image_1926th/82737781.pdf","82737781")</f>
        <v>82737781</v>
      </c>
      <c r="F2847" s="9" t="s">
        <v>7779</v>
      </c>
      <c r="G2847" s="9" t="s">
        <v>43</v>
      </c>
      <c r="H2847" s="9" t="s">
        <v>7780</v>
      </c>
      <c r="I2847" s="10">
        <v>45650</v>
      </c>
    </row>
    <row r="2848" spans="1:9" x14ac:dyDescent="0.15">
      <c r="A2848" s="9">
        <v>2847</v>
      </c>
      <c r="B2848" s="9" t="s">
        <v>9</v>
      </c>
      <c r="C2848" s="9">
        <v>1926</v>
      </c>
      <c r="D2848" s="10">
        <v>45722</v>
      </c>
      <c r="E2848" s="11" t="str">
        <f>+HYPERLINK("http://trademark.i-assist.jp/data/china/image_1926th/82795767.pdf","82795767")</f>
        <v>82795767</v>
      </c>
      <c r="F2848" s="9" t="s">
        <v>7781</v>
      </c>
      <c r="G2848" s="9" t="s">
        <v>7782</v>
      </c>
      <c r="H2848" s="12" t="s">
        <v>7783</v>
      </c>
      <c r="I2848" s="10">
        <v>45652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1926th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2025-04-07T01:12:58Z</dcterms:modified>
</cp:coreProperties>
</file>